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ate1904="1"/>
  <mc:AlternateContent xmlns:mc="http://schemas.openxmlformats.org/markup-compatibility/2006">
    <mc:Choice Requires="x15">
      <x15ac:absPath xmlns:x15ac="http://schemas.microsoft.com/office/spreadsheetml/2010/11/ac" url="/Users/wszamko/Library/Mobile Documents/3L68KQB4HG~com~readdle~CommonDocuments/Documents/SSD AM/0. AM Resources/1 Forms/GM Project Forms/"/>
    </mc:Choice>
  </mc:AlternateContent>
  <xr:revisionPtr revIDLastSave="0" documentId="13_ncr:1_{1355F68A-696B-3F4D-BFA0-6B9E9F813B62}" xr6:coauthVersionLast="45" xr6:coauthVersionMax="45" xr10:uidLastSave="{00000000-0000-0000-0000-000000000000}"/>
  <bookViews>
    <workbookView xWindow="9840" yWindow="500" windowWidth="28260" windowHeight="18880" xr2:uid="{00000000-000D-0000-FFFF-FFFF00000000}"/>
  </bookViews>
  <sheets>
    <sheet name="Instructions" sheetId="1" r:id="rId1"/>
    <sheet name="Planning Template" sheetId="2" r:id="rId2"/>
    <sheet name="Jordan Data" sheetId="15" r:id="rId3"/>
    <sheet name="Quarterly Report" sheetId="3" r:id="rId4"/>
    <sheet name="Unreached Data" sheetId="12" r:id="rId5"/>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2" i="3" l="1"/>
  <c r="F74" i="3"/>
  <c r="F76" i="3"/>
  <c r="F78" i="3"/>
  <c r="F167" i="2"/>
  <c r="E178" i="2"/>
  <c r="E180" i="2"/>
  <c r="F93" i="3" l="1"/>
  <c r="F144" i="3"/>
  <c r="F143" i="3"/>
  <c r="F142" i="3"/>
  <c r="F133" i="3"/>
  <c r="F140" i="3"/>
  <c r="F136" i="3"/>
  <c r="F134" i="3"/>
  <c r="E75" i="3"/>
  <c r="E52" i="2"/>
  <c r="E71" i="3"/>
  <c r="F139" i="3"/>
  <c r="F138" i="3"/>
  <c r="F137" i="3"/>
  <c r="F135" i="3"/>
  <c r="E79" i="3"/>
  <c r="E77" i="3"/>
  <c r="E73" i="3"/>
  <c r="F131" i="3"/>
  <c r="F122" i="3"/>
  <c r="F113" i="3"/>
  <c r="F130" i="3"/>
  <c r="F128" i="3"/>
  <c r="F126" i="3"/>
  <c r="F121" i="3"/>
  <c r="F119" i="3"/>
  <c r="F117" i="3"/>
  <c r="F112" i="3"/>
  <c r="F110" i="3"/>
  <c r="F108" i="3"/>
  <c r="F103" i="3"/>
  <c r="F101" i="3"/>
  <c r="F99" i="3"/>
  <c r="F104" i="3"/>
  <c r="F94" i="3"/>
  <c r="F91" i="3"/>
  <c r="E49" i="3"/>
  <c r="E37" i="3"/>
  <c r="E25" i="3"/>
  <c r="E13" i="3"/>
  <c r="E61" i="3"/>
  <c r="E50" i="3"/>
  <c r="F58" i="3"/>
  <c r="F55" i="3"/>
  <c r="F129" i="3" s="1"/>
  <c r="F53" i="3"/>
  <c r="F127" i="3" s="1"/>
  <c r="F51" i="3"/>
  <c r="F125" i="3" s="1"/>
  <c r="F46" i="3"/>
  <c r="E38" i="3"/>
  <c r="E26" i="3"/>
  <c r="F34" i="3"/>
  <c r="E14" i="3"/>
  <c r="F22" i="3"/>
  <c r="F15" i="3"/>
  <c r="F98" i="3" s="1"/>
  <c r="D14" i="3"/>
  <c r="D21" i="3" s="1"/>
  <c r="D26" i="3" s="1"/>
  <c r="D33" i="3" s="1"/>
  <c r="D38" i="3" s="1"/>
  <c r="D45" i="3" s="1"/>
  <c r="D50" i="3" s="1"/>
  <c r="D57" i="3" s="1"/>
  <c r="D62" i="3" s="1"/>
  <c r="D64" i="3" s="1"/>
  <c r="D66" i="3" s="1"/>
  <c r="E2" i="3"/>
  <c r="D71" i="3" l="1"/>
  <c r="D73" i="3" s="1"/>
  <c r="D75" i="3" s="1"/>
  <c r="D77" i="3" s="1"/>
  <c r="D79" i="3" s="1"/>
  <c r="E69" i="15" l="1"/>
  <c r="E207" i="2"/>
  <c r="D225" i="2"/>
  <c r="C229" i="2"/>
  <c r="E229" i="2" s="1"/>
  <c r="E86" i="15" s="1"/>
  <c r="E218" i="2" l="1"/>
  <c r="D85" i="15"/>
  <c r="D84" i="15"/>
  <c r="F247" i="2" l="1"/>
  <c r="F244" i="2"/>
  <c r="E146" i="2"/>
  <c r="E148" i="2"/>
  <c r="E128" i="2" l="1"/>
  <c r="E130" i="2"/>
  <c r="C198" i="2" l="1"/>
  <c r="E198" i="2" s="1"/>
  <c r="E65" i="15" s="1"/>
  <c r="E165" i="2"/>
  <c r="E164" i="2"/>
  <c r="E226" i="2"/>
  <c r="E224" i="2"/>
  <c r="D227" i="2"/>
  <c r="F165" i="2"/>
  <c r="E81" i="15" l="1"/>
  <c r="E61" i="15"/>
  <c r="C202" i="2"/>
  <c r="E202" i="2" s="1"/>
  <c r="E68" i="15" s="1"/>
  <c r="C186" i="2"/>
  <c r="E186" i="2" s="1"/>
  <c r="E72" i="15" s="1"/>
  <c r="C196" i="2"/>
  <c r="E196" i="2" s="1"/>
  <c r="F196" i="2" s="1"/>
  <c r="C180" i="2"/>
  <c r="E76" i="15" s="1"/>
  <c r="C208" i="2"/>
  <c r="C178" i="2"/>
  <c r="E71" i="15" s="1"/>
  <c r="C200" i="2"/>
  <c r="E200" i="2" s="1"/>
  <c r="E66" i="15" s="1"/>
  <c r="C184" i="2"/>
  <c r="E184" i="2" s="1"/>
  <c r="E74" i="15" s="1"/>
  <c r="C182" i="2"/>
  <c r="E182" i="2" s="1"/>
  <c r="E75" i="15" s="1"/>
  <c r="C206" i="2"/>
  <c r="E206" i="2" s="1"/>
  <c r="E67" i="15" s="1"/>
  <c r="C176" i="2"/>
  <c r="E176" i="2" s="1"/>
  <c r="C192" i="2"/>
  <c r="E192" i="2" s="1"/>
  <c r="C190" i="2"/>
  <c r="E190" i="2" s="1"/>
  <c r="E63" i="15" s="1"/>
  <c r="C188" i="2"/>
  <c r="E188" i="2" s="1"/>
  <c r="F188" i="2" s="1"/>
  <c r="C194" i="2"/>
  <c r="E194" i="2" s="1"/>
  <c r="F186" i="2"/>
  <c r="F245" i="2"/>
  <c r="F248" i="2"/>
  <c r="F246" i="2"/>
  <c r="F190" i="2"/>
  <c r="F204" i="2"/>
  <c r="F198" i="2"/>
  <c r="E216" i="2"/>
  <c r="E166" i="2"/>
  <c r="E25" i="2"/>
  <c r="E113" i="15"/>
  <c r="E112" i="15"/>
  <c r="E111" i="15"/>
  <c r="E110" i="15"/>
  <c r="E109" i="15"/>
  <c r="E108" i="15"/>
  <c r="E107" i="15"/>
  <c r="E106" i="15"/>
  <c r="E103" i="15"/>
  <c r="E102" i="15"/>
  <c r="E101" i="15"/>
  <c r="E100" i="15"/>
  <c r="E99" i="15"/>
  <c r="E98" i="15"/>
  <c r="E97" i="15"/>
  <c r="E96" i="15"/>
  <c r="D2" i="15"/>
  <c r="E55" i="15"/>
  <c r="E54" i="15"/>
  <c r="E53" i="15"/>
  <c r="E52" i="15"/>
  <c r="E51" i="15"/>
  <c r="E49" i="15"/>
  <c r="E48" i="15"/>
  <c r="E47" i="15"/>
  <c r="E46" i="15"/>
  <c r="E43" i="15"/>
  <c r="E42" i="15"/>
  <c r="E41" i="15"/>
  <c r="E40" i="15"/>
  <c r="E37" i="15"/>
  <c r="E36" i="15"/>
  <c r="E35" i="15"/>
  <c r="E34" i="15"/>
  <c r="E122" i="2"/>
  <c r="E140" i="2"/>
  <c r="E54" i="2"/>
  <c r="E9" i="15"/>
  <c r="E24" i="15"/>
  <c r="E31" i="15"/>
  <c r="E23" i="15"/>
  <c r="E22" i="15"/>
  <c r="E16" i="15"/>
  <c r="E15" i="15"/>
  <c r="E17" i="15"/>
  <c r="E21" i="15"/>
  <c r="E19" i="15"/>
  <c r="E20" i="15"/>
  <c r="E14" i="15"/>
  <c r="E13" i="15"/>
  <c r="E11" i="15"/>
  <c r="E10" i="15"/>
  <c r="E8" i="15"/>
  <c r="E47" i="2"/>
  <c r="F300" i="2"/>
  <c r="F301" i="2" s="1"/>
  <c r="E2" i="2"/>
  <c r="F88" i="3" l="1"/>
  <c r="F206" i="2"/>
  <c r="F180" i="2"/>
  <c r="F192" i="2"/>
  <c r="E64" i="15"/>
  <c r="F194" i="2"/>
  <c r="E62" i="15"/>
  <c r="F176" i="2"/>
  <c r="E73" i="15"/>
  <c r="E208" i="2"/>
  <c r="E70" i="15" s="1"/>
  <c r="C210" i="2"/>
  <c r="F178" i="2"/>
  <c r="F202" i="2"/>
  <c r="F200" i="2"/>
  <c r="F184" i="2"/>
  <c r="F182" i="2"/>
  <c r="E94" i="15"/>
  <c r="E210" i="2"/>
  <c r="C227" i="2" s="1"/>
  <c r="E227" i="2" s="1"/>
  <c r="F208" i="2"/>
  <c r="F339" i="2"/>
  <c r="AM2" i="12"/>
  <c r="AJ3" i="12" a="1"/>
  <c r="AJ3" i="12" s="1"/>
  <c r="AK3" i="12" s="1"/>
  <c r="B2837" i="12"/>
  <c r="G2837" i="12"/>
  <c r="AG2837" i="12"/>
  <c r="B4" i="3" l="1"/>
  <c r="F95" i="3"/>
  <c r="F227" i="2"/>
  <c r="E85" i="15"/>
  <c r="E91" i="15"/>
  <c r="D229" i="2"/>
  <c r="E78" i="15"/>
  <c r="F210" i="2"/>
  <c r="F65" i="2"/>
  <c r="E12" i="15"/>
  <c r="E57" i="15"/>
  <c r="B4" i="2"/>
  <c r="B4" i="15"/>
  <c r="AR52" i="12"/>
  <c r="AI129" i="12"/>
  <c r="AK120" i="12"/>
  <c r="AK111" i="12"/>
  <c r="AK102" i="12"/>
  <c r="AK93" i="12"/>
  <c r="AK84" i="12"/>
  <c r="AK75" i="12"/>
  <c r="AK66" i="12"/>
  <c r="AK57" i="12"/>
  <c r="AK48" i="12"/>
  <c r="AK39" i="12"/>
  <c r="AK30" i="12"/>
  <c r="AK21" i="12"/>
  <c r="AK12" i="12"/>
  <c r="AK128" i="12"/>
  <c r="AI120" i="12"/>
  <c r="AI111" i="12"/>
  <c r="AI102" i="12"/>
  <c r="AI93" i="12"/>
  <c r="AI84" i="12"/>
  <c r="AI75" i="12"/>
  <c r="AI66" i="12"/>
  <c r="AI57" i="12"/>
  <c r="AI48" i="12"/>
  <c r="AI39" i="12"/>
  <c r="AI30" i="12"/>
  <c r="AI21" i="12"/>
  <c r="AI12" i="12"/>
  <c r="AK132" i="12"/>
  <c r="AI128" i="12"/>
  <c r="AK119" i="12"/>
  <c r="AK110" i="12"/>
  <c r="AK101" i="12"/>
  <c r="AK92" i="12"/>
  <c r="AK83" i="12"/>
  <c r="AK74" i="12"/>
  <c r="AK65" i="12"/>
  <c r="AK56" i="12"/>
  <c r="AK47" i="12"/>
  <c r="AK38" i="12"/>
  <c r="AK29" i="12"/>
  <c r="AK20" i="12"/>
  <c r="AK11" i="12"/>
  <c r="AI132" i="12"/>
  <c r="AK125" i="12"/>
  <c r="AK116" i="12"/>
  <c r="AK107" i="12"/>
  <c r="AK98" i="12"/>
  <c r="AK89" i="12"/>
  <c r="AK80" i="12"/>
  <c r="AK71" i="12"/>
  <c r="AK62" i="12"/>
  <c r="AK53" i="12"/>
  <c r="AK44" i="12"/>
  <c r="AK35" i="12"/>
  <c r="AK26" i="12"/>
  <c r="AK17" i="12"/>
  <c r="AK8" i="12"/>
  <c r="AK131" i="12"/>
  <c r="AI125" i="12"/>
  <c r="AI116" i="12"/>
  <c r="AI107" i="12"/>
  <c r="AI98" i="12"/>
  <c r="AI89" i="12"/>
  <c r="AI80" i="12"/>
  <c r="AI71" i="12"/>
  <c r="AI62" i="12"/>
  <c r="AI53" i="12"/>
  <c r="AI44" i="12"/>
  <c r="AI35" i="12"/>
  <c r="AI26" i="12"/>
  <c r="AI17" i="12"/>
  <c r="AI8" i="12"/>
  <c r="AK129" i="12"/>
  <c r="AK123" i="12"/>
  <c r="AK114" i="12"/>
  <c r="AK105" i="12"/>
  <c r="AK96" i="12"/>
  <c r="AK87" i="12"/>
  <c r="AK78" i="12"/>
  <c r="AK69" i="12"/>
  <c r="AK60" i="12"/>
  <c r="AK51" i="12"/>
  <c r="AK42" i="12"/>
  <c r="AK33" i="12"/>
  <c r="AK24" i="12"/>
  <c r="AK15" i="12"/>
  <c r="AK6" i="12"/>
  <c r="AI123" i="12"/>
  <c r="AI119" i="12"/>
  <c r="AI114" i="12"/>
  <c r="AI110" i="12"/>
  <c r="AI105" i="12"/>
  <c r="AI101" i="12"/>
  <c r="AI96" i="12"/>
  <c r="AI92" i="12"/>
  <c r="AI87" i="12"/>
  <c r="AI83" i="12"/>
  <c r="AI78" i="12"/>
  <c r="AI74" i="12"/>
  <c r="AI69" i="12"/>
  <c r="AI65" i="12"/>
  <c r="AI60" i="12"/>
  <c r="AI56" i="12"/>
  <c r="AI51" i="12"/>
  <c r="AI47" i="12"/>
  <c r="AI42" i="12"/>
  <c r="AI38" i="12"/>
  <c r="AI33" i="12"/>
  <c r="AI29" i="12"/>
  <c r="AI24" i="12"/>
  <c r="AI20" i="12"/>
  <c r="AI15" i="12"/>
  <c r="AI11" i="12"/>
  <c r="AI6" i="12"/>
  <c r="AI131" i="12"/>
  <c r="AK126" i="12"/>
  <c r="AK122" i="12"/>
  <c r="AK117" i="12"/>
  <c r="AK113" i="12"/>
  <c r="AK108" i="12"/>
  <c r="AK104" i="12"/>
  <c r="AK99" i="12"/>
  <c r="AK95" i="12"/>
  <c r="AK90" i="12"/>
  <c r="AK86" i="12"/>
  <c r="AK81" i="12"/>
  <c r="AK77" i="12"/>
  <c r="AK72" i="12"/>
  <c r="AK68" i="12"/>
  <c r="AK63" i="12"/>
  <c r="AK59" i="12"/>
  <c r="AK54" i="12"/>
  <c r="AK50" i="12"/>
  <c r="AK45" i="12"/>
  <c r="AK41" i="12"/>
  <c r="AK36" i="12"/>
  <c r="AK32" i="12"/>
  <c r="AK27" i="12"/>
  <c r="AK23" i="12"/>
  <c r="AK18" i="12"/>
  <c r="AK14" i="12"/>
  <c r="AK9" i="12"/>
  <c r="AK5" i="12"/>
  <c r="AK130" i="12"/>
  <c r="AI126" i="12"/>
  <c r="AI122" i="12"/>
  <c r="AI117" i="12"/>
  <c r="AI113" i="12"/>
  <c r="AI108" i="12"/>
  <c r="AI104" i="12"/>
  <c r="AI99" i="12"/>
  <c r="AI95" i="12"/>
  <c r="AI90" i="12"/>
  <c r="AI86" i="12"/>
  <c r="AI81" i="12"/>
  <c r="AI77" i="12"/>
  <c r="AI72" i="12"/>
  <c r="AI68" i="12"/>
  <c r="AI63" i="12"/>
  <c r="AI59" i="12"/>
  <c r="AI54" i="12"/>
  <c r="AI50" i="12"/>
  <c r="AI45" i="12"/>
  <c r="AI41" i="12"/>
  <c r="AI36" i="12"/>
  <c r="AI32" i="12"/>
  <c r="AI27" i="12"/>
  <c r="AI23" i="12"/>
  <c r="AI18" i="12"/>
  <c r="AI14" i="12"/>
  <c r="AI9" i="12"/>
  <c r="AI5" i="12"/>
  <c r="AK127" i="12"/>
  <c r="AK124" i="12"/>
  <c r="AK121" i="12"/>
  <c r="AK118" i="12"/>
  <c r="AK115" i="12"/>
  <c r="AK112" i="12"/>
  <c r="AK109" i="12"/>
  <c r="AK106" i="12"/>
  <c r="AK103" i="12"/>
  <c r="AK100" i="12"/>
  <c r="AK97" i="12"/>
  <c r="AK94" i="12"/>
  <c r="AK91" i="12"/>
  <c r="AK88" i="12"/>
  <c r="AK85" i="12"/>
  <c r="AK82" i="12"/>
  <c r="AK79" i="12"/>
  <c r="AK76" i="12"/>
  <c r="AK73" i="12"/>
  <c r="AK70" i="12"/>
  <c r="AK67" i="12"/>
  <c r="AK64" i="12"/>
  <c r="AK61" i="12"/>
  <c r="AK58" i="12"/>
  <c r="AK55" i="12"/>
  <c r="AK52" i="12"/>
  <c r="AK49" i="12"/>
  <c r="AK46" i="12"/>
  <c r="AK43" i="12"/>
  <c r="AK40" i="12"/>
  <c r="AK37" i="12"/>
  <c r="AK34" i="12"/>
  <c r="AK31" i="12"/>
  <c r="AK28" i="12"/>
  <c r="AK25" i="12"/>
  <c r="AK22" i="12"/>
  <c r="AK19" i="12"/>
  <c r="AK16" i="12"/>
  <c r="AK13" i="12"/>
  <c r="AK10" i="12"/>
  <c r="AK7" i="12"/>
  <c r="AK4" i="12"/>
  <c r="AI130" i="12"/>
  <c r="AI127" i="12"/>
  <c r="AI124" i="12"/>
  <c r="AI121" i="12"/>
  <c r="AI118" i="12"/>
  <c r="AI115" i="12"/>
  <c r="AI112" i="12"/>
  <c r="AI109" i="12"/>
  <c r="AI106" i="12"/>
  <c r="AI103" i="12"/>
  <c r="AI100" i="12"/>
  <c r="AI97" i="12"/>
  <c r="AI94" i="12"/>
  <c r="AI91" i="12"/>
  <c r="AI88" i="12"/>
  <c r="AI85" i="12"/>
  <c r="AI82" i="12"/>
  <c r="AI79" i="12"/>
  <c r="AI76" i="12"/>
  <c r="AI73" i="12"/>
  <c r="AI70" i="12"/>
  <c r="AI67" i="12"/>
  <c r="AI64" i="12"/>
  <c r="AI61" i="12"/>
  <c r="AI58" i="12"/>
  <c r="AI55" i="12"/>
  <c r="AI52" i="12"/>
  <c r="AI49" i="12"/>
  <c r="AI46" i="12"/>
  <c r="AI43" i="12"/>
  <c r="AI40" i="12"/>
  <c r="AI37" i="12"/>
  <c r="AI34" i="12"/>
  <c r="AI31" i="12"/>
  <c r="AI28" i="12"/>
  <c r="AI25" i="12"/>
  <c r="AI22" i="12"/>
  <c r="AI19" i="12"/>
  <c r="AI16" i="12"/>
  <c r="AI13" i="12"/>
  <c r="AI10" i="12"/>
  <c r="AI7" i="12"/>
  <c r="AI4" i="12"/>
  <c r="AI2" i="12"/>
  <c r="AI3" i="12"/>
  <c r="AN2" i="12"/>
  <c r="AO3" i="12" s="1" a="1"/>
  <c r="AO3" i="12" s="1"/>
  <c r="F43" i="3"/>
  <c r="F120" i="3" s="1"/>
  <c r="F41" i="3"/>
  <c r="F118" i="3" s="1"/>
  <c r="F39" i="3"/>
  <c r="F116" i="3" s="1"/>
  <c r="F31" i="3"/>
  <c r="F111" i="3" s="1"/>
  <c r="F29" i="3"/>
  <c r="F109" i="3" s="1"/>
  <c r="F27" i="3"/>
  <c r="F107" i="3" s="1"/>
  <c r="F19" i="3"/>
  <c r="F102" i="3" s="1"/>
  <c r="F17" i="3"/>
  <c r="F100" i="3" s="1"/>
  <c r="E144" i="2"/>
  <c r="E142" i="2"/>
  <c r="E138" i="2"/>
  <c r="E120" i="2"/>
  <c r="E124" i="2"/>
  <c r="E126" i="2"/>
  <c r="E29" i="15" l="1"/>
  <c r="F89" i="3"/>
  <c r="AO4" i="12" a="1"/>
  <c r="AO4" i="12" s="1"/>
  <c r="AO9" i="12" a="1"/>
  <c r="AO9" i="12" s="1"/>
  <c r="AO19" i="12" a="1"/>
  <c r="AO19" i="12" s="1"/>
  <c r="AO25" i="12" a="1"/>
  <c r="AO25" i="12" s="1"/>
  <c r="AO31" i="12" a="1"/>
  <c r="AO31" i="12" s="1"/>
  <c r="AO36" i="12" a="1"/>
  <c r="AO36" i="12" s="1"/>
  <c r="AO41" i="12" a="1"/>
  <c r="AO41" i="12" s="1"/>
  <c r="AO47" i="12" a="1"/>
  <c r="AO47" i="12" s="1"/>
  <c r="AO52" i="12" a="1"/>
  <c r="AO52" i="12" s="1"/>
  <c r="AO63" i="12" a="1"/>
  <c r="AO63" i="12" s="1"/>
  <c r="AO74" i="12" a="1"/>
  <c r="AO74" i="12" s="1"/>
  <c r="AO79" i="12" a="1"/>
  <c r="AO79" i="12" s="1"/>
  <c r="AO85" i="12" a="1"/>
  <c r="AO85" i="12" s="1"/>
  <c r="AO90" i="12" a="1"/>
  <c r="AO90" i="12" s="1"/>
  <c r="AO95" i="12" a="1"/>
  <c r="AO95" i="12" s="1"/>
  <c r="AO101" i="12" a="1"/>
  <c r="AO101" i="12" s="1"/>
  <c r="AO106" i="12" a="1"/>
  <c r="AO106" i="12" s="1"/>
  <c r="AO117" i="12" a="1"/>
  <c r="AO117" i="12" s="1"/>
  <c r="AO128" i="12" a="1"/>
  <c r="AO128" i="12" s="1"/>
  <c r="AO133" i="12" a="1"/>
  <c r="AO133" i="12" s="1"/>
  <c r="AO139" i="12" a="1"/>
  <c r="AO139" i="12" s="1"/>
  <c r="AO144" i="12" a="1"/>
  <c r="AO144" i="12" s="1"/>
  <c r="AO149" i="12" a="1"/>
  <c r="AO149" i="12" s="1"/>
  <c r="AO155" i="12" a="1"/>
  <c r="AO155" i="12" s="1"/>
  <c r="AO160" i="12" a="1"/>
  <c r="AO160" i="12" s="1"/>
  <c r="AO171" i="12" a="1"/>
  <c r="AO171" i="12" s="1"/>
  <c r="AO182" i="12" a="1"/>
  <c r="AO182" i="12" s="1"/>
  <c r="AO187" i="12" a="1"/>
  <c r="AO187" i="12" s="1"/>
  <c r="AO193" i="12" a="1"/>
  <c r="AO193" i="12" s="1"/>
  <c r="AO198" i="12" a="1"/>
  <c r="AO198" i="12" s="1"/>
  <c r="AO203" i="12" a="1"/>
  <c r="AO203" i="12" s="1"/>
  <c r="AO209" i="12" a="1"/>
  <c r="AO209" i="12" s="1"/>
  <c r="AO214" i="12" a="1"/>
  <c r="AO214" i="12" s="1"/>
  <c r="AO225" i="12" a="1"/>
  <c r="AO225" i="12" s="1"/>
  <c r="AO236" i="12" a="1"/>
  <c r="AO236" i="12" s="1"/>
  <c r="AO241" i="12" a="1"/>
  <c r="AO241" i="12" s="1"/>
  <c r="AO247" i="12" a="1"/>
  <c r="AO247" i="12" s="1"/>
  <c r="AO252" i="12" a="1"/>
  <c r="AO252" i="12" s="1"/>
  <c r="AO256" i="12" a="1"/>
  <c r="AO256" i="12" s="1"/>
  <c r="AO261" i="12" a="1"/>
  <c r="AO261" i="12" s="1"/>
  <c r="AO266" i="12" a="1"/>
  <c r="AO266" i="12" s="1"/>
  <c r="AO276" i="12" a="1"/>
  <c r="AO276" i="12" s="1"/>
  <c r="AO281" i="12" a="1"/>
  <c r="AO281" i="12" s="1"/>
  <c r="AO286" i="12" a="1"/>
  <c r="AO286" i="12" s="1"/>
  <c r="AO296" i="12" a="1"/>
  <c r="AO296" i="12" s="1"/>
  <c r="AO301" i="12" a="1"/>
  <c r="AO301" i="12" s="1"/>
  <c r="AO306" i="12" a="1"/>
  <c r="AO306" i="12" s="1"/>
  <c r="AO310" i="12" a="1"/>
  <c r="AO310" i="12" s="1"/>
  <c r="AO315" i="12" a="1"/>
  <c r="AO315" i="12" s="1"/>
  <c r="AO320" i="12" a="1"/>
  <c r="AO320" i="12" s="1"/>
  <c r="AO330" i="12" a="1"/>
  <c r="AO330" i="12" s="1"/>
  <c r="AO335" i="12" a="1"/>
  <c r="AO335" i="12" s="1"/>
  <c r="AO340" i="12" a="1"/>
  <c r="AO340" i="12" s="1"/>
  <c r="AO350" i="12" a="1"/>
  <c r="AO350" i="12" s="1"/>
  <c r="AO355" i="12" a="1"/>
  <c r="AO355" i="12" s="1"/>
  <c r="AO360" i="12" a="1"/>
  <c r="AO360" i="12" s="1"/>
  <c r="AO364" i="12" a="1"/>
  <c r="AO364" i="12" s="1"/>
  <c r="AO369" i="12" a="1"/>
  <c r="AO369" i="12" s="1"/>
  <c r="AO374" i="12" a="1"/>
  <c r="AO374" i="12" s="1"/>
  <c r="AO384" i="12" a="1"/>
  <c r="AO384" i="12" s="1"/>
  <c r="AO389" i="12" a="1"/>
  <c r="AO389" i="12" s="1"/>
  <c r="AO394" i="12" a="1"/>
  <c r="AO394" i="12" s="1"/>
  <c r="AO399" i="12" a="1"/>
  <c r="AO399" i="12" s="1"/>
  <c r="AO405" i="12" a="1"/>
  <c r="AO405" i="12" s="1"/>
  <c r="AO410" i="12" a="1"/>
  <c r="AO410" i="12" s="1"/>
  <c r="AO416" i="12" a="1"/>
  <c r="AO416" i="12" s="1"/>
  <c r="AO421" i="12" a="1"/>
  <c r="AO421" i="12" s="1"/>
  <c r="AO427" i="12" a="1"/>
  <c r="AO427" i="12" s="1"/>
  <c r="AO431" i="12" a="1"/>
  <c r="AO431" i="12" s="1"/>
  <c r="AO436" i="12" a="1"/>
  <c r="AO436" i="12" s="1"/>
  <c r="AO441" i="12" a="1"/>
  <c r="AO441" i="12" s="1"/>
  <c r="AO5" i="12" a="1"/>
  <c r="AO5" i="12" s="1"/>
  <c r="AO10" i="12" a="1"/>
  <c r="AO10" i="12" s="1"/>
  <c r="AO15" i="12" a="1"/>
  <c r="AO15" i="12" s="1"/>
  <c r="AO20" i="12" a="1"/>
  <c r="AO20" i="12" s="1"/>
  <c r="AO26" i="12" a="1"/>
  <c r="AO26" i="12" s="1"/>
  <c r="AO32" i="12" a="1"/>
  <c r="AO32" i="12" s="1"/>
  <c r="AO37" i="12" a="1"/>
  <c r="AO37" i="12" s="1"/>
  <c r="AO42" i="12" a="1"/>
  <c r="AO42" i="12" s="1"/>
  <c r="AO48" i="12" a="1"/>
  <c r="AO48" i="12" s="1"/>
  <c r="AO53" i="12" a="1"/>
  <c r="AO53" i="12" s="1"/>
  <c r="AO58" i="12" a="1"/>
  <c r="AO58" i="12" s="1"/>
  <c r="AO64" i="12" a="1"/>
  <c r="AO64" i="12" s="1"/>
  <c r="AO69" i="12" a="1"/>
  <c r="AO69" i="12" s="1"/>
  <c r="AO75" i="12" a="1"/>
  <c r="AO75" i="12" s="1"/>
  <c r="AO80" i="12" a="1"/>
  <c r="AO80" i="12" s="1"/>
  <c r="AO86" i="12" a="1"/>
  <c r="AO86" i="12" s="1"/>
  <c r="AO91" i="12" a="1"/>
  <c r="AO91" i="12" s="1"/>
  <c r="AO96" i="12" a="1"/>
  <c r="AO96" i="12" s="1"/>
  <c r="AO102" i="12" a="1"/>
  <c r="AO102" i="12" s="1"/>
  <c r="AO107" i="12" a="1"/>
  <c r="AO107" i="12" s="1"/>
  <c r="AO112" i="12" a="1"/>
  <c r="AO112" i="12" s="1"/>
  <c r="AO118" i="12" a="1"/>
  <c r="AO118" i="12" s="1"/>
  <c r="AO123" i="12" a="1"/>
  <c r="AO123" i="12" s="1"/>
  <c r="AO129" i="12" a="1"/>
  <c r="AO129" i="12" s="1"/>
  <c r="AO134" i="12" a="1"/>
  <c r="AO134" i="12" s="1"/>
  <c r="AO140" i="12" a="1"/>
  <c r="AO140" i="12" s="1"/>
  <c r="AO145" i="12" a="1"/>
  <c r="AO145" i="12" s="1"/>
  <c r="AO150" i="12" a="1"/>
  <c r="AO150" i="12" s="1"/>
  <c r="AO156" i="12" a="1"/>
  <c r="AO156" i="12" s="1"/>
  <c r="AO161" i="12" a="1"/>
  <c r="AO161" i="12" s="1"/>
  <c r="AO166" i="12" a="1"/>
  <c r="AO166" i="12" s="1"/>
  <c r="AO172" i="12" a="1"/>
  <c r="AO172" i="12" s="1"/>
  <c r="AO177" i="12" a="1"/>
  <c r="AO177" i="12" s="1"/>
  <c r="AO183" i="12" a="1"/>
  <c r="AO183" i="12" s="1"/>
  <c r="AO188" i="12" a="1"/>
  <c r="AO188" i="12" s="1"/>
  <c r="AO194" i="12" a="1"/>
  <c r="AO194" i="12" s="1"/>
  <c r="AO199" i="12" a="1"/>
  <c r="AO199" i="12" s="1"/>
  <c r="AO204" i="12" a="1"/>
  <c r="AO204" i="12" s="1"/>
  <c r="AO210" i="12" a="1"/>
  <c r="AO210" i="12" s="1"/>
  <c r="AO215" i="12" a="1"/>
  <c r="AO215" i="12" s="1"/>
  <c r="AO220" i="12" a="1"/>
  <c r="AO220" i="12" s="1"/>
  <c r="AO226" i="12" a="1"/>
  <c r="AO226" i="12" s="1"/>
  <c r="AO231" i="12" a="1"/>
  <c r="AO231" i="12" s="1"/>
  <c r="AO237" i="12" a="1"/>
  <c r="AO237" i="12" s="1"/>
  <c r="AO242" i="12" a="1"/>
  <c r="AO242" i="12" s="1"/>
  <c r="AO248" i="12" a="1"/>
  <c r="AO248" i="12" s="1"/>
  <c r="AO253" i="12" a="1"/>
  <c r="AO253" i="12" s="1"/>
  <c r="AO257" i="12" a="1"/>
  <c r="AO257" i="12" s="1"/>
  <c r="AO262" i="12" a="1"/>
  <c r="AO262" i="12" s="1"/>
  <c r="AO267" i="12" a="1"/>
  <c r="AO267" i="12" s="1"/>
  <c r="AO272" i="12" a="1"/>
  <c r="AO272" i="12" s="1"/>
  <c r="AO277" i="12" a="1"/>
  <c r="AO277" i="12" s="1"/>
  <c r="AO282" i="12" a="1"/>
  <c r="AO282" i="12" s="1"/>
  <c r="AO287" i="12" a="1"/>
  <c r="AO287" i="12" s="1"/>
  <c r="AO291" i="12" a="1"/>
  <c r="AO291" i="12" s="1"/>
  <c r="AO307" i="12" a="1"/>
  <c r="AO307" i="12" s="1"/>
  <c r="AO311" i="12" a="1"/>
  <c r="AO311" i="12" s="1"/>
  <c r="AO316" i="12" a="1"/>
  <c r="AO316" i="12" s="1"/>
  <c r="AO321" i="12" a="1"/>
  <c r="AO321" i="12" s="1"/>
  <c r="AO326" i="12" a="1"/>
  <c r="AO326" i="12" s="1"/>
  <c r="AO331" i="12" a="1"/>
  <c r="AO331" i="12" s="1"/>
  <c r="AO336" i="12" a="1"/>
  <c r="AO336" i="12" s="1"/>
  <c r="AO341" i="12" a="1"/>
  <c r="AO341" i="12" s="1"/>
  <c r="AO345" i="12" a="1"/>
  <c r="AO345" i="12" s="1"/>
  <c r="AO361" i="12" a="1"/>
  <c r="AO361" i="12" s="1"/>
  <c r="AO365" i="12" a="1"/>
  <c r="AO365" i="12" s="1"/>
  <c r="AO370" i="12" a="1"/>
  <c r="AO370" i="12" s="1"/>
  <c r="AO375" i="12" a="1"/>
  <c r="AO375" i="12" s="1"/>
  <c r="AO380" i="12" a="1"/>
  <c r="AO380" i="12" s="1"/>
  <c r="AO385" i="12" a="1"/>
  <c r="AO385" i="12" s="1"/>
  <c r="AO390" i="12" a="1"/>
  <c r="AO390" i="12" s="1"/>
  <c r="AO395" i="12" a="1"/>
  <c r="AO395" i="12" s="1"/>
  <c r="AO400" i="12" a="1"/>
  <c r="AO400" i="12" s="1"/>
  <c r="AO406" i="12" a="1"/>
  <c r="AO406" i="12" s="1"/>
  <c r="AO411" i="12" a="1"/>
  <c r="AO411" i="12" s="1"/>
  <c r="AO422" i="12" a="1"/>
  <c r="AO422" i="12" s="1"/>
  <c r="AO6" i="12" a="1"/>
  <c r="AO6" i="12" s="1"/>
  <c r="AO11" i="12" a="1"/>
  <c r="AO11" i="12" s="1"/>
  <c r="AO21" i="12" a="1"/>
  <c r="AO21" i="12" s="1"/>
  <c r="AO27" i="12" a="1"/>
  <c r="AO27" i="12" s="1"/>
  <c r="AO38" i="12" a="1"/>
  <c r="AO38" i="12" s="1"/>
  <c r="AO43" i="12" a="1"/>
  <c r="AO43" i="12" s="1"/>
  <c r="AO49" i="12" a="1"/>
  <c r="AO49" i="12" s="1"/>
  <c r="AO54" i="12" a="1"/>
  <c r="AO54" i="12" s="1"/>
  <c r="AO59" i="12" a="1"/>
  <c r="AO59" i="12" s="1"/>
  <c r="AO65" i="12" a="1"/>
  <c r="AO65" i="12" s="1"/>
  <c r="AO70" i="12" a="1"/>
  <c r="AO70" i="12" s="1"/>
  <c r="AO81" i="12" a="1"/>
  <c r="AO81" i="12" s="1"/>
  <c r="AO92" i="12" a="1"/>
  <c r="AO92" i="12" s="1"/>
  <c r="AO97" i="12" a="1"/>
  <c r="AO97" i="12" s="1"/>
  <c r="AO103" i="12" a="1"/>
  <c r="AO103" i="12" s="1"/>
  <c r="AO108" i="12" a="1"/>
  <c r="AO108" i="12" s="1"/>
  <c r="AO113" i="12" a="1"/>
  <c r="AO113" i="12" s="1"/>
  <c r="AO119" i="12" a="1"/>
  <c r="AO119" i="12" s="1"/>
  <c r="AO124" i="12" a="1"/>
  <c r="AO124" i="12" s="1"/>
  <c r="AO135" i="12" a="1"/>
  <c r="AO135" i="12" s="1"/>
  <c r="AO146" i="12" a="1"/>
  <c r="AO146" i="12" s="1"/>
  <c r="AO151" i="12" a="1"/>
  <c r="AO151" i="12" s="1"/>
  <c r="AO157" i="12" a="1"/>
  <c r="AO157" i="12" s="1"/>
  <c r="AO162" i="12" a="1"/>
  <c r="AO162" i="12" s="1"/>
  <c r="AO167" i="12" a="1"/>
  <c r="AO167" i="12" s="1"/>
  <c r="AO173" i="12" a="1"/>
  <c r="AO173" i="12" s="1"/>
  <c r="AO178" i="12" a="1"/>
  <c r="AO178" i="12" s="1"/>
  <c r="AO189" i="12" a="1"/>
  <c r="AO189" i="12" s="1"/>
  <c r="AO200" i="12" a="1"/>
  <c r="AO200" i="12" s="1"/>
  <c r="AO205" i="12" a="1"/>
  <c r="AO205" i="12" s="1"/>
  <c r="AO211" i="12" a="1"/>
  <c r="AO211" i="12" s="1"/>
  <c r="AO216" i="12" a="1"/>
  <c r="AO216" i="12" s="1"/>
  <c r="AO221" i="12" a="1"/>
  <c r="AO221" i="12" s="1"/>
  <c r="AO227" i="12" a="1"/>
  <c r="AO227" i="12" s="1"/>
  <c r="AO232" i="12" a="1"/>
  <c r="AO232" i="12" s="1"/>
  <c r="AO243" i="12" a="1"/>
  <c r="AO243" i="12" s="1"/>
  <c r="AO254" i="12" a="1"/>
  <c r="AO254" i="12" s="1"/>
  <c r="AO258" i="12" a="1"/>
  <c r="AO258" i="12" s="1"/>
  <c r="AO263" i="12" a="1"/>
  <c r="AO263" i="12" s="1"/>
  <c r="AO268" i="12" a="1"/>
  <c r="AO268" i="12" s="1"/>
  <c r="AO278" i="12" a="1"/>
  <c r="AO278" i="12" s="1"/>
  <c r="AO283" i="12" a="1"/>
  <c r="AO283" i="12" s="1"/>
  <c r="AO288" i="12" a="1"/>
  <c r="AO288" i="12" s="1"/>
  <c r="AO292" i="12" a="1"/>
  <c r="AO292" i="12" s="1"/>
  <c r="AO297" i="12" a="1"/>
  <c r="AO297" i="12" s="1"/>
  <c r="AO302" i="12" a="1"/>
  <c r="AO302" i="12" s="1"/>
  <c r="AO312" i="12" a="1"/>
  <c r="AO312" i="12" s="1"/>
  <c r="AO317" i="12" a="1"/>
  <c r="AO317" i="12" s="1"/>
  <c r="AO322" i="12" a="1"/>
  <c r="AO322" i="12" s="1"/>
  <c r="AO332" i="12" a="1"/>
  <c r="AO332" i="12" s="1"/>
  <c r="AO337" i="12" a="1"/>
  <c r="AO337" i="12" s="1"/>
  <c r="AO342" i="12" a="1"/>
  <c r="AO342" i="12" s="1"/>
  <c r="AO346" i="12" a="1"/>
  <c r="AO346" i="12" s="1"/>
  <c r="AO351" i="12" a="1"/>
  <c r="AO351" i="12" s="1"/>
  <c r="AO356" i="12" a="1"/>
  <c r="AO356" i="12" s="1"/>
  <c r="AO366" i="12" a="1"/>
  <c r="AO366" i="12" s="1"/>
  <c r="AO371" i="12" a="1"/>
  <c r="AO371" i="12" s="1"/>
  <c r="AO376" i="12" a="1"/>
  <c r="AO376" i="12" s="1"/>
  <c r="AO386" i="12" a="1"/>
  <c r="AO386" i="12" s="1"/>
  <c r="AO391" i="12" a="1"/>
  <c r="AO391" i="12" s="1"/>
  <c r="AO396" i="12" a="1"/>
  <c r="AO396" i="12" s="1"/>
  <c r="AO401" i="12" a="1"/>
  <c r="AO401" i="12" s="1"/>
  <c r="AO407" i="12" a="1"/>
  <c r="AO407" i="12" s="1"/>
  <c r="AO412" i="12" a="1"/>
  <c r="AO412" i="12" s="1"/>
  <c r="AO417" i="12" a="1"/>
  <c r="AO417" i="12" s="1"/>
  <c r="AO7" i="12" a="1"/>
  <c r="AO7" i="12" s="1"/>
  <c r="AO12" i="12" a="1"/>
  <c r="AO12" i="12" s="1"/>
  <c r="AO16" i="12" a="1"/>
  <c r="AO16" i="12" s="1"/>
  <c r="AO22" i="12" a="1"/>
  <c r="AO22" i="12" s="1"/>
  <c r="AO28" i="12" a="1"/>
  <c r="AO28" i="12" s="1"/>
  <c r="AO33" i="12" a="1"/>
  <c r="AO33" i="12" s="1"/>
  <c r="AO39" i="12" a="1"/>
  <c r="AO39" i="12" s="1"/>
  <c r="AO44" i="12" a="1"/>
  <c r="AO44" i="12" s="1"/>
  <c r="AO50" i="12" a="1"/>
  <c r="AO50" i="12" s="1"/>
  <c r="AO55" i="12" a="1"/>
  <c r="AO55" i="12" s="1"/>
  <c r="AO60" i="12" a="1"/>
  <c r="AO60" i="12" s="1"/>
  <c r="AO66" i="12" a="1"/>
  <c r="AO66" i="12" s="1"/>
  <c r="AO71" i="12" a="1"/>
  <c r="AO71" i="12" s="1"/>
  <c r="AO76" i="12" a="1"/>
  <c r="AO76" i="12" s="1"/>
  <c r="AO82" i="12" a="1"/>
  <c r="AO82" i="12" s="1"/>
  <c r="AO87" i="12" a="1"/>
  <c r="AO87" i="12" s="1"/>
  <c r="AO93" i="12" a="1"/>
  <c r="AO93" i="12" s="1"/>
  <c r="AO98" i="12" a="1"/>
  <c r="AO98" i="12" s="1"/>
  <c r="AO104" i="12" a="1"/>
  <c r="AO104" i="12" s="1"/>
  <c r="AO109" i="12" a="1"/>
  <c r="AO109" i="12" s="1"/>
  <c r="AO114" i="12" a="1"/>
  <c r="AO114" i="12" s="1"/>
  <c r="AO120" i="12" a="1"/>
  <c r="AO120" i="12" s="1"/>
  <c r="AO125" i="12" a="1"/>
  <c r="AO125" i="12" s="1"/>
  <c r="AO130" i="12" a="1"/>
  <c r="AO130" i="12" s="1"/>
  <c r="AO136" i="12" a="1"/>
  <c r="AO136" i="12" s="1"/>
  <c r="AO141" i="12" a="1"/>
  <c r="AO141" i="12" s="1"/>
  <c r="AO147" i="12" a="1"/>
  <c r="AO147" i="12" s="1"/>
  <c r="AO152" i="12" a="1"/>
  <c r="AO152" i="12" s="1"/>
  <c r="AO158" i="12" a="1"/>
  <c r="AO158" i="12" s="1"/>
  <c r="AO163" i="12" a="1"/>
  <c r="AO163" i="12" s="1"/>
  <c r="AO168" i="12" a="1"/>
  <c r="AO168" i="12" s="1"/>
  <c r="AO174" i="12" a="1"/>
  <c r="AO174" i="12" s="1"/>
  <c r="AO179" i="12" a="1"/>
  <c r="AO179" i="12" s="1"/>
  <c r="AO184" i="12" a="1"/>
  <c r="AO184" i="12" s="1"/>
  <c r="AO190" i="12" a="1"/>
  <c r="AO190" i="12" s="1"/>
  <c r="AO195" i="12" a="1"/>
  <c r="AO195" i="12" s="1"/>
  <c r="AO201" i="12" a="1"/>
  <c r="AO201" i="12" s="1"/>
  <c r="AO206" i="12" a="1"/>
  <c r="AO206" i="12" s="1"/>
  <c r="AO212" i="12" a="1"/>
  <c r="AO212" i="12" s="1"/>
  <c r="AO217" i="12" a="1"/>
  <c r="AO217" i="12" s="1"/>
  <c r="AO222" i="12" a="1"/>
  <c r="AO222" i="12" s="1"/>
  <c r="AO228" i="12" a="1"/>
  <c r="AO228" i="12" s="1"/>
  <c r="AO233" i="12" a="1"/>
  <c r="AO233" i="12" s="1"/>
  <c r="AO238" i="12" a="1"/>
  <c r="AO238" i="12" s="1"/>
  <c r="AO244" i="12" a="1"/>
  <c r="AO244" i="12" s="1"/>
  <c r="AO249" i="12" a="1"/>
  <c r="AO249" i="12" s="1"/>
  <c r="AO259" i="12" a="1"/>
  <c r="AO259" i="12" s="1"/>
  <c r="AO264" i="12" a="1"/>
  <c r="AO264" i="12" s="1"/>
  <c r="AO269" i="12" a="1"/>
  <c r="AO269" i="12" s="1"/>
  <c r="AO273" i="12" a="1"/>
  <c r="AO273" i="12" s="1"/>
  <c r="AO289" i="12" a="1"/>
  <c r="AO289" i="12" s="1"/>
  <c r="AO293" i="12" a="1"/>
  <c r="AO293" i="12" s="1"/>
  <c r="AO298" i="12" a="1"/>
  <c r="AO298" i="12" s="1"/>
  <c r="AO303" i="12" a="1"/>
  <c r="AO303" i="12" s="1"/>
  <c r="AO308" i="12" a="1"/>
  <c r="AO308" i="12" s="1"/>
  <c r="AO313" i="12" a="1"/>
  <c r="AO313" i="12" s="1"/>
  <c r="AO318" i="12" a="1"/>
  <c r="AO318" i="12" s="1"/>
  <c r="AO323" i="12" a="1"/>
  <c r="AO323" i="12" s="1"/>
  <c r="AO327" i="12" a="1"/>
  <c r="AO327" i="12" s="1"/>
  <c r="AO343" i="12" a="1"/>
  <c r="AO343" i="12" s="1"/>
  <c r="AO347" i="12" a="1"/>
  <c r="AO347" i="12" s="1"/>
  <c r="AO352" i="12" a="1"/>
  <c r="AO352" i="12" s="1"/>
  <c r="AO357" i="12" a="1"/>
  <c r="AO357" i="12" s="1"/>
  <c r="AO362" i="12" a="1"/>
  <c r="AO362" i="12" s="1"/>
  <c r="AO367" i="12" a="1"/>
  <c r="AO367" i="12" s="1"/>
  <c r="AO372" i="12" a="1"/>
  <c r="AO372" i="12" s="1"/>
  <c r="AO377" i="12" a="1"/>
  <c r="AO377" i="12" s="1"/>
  <c r="AO381" i="12" a="1"/>
  <c r="AO381" i="12" s="1"/>
  <c r="AO397" i="12" a="1"/>
  <c r="AO397" i="12" s="1"/>
  <c r="AO8" i="12" a="1"/>
  <c r="AO8" i="12" s="1"/>
  <c r="AO13" i="12" a="1"/>
  <c r="AO13" i="12" s="1"/>
  <c r="AO17" i="12" a="1"/>
  <c r="AO17" i="12" s="1"/>
  <c r="AO23" i="12" a="1"/>
  <c r="AO23" i="12" s="1"/>
  <c r="AO29" i="12" a="1"/>
  <c r="AO29" i="12" s="1"/>
  <c r="AO34" i="12" a="1"/>
  <c r="AO34" i="12" s="1"/>
  <c r="AO45" i="12" a="1"/>
  <c r="AO45" i="12" s="1"/>
  <c r="AO56" i="12" a="1"/>
  <c r="AO56" i="12" s="1"/>
  <c r="AO61" i="12" a="1"/>
  <c r="AO61" i="12" s="1"/>
  <c r="AO67" i="12" a="1"/>
  <c r="AO67" i="12" s="1"/>
  <c r="AO72" i="12" a="1"/>
  <c r="AO72" i="12" s="1"/>
  <c r="AO77" i="12" a="1"/>
  <c r="AO77" i="12" s="1"/>
  <c r="AO83" i="12" a="1"/>
  <c r="AO83" i="12" s="1"/>
  <c r="AO88" i="12" a="1"/>
  <c r="AO88" i="12" s="1"/>
  <c r="AO99" i="12" a="1"/>
  <c r="AO99" i="12" s="1"/>
  <c r="AO110" i="12" a="1"/>
  <c r="AO110" i="12" s="1"/>
  <c r="AO115" i="12" a="1"/>
  <c r="AO115" i="12" s="1"/>
  <c r="AO121" i="12" a="1"/>
  <c r="AO121" i="12" s="1"/>
  <c r="AO126" i="12" a="1"/>
  <c r="AO126" i="12" s="1"/>
  <c r="AO131" i="12" a="1"/>
  <c r="AO131" i="12" s="1"/>
  <c r="AO137" i="12" a="1"/>
  <c r="AO137" i="12" s="1"/>
  <c r="AO142" i="12" a="1"/>
  <c r="AO142" i="12" s="1"/>
  <c r="AO153" i="12" a="1"/>
  <c r="AO153" i="12" s="1"/>
  <c r="AO164" i="12" a="1"/>
  <c r="AO164" i="12" s="1"/>
  <c r="AO169" i="12" a="1"/>
  <c r="AO169" i="12" s="1"/>
  <c r="AO175" i="12" a="1"/>
  <c r="AO175" i="12" s="1"/>
  <c r="AO180" i="12" a="1"/>
  <c r="AO180" i="12" s="1"/>
  <c r="AO185" i="12" a="1"/>
  <c r="AO185" i="12" s="1"/>
  <c r="AO191" i="12" a="1"/>
  <c r="AO191" i="12" s="1"/>
  <c r="AO196" i="12" a="1"/>
  <c r="AO196" i="12" s="1"/>
  <c r="AO207" i="12" a="1"/>
  <c r="AO207" i="12" s="1"/>
  <c r="AO218" i="12" a="1"/>
  <c r="AO218" i="12" s="1"/>
  <c r="AO223" i="12" a="1"/>
  <c r="AO223" i="12" s="1"/>
  <c r="AO229" i="12" a="1"/>
  <c r="AO229" i="12" s="1"/>
  <c r="AO234" i="12" a="1"/>
  <c r="AO234" i="12" s="1"/>
  <c r="AO239" i="12" a="1"/>
  <c r="AO239" i="12" s="1"/>
  <c r="AO245" i="12" a="1"/>
  <c r="AO245" i="12" s="1"/>
  <c r="AO250" i="12" a="1"/>
  <c r="AO250" i="12" s="1"/>
  <c r="AO255" i="12" a="1"/>
  <c r="AO255" i="12" s="1"/>
  <c r="AO260" i="12" a="1"/>
  <c r="AO260" i="12" s="1"/>
  <c r="AO265" i="12" a="1"/>
  <c r="AO265" i="12" s="1"/>
  <c r="AO270" i="12" a="1"/>
  <c r="AO270" i="12" s="1"/>
  <c r="AO274" i="12" a="1"/>
  <c r="AO274" i="12" s="1"/>
  <c r="AO279" i="12" a="1"/>
  <c r="AO279" i="12" s="1"/>
  <c r="AO284" i="12" a="1"/>
  <c r="AO284" i="12" s="1"/>
  <c r="AO294" i="12" a="1"/>
  <c r="AO294" i="12" s="1"/>
  <c r="AO299" i="12" a="1"/>
  <c r="AO299" i="12" s="1"/>
  <c r="AO304" i="12" a="1"/>
  <c r="AO304" i="12" s="1"/>
  <c r="AO314" i="12" a="1"/>
  <c r="AO314" i="12" s="1"/>
  <c r="AO319" i="12" a="1"/>
  <c r="AO319" i="12" s="1"/>
  <c r="AO324" i="12" a="1"/>
  <c r="AO324" i="12" s="1"/>
  <c r="AO328" i="12" a="1"/>
  <c r="AO328" i="12" s="1"/>
  <c r="AO333" i="12" a="1"/>
  <c r="AO333" i="12" s="1"/>
  <c r="AO338" i="12" a="1"/>
  <c r="AO338" i="12" s="1"/>
  <c r="AO348" i="12" a="1"/>
  <c r="AO348" i="12" s="1"/>
  <c r="AO353" i="12" a="1"/>
  <c r="AO353" i="12" s="1"/>
  <c r="AO358" i="12" a="1"/>
  <c r="AO358" i="12" s="1"/>
  <c r="AO368" i="12" a="1"/>
  <c r="AO368" i="12" s="1"/>
  <c r="AO373" i="12" a="1"/>
  <c r="AO373" i="12" s="1"/>
  <c r="AO378" i="12" a="1"/>
  <c r="AO378" i="12" s="1"/>
  <c r="AO382" i="12" a="1"/>
  <c r="AO382" i="12" s="1"/>
  <c r="AO387" i="12" a="1"/>
  <c r="AO387" i="12" s="1"/>
  <c r="AO392" i="12" a="1"/>
  <c r="AO392" i="12" s="1"/>
  <c r="AO398" i="12" a="1"/>
  <c r="AO398" i="12" s="1"/>
  <c r="AO14" i="12" a="1"/>
  <c r="AO14" i="12" s="1"/>
  <c r="AO18" i="12" a="1"/>
  <c r="AO18" i="12" s="1"/>
  <c r="AO24" i="12" a="1"/>
  <c r="AO24" i="12" s="1"/>
  <c r="AO30" i="12" a="1"/>
  <c r="AO30" i="12" s="1"/>
  <c r="AO35" i="12" a="1"/>
  <c r="AO35" i="12" s="1"/>
  <c r="AO40" i="12" a="1"/>
  <c r="AO40" i="12" s="1"/>
  <c r="AO46" i="12" a="1"/>
  <c r="AO46" i="12" s="1"/>
  <c r="AO51" i="12" a="1"/>
  <c r="AO51" i="12" s="1"/>
  <c r="AO57" i="12" a="1"/>
  <c r="AO57" i="12" s="1"/>
  <c r="AO62" i="12" a="1"/>
  <c r="AO62" i="12" s="1"/>
  <c r="AO68" i="12" a="1"/>
  <c r="AO68" i="12" s="1"/>
  <c r="AO73" i="12" a="1"/>
  <c r="AO73" i="12" s="1"/>
  <c r="AO78" i="12" a="1"/>
  <c r="AO78" i="12" s="1"/>
  <c r="AO84" i="12" a="1"/>
  <c r="AO84" i="12" s="1"/>
  <c r="AO89" i="12" a="1"/>
  <c r="AO89" i="12" s="1"/>
  <c r="AO94" i="12" a="1"/>
  <c r="AO94" i="12" s="1"/>
  <c r="AO100" i="12" a="1"/>
  <c r="AO100" i="12" s="1"/>
  <c r="AO105" i="12" a="1"/>
  <c r="AO105" i="12" s="1"/>
  <c r="AO111" i="12" a="1"/>
  <c r="AO111" i="12" s="1"/>
  <c r="AO116" i="12" a="1"/>
  <c r="AO116" i="12" s="1"/>
  <c r="AO122" i="12" a="1"/>
  <c r="AO122" i="12" s="1"/>
  <c r="AO127" i="12" a="1"/>
  <c r="AO127" i="12" s="1"/>
  <c r="AO132" i="12" a="1"/>
  <c r="AO132" i="12" s="1"/>
  <c r="AO138" i="12" a="1"/>
  <c r="AO138" i="12" s="1"/>
  <c r="AO143" i="12" a="1"/>
  <c r="AO143" i="12" s="1"/>
  <c r="AO148" i="12" a="1"/>
  <c r="AO148" i="12" s="1"/>
  <c r="AO154" i="12" a="1"/>
  <c r="AO154" i="12" s="1"/>
  <c r="AO159" i="12" a="1"/>
  <c r="AO159" i="12" s="1"/>
  <c r="AO165" i="12" a="1"/>
  <c r="AO165" i="12" s="1"/>
  <c r="AO170" i="12" a="1"/>
  <c r="AO170" i="12" s="1"/>
  <c r="AO176" i="12" a="1"/>
  <c r="AO176" i="12" s="1"/>
  <c r="AO181" i="12" a="1"/>
  <c r="AO181" i="12" s="1"/>
  <c r="AO186" i="12" a="1"/>
  <c r="AO186" i="12" s="1"/>
  <c r="AO192" i="12" a="1"/>
  <c r="AO192" i="12" s="1"/>
  <c r="AO197" i="12" a="1"/>
  <c r="AO197" i="12" s="1"/>
  <c r="AO202" i="12" a="1"/>
  <c r="AO202" i="12" s="1"/>
  <c r="AO208" i="12" a="1"/>
  <c r="AO208" i="12" s="1"/>
  <c r="AO213" i="12" a="1"/>
  <c r="AO213" i="12" s="1"/>
  <c r="AO219" i="12" a="1"/>
  <c r="AO219" i="12" s="1"/>
  <c r="AO224" i="12" a="1"/>
  <c r="AO224" i="12" s="1"/>
  <c r="AO230" i="12" a="1"/>
  <c r="AO230" i="12" s="1"/>
  <c r="AO235" i="12" a="1"/>
  <c r="AO235" i="12" s="1"/>
  <c r="AO240" i="12" a="1"/>
  <c r="AO240" i="12" s="1"/>
  <c r="AO246" i="12" a="1"/>
  <c r="AO246" i="12" s="1"/>
  <c r="AO251" i="12" a="1"/>
  <c r="AO251" i="12" s="1"/>
  <c r="AO271" i="12" a="1"/>
  <c r="AO271" i="12" s="1"/>
  <c r="AO275" i="12" a="1"/>
  <c r="AO275" i="12" s="1"/>
  <c r="AO280" i="12" a="1"/>
  <c r="AO280" i="12" s="1"/>
  <c r="AO285" i="12" a="1"/>
  <c r="AO285" i="12" s="1"/>
  <c r="AO290" i="12" a="1"/>
  <c r="AO290" i="12" s="1"/>
  <c r="AO295" i="12" a="1"/>
  <c r="AO295" i="12" s="1"/>
  <c r="AO300" i="12" a="1"/>
  <c r="AO300" i="12" s="1"/>
  <c r="AO305" i="12" a="1"/>
  <c r="AO305" i="12" s="1"/>
  <c r="AO309" i="12" a="1"/>
  <c r="AO309" i="12" s="1"/>
  <c r="AO325" i="12" a="1"/>
  <c r="AO325" i="12" s="1"/>
  <c r="AO329" i="12" a="1"/>
  <c r="AO329" i="12" s="1"/>
  <c r="AO334" i="12" a="1"/>
  <c r="AO334" i="12" s="1"/>
  <c r="AO339" i="12" a="1"/>
  <c r="AO339" i="12" s="1"/>
  <c r="AO344" i="12" a="1"/>
  <c r="AO344" i="12" s="1"/>
  <c r="AO349" i="12" a="1"/>
  <c r="AO349" i="12" s="1"/>
  <c r="AO354" i="12" a="1"/>
  <c r="AO354" i="12" s="1"/>
  <c r="AO359" i="12" a="1"/>
  <c r="AO359" i="12" s="1"/>
  <c r="AO363" i="12" a="1"/>
  <c r="AO363" i="12" s="1"/>
  <c r="AO379" i="12" a="1"/>
  <c r="AO379" i="12" s="1"/>
  <c r="AO383" i="12" a="1"/>
  <c r="AO383" i="12" s="1"/>
  <c r="AO404" i="12" a="1"/>
  <c r="AO404" i="12" s="1"/>
  <c r="AO415" i="12" a="1"/>
  <c r="AO415" i="12" s="1"/>
  <c r="AO425" i="12" a="1"/>
  <c r="AO425" i="12" s="1"/>
  <c r="AO430" i="12" a="1"/>
  <c r="AO430" i="12" s="1"/>
  <c r="AO437" i="12" a="1"/>
  <c r="AO437" i="12" s="1"/>
  <c r="AO443" i="12" a="1"/>
  <c r="AO443" i="12" s="1"/>
  <c r="AO448" i="12" a="1"/>
  <c r="AO448" i="12" s="1"/>
  <c r="AO453" i="12" a="1"/>
  <c r="AO453" i="12" s="1"/>
  <c r="AO458" i="12" a="1"/>
  <c r="AO458" i="12" s="1"/>
  <c r="AO463" i="12" a="1"/>
  <c r="AO463" i="12" s="1"/>
  <c r="AO468" i="12" a="1"/>
  <c r="AO468" i="12" s="1"/>
  <c r="AO473" i="12" a="1"/>
  <c r="AO473" i="12" s="1"/>
  <c r="AO479" i="12" a="1"/>
  <c r="AO479" i="12" s="1"/>
  <c r="AO488" i="12" a="1"/>
  <c r="AO488" i="12" s="1"/>
  <c r="AO493" i="12" a="1"/>
  <c r="AO493" i="12" s="1"/>
  <c r="AO503" i="12" a="1"/>
  <c r="AO503" i="12" s="1"/>
  <c r="AO508" i="12" a="1"/>
  <c r="AO508" i="12" s="1"/>
  <c r="AO512" i="12" a="1"/>
  <c r="AO512" i="12" s="1"/>
  <c r="AO520" i="12" a="1"/>
  <c r="AO520" i="12" s="1"/>
  <c r="AO528" i="12" a="1"/>
  <c r="AO528" i="12" s="1"/>
  <c r="AO539" i="12" a="1"/>
  <c r="AO539" i="12" s="1"/>
  <c r="AO543" i="12" a="1"/>
  <c r="AO543" i="12" s="1"/>
  <c r="AO547" i="12" a="1"/>
  <c r="AO547" i="12" s="1"/>
  <c r="AO551" i="12" a="1"/>
  <c r="AO551" i="12" s="1"/>
  <c r="AO555" i="12" a="1"/>
  <c r="AO555" i="12" s="1"/>
  <c r="AO566" i="12" a="1"/>
  <c r="AO566" i="12" s="1"/>
  <c r="AO574" i="12" a="1"/>
  <c r="AO574" i="12" s="1"/>
  <c r="AO582" i="12" a="1"/>
  <c r="AO582" i="12" s="1"/>
  <c r="AO593" i="12" a="1"/>
  <c r="AO593" i="12" s="1"/>
  <c r="AO597" i="12" a="1"/>
  <c r="AO597" i="12" s="1"/>
  <c r="AO601" i="12" a="1"/>
  <c r="AO601" i="12" s="1"/>
  <c r="AO605" i="12" a="1"/>
  <c r="AO605" i="12" s="1"/>
  <c r="AO609" i="12" a="1"/>
  <c r="AO609" i="12" s="1"/>
  <c r="AO620" i="12" a="1"/>
  <c r="AO620" i="12" s="1"/>
  <c r="AO715" i="12" a="1"/>
  <c r="AO715" i="12" s="1"/>
  <c r="AO722" i="12" a="1"/>
  <c r="AO722" i="12" s="1"/>
  <c r="AO726" i="12" a="1"/>
  <c r="AO726" i="12" s="1"/>
  <c r="AO733" i="12" a="1"/>
  <c r="AO733" i="12" s="1"/>
  <c r="AO740" i="12" a="1"/>
  <c r="AO740" i="12" s="1"/>
  <c r="AO744" i="12" a="1"/>
  <c r="AO744" i="12" s="1"/>
  <c r="AO751" i="12" a="1"/>
  <c r="AO751" i="12" s="1"/>
  <c r="AO758" i="12" a="1"/>
  <c r="AO758" i="12" s="1"/>
  <c r="AO762" i="12" a="1"/>
  <c r="AO762" i="12" s="1"/>
  <c r="AO769" i="12" a="1"/>
  <c r="AO769" i="12" s="1"/>
  <c r="AO776" i="12" a="1"/>
  <c r="AO776" i="12" s="1"/>
  <c r="AO780" i="12" a="1"/>
  <c r="AO780" i="12" s="1"/>
  <c r="AO787" i="12" a="1"/>
  <c r="AO787" i="12" s="1"/>
  <c r="AN5" i="12" a="1"/>
  <c r="AN5" i="12" s="1"/>
  <c r="AN10" i="12" a="1"/>
  <c r="AN10" i="12" s="1"/>
  <c r="AN15" i="12" a="1"/>
  <c r="AN15" i="12" s="1"/>
  <c r="AN20" i="12" a="1"/>
  <c r="AN20" i="12" s="1"/>
  <c r="AN26" i="12" a="1"/>
  <c r="AN26" i="12" s="1"/>
  <c r="AN32" i="12" a="1"/>
  <c r="AN32" i="12" s="1"/>
  <c r="AN38" i="12" a="1"/>
  <c r="AN38" i="12" s="1"/>
  <c r="AN44" i="12" a="1"/>
  <c r="AN44" i="12" s="1"/>
  <c r="AN49" i="12" a="1"/>
  <c r="AN49" i="12" s="1"/>
  <c r="AN53" i="12" a="1"/>
  <c r="AN53" i="12" s="1"/>
  <c r="AN58" i="12" a="1"/>
  <c r="AN58" i="12" s="1"/>
  <c r="AN63" i="12" a="1"/>
  <c r="AN63" i="12" s="1"/>
  <c r="AN73" i="12" a="1"/>
  <c r="AN73" i="12" s="1"/>
  <c r="AN79" i="12" a="1"/>
  <c r="AN79" i="12" s="1"/>
  <c r="AN84" i="12" a="1"/>
  <c r="AN84" i="12" s="1"/>
  <c r="AN88" i="12" a="1"/>
  <c r="AN88" i="12" s="1"/>
  <c r="AN104" i="12" a="1"/>
  <c r="AN104" i="12" s="1"/>
  <c r="AN108" i="12" a="1"/>
  <c r="AN108" i="12" s="1"/>
  <c r="AN113" i="12" a="1"/>
  <c r="AN113" i="12" s="1"/>
  <c r="AN118" i="12" a="1"/>
  <c r="AN118" i="12" s="1"/>
  <c r="AN123" i="12" a="1"/>
  <c r="AN123" i="12" s="1"/>
  <c r="AN128" i="12" a="1"/>
  <c r="AN128" i="12" s="1"/>
  <c r="AN133" i="12" a="1"/>
  <c r="AN133" i="12" s="1"/>
  <c r="AN138" i="12" a="1"/>
  <c r="AN138" i="12" s="1"/>
  <c r="AN142" i="12" a="1"/>
  <c r="AN142" i="12" s="1"/>
  <c r="AN158" i="12" a="1"/>
  <c r="AN158" i="12" s="1"/>
  <c r="AN162" i="12" a="1"/>
  <c r="AN162" i="12" s="1"/>
  <c r="AN167" i="12" a="1"/>
  <c r="AN167" i="12" s="1"/>
  <c r="AN173" i="12" a="1"/>
  <c r="AN173" i="12" s="1"/>
  <c r="AN178" i="12" a="1"/>
  <c r="AN178" i="12" s="1"/>
  <c r="AN184" i="12" a="1"/>
  <c r="AN184" i="12" s="1"/>
  <c r="AN190" i="12" a="1"/>
  <c r="AN190" i="12" s="1"/>
  <c r="AN196" i="12" a="1"/>
  <c r="AN196" i="12" s="1"/>
  <c r="AN202" i="12" a="1"/>
  <c r="AN202" i="12" s="1"/>
  <c r="AN208" i="12" a="1"/>
  <c r="AN208" i="12" s="1"/>
  <c r="AN214" i="12" a="1"/>
  <c r="AN214" i="12" s="1"/>
  <c r="AN220" i="12" a="1"/>
  <c r="AN220" i="12" s="1"/>
  <c r="AN226" i="12" a="1"/>
  <c r="AN226" i="12" s="1"/>
  <c r="AN232" i="12" a="1"/>
  <c r="AN232" i="12" s="1"/>
  <c r="AN238" i="12" a="1"/>
  <c r="AN238" i="12" s="1"/>
  <c r="AN244" i="12" a="1"/>
  <c r="AN244" i="12" s="1"/>
  <c r="AN250" i="12" a="1"/>
  <c r="AN250" i="12" s="1"/>
  <c r="AN256" i="12" a="1"/>
  <c r="AN256" i="12" s="1"/>
  <c r="AN266" i="12" a="1"/>
  <c r="AN266" i="12" s="1"/>
  <c r="AN277" i="12" a="1"/>
  <c r="AN277" i="12" s="1"/>
  <c r="AN282" i="12" a="1"/>
  <c r="AN282" i="12" s="1"/>
  <c r="AN288" i="12" a="1"/>
  <c r="AN288" i="12" s="1"/>
  <c r="AN293" i="12" a="1"/>
  <c r="AN293" i="12" s="1"/>
  <c r="AN298" i="12" a="1"/>
  <c r="AN298" i="12" s="1"/>
  <c r="AN304" i="12" a="1"/>
  <c r="AN304" i="12" s="1"/>
  <c r="AN309" i="12" a="1"/>
  <c r="AN309" i="12" s="1"/>
  <c r="AN320" i="12" a="1"/>
  <c r="AN320" i="12" s="1"/>
  <c r="AN331" i="12" a="1"/>
  <c r="AN331" i="12" s="1"/>
  <c r="AN336" i="12" a="1"/>
  <c r="AN336" i="12" s="1"/>
  <c r="AN342" i="12" a="1"/>
  <c r="AN342" i="12" s="1"/>
  <c r="AN347" i="12" a="1"/>
  <c r="AN347" i="12" s="1"/>
  <c r="AN352" i="12" a="1"/>
  <c r="AN352" i="12" s="1"/>
  <c r="AN358" i="12" a="1"/>
  <c r="AN358" i="12" s="1"/>
  <c r="AN363" i="12" a="1"/>
  <c r="AN363" i="12" s="1"/>
  <c r="AO388" i="12" a="1"/>
  <c r="AO388" i="12" s="1"/>
  <c r="AO408" i="12" a="1"/>
  <c r="AO408" i="12" s="1"/>
  <c r="AO418" i="12" a="1"/>
  <c r="AO418" i="12" s="1"/>
  <c r="AO426" i="12" a="1"/>
  <c r="AO426" i="12" s="1"/>
  <c r="AO432" i="12" a="1"/>
  <c r="AO432" i="12" s="1"/>
  <c r="AO438" i="12" a="1"/>
  <c r="AO438" i="12" s="1"/>
  <c r="AO444" i="12" a="1"/>
  <c r="AO444" i="12" s="1"/>
  <c r="AO449" i="12" a="1"/>
  <c r="AO449" i="12" s="1"/>
  <c r="AO454" i="12" a="1"/>
  <c r="AO454" i="12" s="1"/>
  <c r="AO459" i="12" a="1"/>
  <c r="AO459" i="12" s="1"/>
  <c r="AO464" i="12" a="1"/>
  <c r="AO464" i="12" s="1"/>
  <c r="AO469" i="12" a="1"/>
  <c r="AO469" i="12" s="1"/>
  <c r="AO474" i="12" a="1"/>
  <c r="AO474" i="12" s="1"/>
  <c r="AO480" i="12" a="1"/>
  <c r="AO480" i="12" s="1"/>
  <c r="AO484" i="12" a="1"/>
  <c r="AO484" i="12" s="1"/>
  <c r="AO489" i="12" a="1"/>
  <c r="AO489" i="12" s="1"/>
  <c r="AO494" i="12" a="1"/>
  <c r="AO494" i="12" s="1"/>
  <c r="AO499" i="12" a="1"/>
  <c r="AO499" i="12" s="1"/>
  <c r="AO504" i="12" a="1"/>
  <c r="AO504" i="12" s="1"/>
  <c r="AO513" i="12" a="1"/>
  <c r="AO513" i="12" s="1"/>
  <c r="AO517" i="12" a="1"/>
  <c r="AO517" i="12" s="1"/>
  <c r="AO524" i="12" a="1"/>
  <c r="AO524" i="12" s="1"/>
  <c r="AO532" i="12" a="1"/>
  <c r="AO532" i="12" s="1"/>
  <c r="AO536" i="12" a="1"/>
  <c r="AO536" i="12" s="1"/>
  <c r="AO540" i="12" a="1"/>
  <c r="AO540" i="12" s="1"/>
  <c r="AO544" i="12" a="1"/>
  <c r="AO544" i="12" s="1"/>
  <c r="AO552" i="12" a="1"/>
  <c r="AO552" i="12" s="1"/>
  <c r="AO559" i="12" a="1"/>
  <c r="AO559" i="12" s="1"/>
  <c r="AO563" i="12" a="1"/>
  <c r="AO563" i="12" s="1"/>
  <c r="AO567" i="12" a="1"/>
  <c r="AO567" i="12" s="1"/>
  <c r="AO571" i="12" a="1"/>
  <c r="AO571" i="12" s="1"/>
  <c r="AO578" i="12" a="1"/>
  <c r="AO578" i="12" s="1"/>
  <c r="AO586" i="12" a="1"/>
  <c r="AO586" i="12" s="1"/>
  <c r="AO590" i="12" a="1"/>
  <c r="AO590" i="12" s="1"/>
  <c r="AO594" i="12" a="1"/>
  <c r="AO594" i="12" s="1"/>
  <c r="AO598" i="12" a="1"/>
  <c r="AO598" i="12" s="1"/>
  <c r="AO606" i="12" a="1"/>
  <c r="AO606" i="12" s="1"/>
  <c r="AO613" i="12" a="1"/>
  <c r="AO613" i="12" s="1"/>
  <c r="AO617" i="12" a="1"/>
  <c r="AO617" i="12" s="1"/>
  <c r="AO621" i="12" a="1"/>
  <c r="AO621" i="12" s="1"/>
  <c r="AO625" i="12" a="1"/>
  <c r="AO625" i="12" s="1"/>
  <c r="AO628" i="12" a="1"/>
  <c r="AO628" i="12" s="1"/>
  <c r="AO631" i="12" a="1"/>
  <c r="AO631" i="12" s="1"/>
  <c r="AO634" i="12" a="1"/>
  <c r="AO634" i="12" s="1"/>
  <c r="AO637" i="12" a="1"/>
  <c r="AO637" i="12" s="1"/>
  <c r="AO640" i="12" a="1"/>
  <c r="AO640" i="12" s="1"/>
  <c r="AO643" i="12" a="1"/>
  <c r="AO643" i="12" s="1"/>
  <c r="AO646" i="12" a="1"/>
  <c r="AO646" i="12" s="1"/>
  <c r="AO649" i="12" a="1"/>
  <c r="AO649" i="12" s="1"/>
  <c r="AO652" i="12" a="1"/>
  <c r="AO652" i="12" s="1"/>
  <c r="AO655" i="12" a="1"/>
  <c r="AO655" i="12" s="1"/>
  <c r="AO658" i="12" a="1"/>
  <c r="AO658" i="12" s="1"/>
  <c r="AO661" i="12" a="1"/>
  <c r="AO661" i="12" s="1"/>
  <c r="AO664" i="12" a="1"/>
  <c r="AO664" i="12" s="1"/>
  <c r="AO667" i="12" a="1"/>
  <c r="AO667" i="12" s="1"/>
  <c r="AO670" i="12" a="1"/>
  <c r="AO670" i="12" s="1"/>
  <c r="AO673" i="12" a="1"/>
  <c r="AO673" i="12" s="1"/>
  <c r="AO676" i="12" a="1"/>
  <c r="AO676" i="12" s="1"/>
  <c r="AO679" i="12" a="1"/>
  <c r="AO679" i="12" s="1"/>
  <c r="AO682" i="12" a="1"/>
  <c r="AO682" i="12" s="1"/>
  <c r="AO685" i="12" a="1"/>
  <c r="AO685" i="12" s="1"/>
  <c r="AO688" i="12" a="1"/>
  <c r="AO688" i="12" s="1"/>
  <c r="AO691" i="12" a="1"/>
  <c r="AO691" i="12" s="1"/>
  <c r="AO393" i="12" a="1"/>
  <c r="AO393" i="12" s="1"/>
  <c r="AO409" i="12" a="1"/>
  <c r="AO409" i="12" s="1"/>
  <c r="AO419" i="12" a="1"/>
  <c r="AO419" i="12" s="1"/>
  <c r="AO433" i="12" a="1"/>
  <c r="AO433" i="12" s="1"/>
  <c r="AO450" i="12" a="1"/>
  <c r="AO450" i="12" s="1"/>
  <c r="AO460" i="12" a="1"/>
  <c r="AO460" i="12" s="1"/>
  <c r="AO465" i="12" a="1"/>
  <c r="AO465" i="12" s="1"/>
  <c r="AO470" i="12" a="1"/>
  <c r="AO470" i="12" s="1"/>
  <c r="AO475" i="12" a="1"/>
  <c r="AO475" i="12" s="1"/>
  <c r="AO485" i="12" a="1"/>
  <c r="AO485" i="12" s="1"/>
  <c r="AO490" i="12" a="1"/>
  <c r="AO490" i="12" s="1"/>
  <c r="AO495" i="12" a="1"/>
  <c r="AO495" i="12" s="1"/>
  <c r="AO500" i="12" a="1"/>
  <c r="AO500" i="12" s="1"/>
  <c r="AO505" i="12" a="1"/>
  <c r="AO505" i="12" s="1"/>
  <c r="AO509" i="12" a="1"/>
  <c r="AO509" i="12" s="1"/>
  <c r="AO521" i="12" a="1"/>
  <c r="AO521" i="12" s="1"/>
  <c r="AO525" i="12" a="1"/>
  <c r="AO525" i="12" s="1"/>
  <c r="AO529" i="12" a="1"/>
  <c r="AO529" i="12" s="1"/>
  <c r="AO533" i="12" a="1"/>
  <c r="AO533" i="12" s="1"/>
  <c r="AO537" i="12" a="1"/>
  <c r="AO537" i="12" s="1"/>
  <c r="AO548" i="12" a="1"/>
  <c r="AO548" i="12" s="1"/>
  <c r="AO556" i="12" a="1"/>
  <c r="AO556" i="12" s="1"/>
  <c r="AO564" i="12" a="1"/>
  <c r="AO564" i="12" s="1"/>
  <c r="AO575" i="12" a="1"/>
  <c r="AO575" i="12" s="1"/>
  <c r="AO579" i="12" a="1"/>
  <c r="AO579" i="12" s="1"/>
  <c r="AO583" i="12" a="1"/>
  <c r="AO583" i="12" s="1"/>
  <c r="AO587" i="12" a="1"/>
  <c r="AO587" i="12" s="1"/>
  <c r="AO591" i="12" a="1"/>
  <c r="AO591" i="12" s="1"/>
  <c r="AO602" i="12" a="1"/>
  <c r="AO602" i="12" s="1"/>
  <c r="AO610" i="12" a="1"/>
  <c r="AO610" i="12" s="1"/>
  <c r="AO618" i="12" a="1"/>
  <c r="AO618" i="12" s="1"/>
  <c r="AO420" i="12" a="1"/>
  <c r="AO420" i="12" s="1"/>
  <c r="AO428" i="12" a="1"/>
  <c r="AO428" i="12" s="1"/>
  <c r="AO439" i="12" a="1"/>
  <c r="AO439" i="12" s="1"/>
  <c r="AO445" i="12" a="1"/>
  <c r="AO445" i="12" s="1"/>
  <c r="AO451" i="12" a="1"/>
  <c r="AO451" i="12" s="1"/>
  <c r="AO455" i="12" a="1"/>
  <c r="AO455" i="12" s="1"/>
  <c r="AO461" i="12" a="1"/>
  <c r="AO461" i="12" s="1"/>
  <c r="AO471" i="12" a="1"/>
  <c r="AO471" i="12" s="1"/>
  <c r="AO476" i="12" a="1"/>
  <c r="AO476" i="12" s="1"/>
  <c r="AO481" i="12" a="1"/>
  <c r="AO481" i="12" s="1"/>
  <c r="AO486" i="12" a="1"/>
  <c r="AO486" i="12" s="1"/>
  <c r="AO496" i="12" a="1"/>
  <c r="AO496" i="12" s="1"/>
  <c r="AO501" i="12" a="1"/>
  <c r="AO501" i="12" s="1"/>
  <c r="AO510" i="12" a="1"/>
  <c r="AO510" i="12" s="1"/>
  <c r="AO514" i="12" a="1"/>
  <c r="AO514" i="12" s="1"/>
  <c r="AO518" i="12" a="1"/>
  <c r="AO518" i="12" s="1"/>
  <c r="AO522" i="12" a="1"/>
  <c r="AO522" i="12" s="1"/>
  <c r="AO526" i="12" a="1"/>
  <c r="AO526" i="12" s="1"/>
  <c r="AO534" i="12" a="1"/>
  <c r="AO534" i="12" s="1"/>
  <c r="AO541" i="12" a="1"/>
  <c r="AO541" i="12" s="1"/>
  <c r="AO545" i="12" a="1"/>
  <c r="AO545" i="12" s="1"/>
  <c r="AO549" i="12" a="1"/>
  <c r="AO549" i="12" s="1"/>
  <c r="AO553" i="12" a="1"/>
  <c r="AO553" i="12" s="1"/>
  <c r="AO560" i="12" a="1"/>
  <c r="AO560" i="12" s="1"/>
  <c r="AO568" i="12" a="1"/>
  <c r="AO568" i="12" s="1"/>
  <c r="AO572" i="12" a="1"/>
  <c r="AO572" i="12" s="1"/>
  <c r="AO576" i="12" a="1"/>
  <c r="AO576" i="12" s="1"/>
  <c r="AO580" i="12" a="1"/>
  <c r="AO580" i="12" s="1"/>
  <c r="AO588" i="12" a="1"/>
  <c r="AO588" i="12" s="1"/>
  <c r="AO595" i="12" a="1"/>
  <c r="AO595" i="12" s="1"/>
  <c r="AO599" i="12" a="1"/>
  <c r="AO599" i="12" s="1"/>
  <c r="AO603" i="12" a="1"/>
  <c r="AO603" i="12" s="1"/>
  <c r="AO402" i="12" a="1"/>
  <c r="AO402" i="12" s="1"/>
  <c r="AO413" i="12" a="1"/>
  <c r="AO413" i="12" s="1"/>
  <c r="AO423" i="12" a="1"/>
  <c r="AO423" i="12" s="1"/>
  <c r="AO429" i="12" a="1"/>
  <c r="AO429" i="12" s="1"/>
  <c r="AO434" i="12" a="1"/>
  <c r="AO434" i="12" s="1"/>
  <c r="AO440" i="12" a="1"/>
  <c r="AO440" i="12" s="1"/>
  <c r="AO446" i="12" a="1"/>
  <c r="AO446" i="12" s="1"/>
  <c r="AO456" i="12" a="1"/>
  <c r="AO456" i="12" s="1"/>
  <c r="AO462" i="12" a="1"/>
  <c r="AO462" i="12" s="1"/>
  <c r="AO466" i="12" a="1"/>
  <c r="AO466" i="12" s="1"/>
  <c r="AO472" i="12" a="1"/>
  <c r="AO472" i="12" s="1"/>
  <c r="AO477" i="12" a="1"/>
  <c r="AO477" i="12" s="1"/>
  <c r="AO482" i="12" a="1"/>
  <c r="AO482" i="12" s="1"/>
  <c r="AO487" i="12" a="1"/>
  <c r="AO487" i="12" s="1"/>
  <c r="AO491" i="12" a="1"/>
  <c r="AO491" i="12" s="1"/>
  <c r="AO497" i="12" a="1"/>
  <c r="AO497" i="12" s="1"/>
  <c r="AO506" i="12" a="1"/>
  <c r="AO506" i="12" s="1"/>
  <c r="AO511" i="12" a="1"/>
  <c r="AO511" i="12" s="1"/>
  <c r="AO515" i="12" a="1"/>
  <c r="AO515" i="12" s="1"/>
  <c r="AO519" i="12" a="1"/>
  <c r="AO519" i="12" s="1"/>
  <c r="AO530" i="12" a="1"/>
  <c r="AO530" i="12" s="1"/>
  <c r="AO538" i="12" a="1"/>
  <c r="AO538" i="12" s="1"/>
  <c r="AO546" i="12" a="1"/>
  <c r="AO546" i="12" s="1"/>
  <c r="AO557" i="12" a="1"/>
  <c r="AO557" i="12" s="1"/>
  <c r="AO561" i="12" a="1"/>
  <c r="AO561" i="12" s="1"/>
  <c r="AO565" i="12" a="1"/>
  <c r="AO565" i="12" s="1"/>
  <c r="AO569" i="12" a="1"/>
  <c r="AO569" i="12" s="1"/>
  <c r="AO573" i="12" a="1"/>
  <c r="AO573" i="12" s="1"/>
  <c r="AO584" i="12" a="1"/>
  <c r="AO584" i="12" s="1"/>
  <c r="AO592" i="12" a="1"/>
  <c r="AO592" i="12" s="1"/>
  <c r="AO600" i="12" a="1"/>
  <c r="AO600" i="12" s="1"/>
  <c r="AO403" i="12" a="1"/>
  <c r="AO403" i="12" s="1"/>
  <c r="AO414" i="12" a="1"/>
  <c r="AO414" i="12" s="1"/>
  <c r="AO424" i="12" a="1"/>
  <c r="AO424" i="12" s="1"/>
  <c r="AO435" i="12" a="1"/>
  <c r="AO435" i="12" s="1"/>
  <c r="AO442" i="12" a="1"/>
  <c r="AO442" i="12" s="1"/>
  <c r="AO447" i="12" a="1"/>
  <c r="AO447" i="12" s="1"/>
  <c r="AO452" i="12" a="1"/>
  <c r="AO452" i="12" s="1"/>
  <c r="AO457" i="12" a="1"/>
  <c r="AO457" i="12" s="1"/>
  <c r="AO467" i="12" a="1"/>
  <c r="AO467" i="12" s="1"/>
  <c r="AO478" i="12" a="1"/>
  <c r="AO478" i="12" s="1"/>
  <c r="AO483" i="12" a="1"/>
  <c r="AO483" i="12" s="1"/>
  <c r="AO492" i="12" a="1"/>
  <c r="AO492" i="12" s="1"/>
  <c r="AO498" i="12" a="1"/>
  <c r="AO498" i="12" s="1"/>
  <c r="AO502" i="12" a="1"/>
  <c r="AO502" i="12" s="1"/>
  <c r="AO507" i="12" a="1"/>
  <c r="AO507" i="12" s="1"/>
  <c r="AO516" i="12" a="1"/>
  <c r="AO516" i="12" s="1"/>
  <c r="AO523" i="12" a="1"/>
  <c r="AO523" i="12" s="1"/>
  <c r="AO527" i="12" a="1"/>
  <c r="AO527" i="12" s="1"/>
  <c r="AO531" i="12" a="1"/>
  <c r="AO531" i="12" s="1"/>
  <c r="AO535" i="12" a="1"/>
  <c r="AO535" i="12" s="1"/>
  <c r="AO542" i="12" a="1"/>
  <c r="AO542" i="12" s="1"/>
  <c r="AO550" i="12" a="1"/>
  <c r="AO550" i="12" s="1"/>
  <c r="AO554" i="12" a="1"/>
  <c r="AO554" i="12" s="1"/>
  <c r="AO558" i="12" a="1"/>
  <c r="AO558" i="12" s="1"/>
  <c r="AO562" i="12" a="1"/>
  <c r="AO562" i="12" s="1"/>
  <c r="AO570" i="12" a="1"/>
  <c r="AO570" i="12" s="1"/>
  <c r="AO577" i="12" a="1"/>
  <c r="AO577" i="12" s="1"/>
  <c r="AO581" i="12" a="1"/>
  <c r="AO581" i="12" s="1"/>
  <c r="AO585" i="12" a="1"/>
  <c r="AO585" i="12" s="1"/>
  <c r="AO604" i="12" a="1"/>
  <c r="AO604" i="12" s="1"/>
  <c r="AO612" i="12" a="1"/>
  <c r="AO612" i="12" s="1"/>
  <c r="AO694" i="12" a="1"/>
  <c r="AO694" i="12" s="1"/>
  <c r="AO701" i="12" a="1"/>
  <c r="AO701" i="12" s="1"/>
  <c r="AO708" i="12" a="1"/>
  <c r="AO708" i="12" s="1"/>
  <c r="AO712" i="12" a="1"/>
  <c r="AO712" i="12" s="1"/>
  <c r="AO716" i="12" a="1"/>
  <c r="AO716" i="12" s="1"/>
  <c r="AO729" i="12" a="1"/>
  <c r="AO729" i="12" s="1"/>
  <c r="AO738" i="12" a="1"/>
  <c r="AO738" i="12" s="1"/>
  <c r="AO742" i="12" a="1"/>
  <c r="AO742" i="12" s="1"/>
  <c r="AO746" i="12" a="1"/>
  <c r="AO746" i="12" s="1"/>
  <c r="AO755" i="12" a="1"/>
  <c r="AO755" i="12" s="1"/>
  <c r="AO768" i="12" a="1"/>
  <c r="AO768" i="12" s="1"/>
  <c r="AO772" i="12" a="1"/>
  <c r="AO772" i="12" s="1"/>
  <c r="AO777" i="12" a="1"/>
  <c r="AO777" i="12" s="1"/>
  <c r="AO781" i="12" a="1"/>
  <c r="AO781" i="12" s="1"/>
  <c r="AO785" i="12" a="1"/>
  <c r="AO785" i="12" s="1"/>
  <c r="AN4" i="12" a="1"/>
  <c r="AN4" i="12" s="1"/>
  <c r="AN11" i="12" a="1"/>
  <c r="AN11" i="12" s="1"/>
  <c r="AN16" i="12" a="1"/>
  <c r="AN16" i="12" s="1"/>
  <c r="AN23" i="12" a="1"/>
  <c r="AN23" i="12" s="1"/>
  <c r="AN30" i="12" a="1"/>
  <c r="AN30" i="12" s="1"/>
  <c r="AN37" i="12" a="1"/>
  <c r="AN37" i="12" s="1"/>
  <c r="AN56" i="12" a="1"/>
  <c r="AN56" i="12" s="1"/>
  <c r="AN62" i="12" a="1"/>
  <c r="AN62" i="12" s="1"/>
  <c r="AN68" i="12" a="1"/>
  <c r="AN68" i="12" s="1"/>
  <c r="AN74" i="12" a="1"/>
  <c r="AN74" i="12" s="1"/>
  <c r="AN92" i="12" a="1"/>
  <c r="AN92" i="12" s="1"/>
  <c r="AN98" i="12" a="1"/>
  <c r="AN98" i="12" s="1"/>
  <c r="AN110" i="12" a="1"/>
  <c r="AN110" i="12" s="1"/>
  <c r="AN116" i="12" a="1"/>
  <c r="AN116" i="12" s="1"/>
  <c r="AN122" i="12" a="1"/>
  <c r="AN122" i="12" s="1"/>
  <c r="AN127" i="12" a="1"/>
  <c r="AN127" i="12" s="1"/>
  <c r="AN134" i="12" a="1"/>
  <c r="AN134" i="12" s="1"/>
  <c r="AN140" i="12" a="1"/>
  <c r="AN140" i="12" s="1"/>
  <c r="AN145" i="12" a="1"/>
  <c r="AN145" i="12" s="1"/>
  <c r="AN151" i="12" a="1"/>
  <c r="AN151" i="12" s="1"/>
  <c r="AN157" i="12" a="1"/>
  <c r="AN157" i="12" s="1"/>
  <c r="AN163" i="12" a="1"/>
  <c r="AN163" i="12" s="1"/>
  <c r="AN169" i="12" a="1"/>
  <c r="AN169" i="12" s="1"/>
  <c r="AN176" i="12" a="1"/>
  <c r="AN176" i="12" s="1"/>
  <c r="AN182" i="12" a="1"/>
  <c r="AN182" i="12" s="1"/>
  <c r="AN189" i="12" a="1"/>
  <c r="AN189" i="12" s="1"/>
  <c r="AN197" i="12" a="1"/>
  <c r="AN197" i="12" s="1"/>
  <c r="AN204" i="12" a="1"/>
  <c r="AN204" i="12" s="1"/>
  <c r="AN211" i="12" a="1"/>
  <c r="AN211" i="12" s="1"/>
  <c r="AN218" i="12" a="1"/>
  <c r="AN218" i="12" s="1"/>
  <c r="AN225" i="12" a="1"/>
  <c r="AN225" i="12" s="1"/>
  <c r="AN233" i="12" a="1"/>
  <c r="AN233" i="12" s="1"/>
  <c r="AN240" i="12" a="1"/>
  <c r="AN240" i="12" s="1"/>
  <c r="AN247" i="12" a="1"/>
  <c r="AN247" i="12" s="1"/>
  <c r="AN254" i="12" a="1"/>
  <c r="AN254" i="12" s="1"/>
  <c r="AN260" i="12" a="1"/>
  <c r="AN260" i="12" s="1"/>
  <c r="AN267" i="12" a="1"/>
  <c r="AN267" i="12" s="1"/>
  <c r="AN273" i="12" a="1"/>
  <c r="AN273" i="12" s="1"/>
  <c r="AN279" i="12" a="1"/>
  <c r="AN279" i="12" s="1"/>
  <c r="AN286" i="12" a="1"/>
  <c r="AN286" i="12" s="1"/>
  <c r="AN292" i="12" a="1"/>
  <c r="AN292" i="12" s="1"/>
  <c r="AN299" i="12" a="1"/>
  <c r="AN299" i="12" s="1"/>
  <c r="AN306" i="12" a="1"/>
  <c r="AN306" i="12" s="1"/>
  <c r="AN312" i="12" a="1"/>
  <c r="AN312" i="12" s="1"/>
  <c r="AN318" i="12" a="1"/>
  <c r="AN318" i="12" s="1"/>
  <c r="AN325" i="12" a="1"/>
  <c r="AN325" i="12" s="1"/>
  <c r="AN332" i="12" a="1"/>
  <c r="AN332" i="12" s="1"/>
  <c r="AN338" i="12" a="1"/>
  <c r="AN338" i="12" s="1"/>
  <c r="AN344" i="12" a="1"/>
  <c r="AN344" i="12" s="1"/>
  <c r="AN357" i="12" a="1"/>
  <c r="AN357" i="12" s="1"/>
  <c r="AN364" i="12" a="1"/>
  <c r="AN364" i="12" s="1"/>
  <c r="AN370" i="12" a="1"/>
  <c r="AN370" i="12" s="1"/>
  <c r="AN376" i="12" a="1"/>
  <c r="AN376" i="12" s="1"/>
  <c r="AN381" i="12" a="1"/>
  <c r="AN381" i="12" s="1"/>
  <c r="AN392" i="12" a="1"/>
  <c r="AN392" i="12" s="1"/>
  <c r="AN403" i="12" a="1"/>
  <c r="AN403" i="12" s="1"/>
  <c r="AN408" i="12" a="1"/>
  <c r="AN408" i="12" s="1"/>
  <c r="AN414" i="12" a="1"/>
  <c r="AN414" i="12" s="1"/>
  <c r="AN419" i="12" a="1"/>
  <c r="AN419" i="12" s="1"/>
  <c r="AN424" i="12" a="1"/>
  <c r="AN424" i="12" s="1"/>
  <c r="AN434" i="12" a="1"/>
  <c r="AN434" i="12" s="1"/>
  <c r="AN440" i="12" a="1"/>
  <c r="AN440" i="12" s="1"/>
  <c r="AN445" i="12" a="1"/>
  <c r="AN445" i="12" s="1"/>
  <c r="AN451" i="12" a="1"/>
  <c r="AN451" i="12" s="1"/>
  <c r="AN455" i="12" a="1"/>
  <c r="AN455" i="12" s="1"/>
  <c r="AN461" i="12" a="1"/>
  <c r="AN461" i="12" s="1"/>
  <c r="AN470" i="12" a="1"/>
  <c r="AN470" i="12" s="1"/>
  <c r="AN475" i="12" a="1"/>
  <c r="AN475" i="12" s="1"/>
  <c r="AN485" i="12" a="1"/>
  <c r="AN485" i="12" s="1"/>
  <c r="AN490" i="12" a="1"/>
  <c r="AN490" i="12" s="1"/>
  <c r="AN495" i="12" a="1"/>
  <c r="AN495" i="12" s="1"/>
  <c r="AN500" i="12" a="1"/>
  <c r="AN500" i="12" s="1"/>
  <c r="AN511" i="12" a="1"/>
  <c r="AN511" i="12" s="1"/>
  <c r="AN516" i="12" a="1"/>
  <c r="AN516" i="12" s="1"/>
  <c r="AN521" i="12" a="1"/>
  <c r="AN521" i="12" s="1"/>
  <c r="AN525" i="12" a="1"/>
  <c r="AN525" i="12" s="1"/>
  <c r="AN530" i="12" a="1"/>
  <c r="AN530" i="12" s="1"/>
  <c r="AN535" i="12" a="1"/>
  <c r="AN535" i="12" s="1"/>
  <c r="AN545" i="12" a="1"/>
  <c r="AN545" i="12" s="1"/>
  <c r="AN550" i="12" a="1"/>
  <c r="AN550" i="12" s="1"/>
  <c r="AN555" i="12" a="1"/>
  <c r="AN555" i="12" s="1"/>
  <c r="AN565" i="12" a="1"/>
  <c r="AN565" i="12" s="1"/>
  <c r="AN570" i="12" a="1"/>
  <c r="AN570" i="12" s="1"/>
  <c r="AN575" i="12" a="1"/>
  <c r="AN575" i="12" s="1"/>
  <c r="AN579" i="12" a="1"/>
  <c r="AN579" i="12" s="1"/>
  <c r="AN584" i="12" a="1"/>
  <c r="AN584" i="12" s="1"/>
  <c r="AN589" i="12" a="1"/>
  <c r="AN589" i="12" s="1"/>
  <c r="AN599" i="12" a="1"/>
  <c r="AN599" i="12" s="1"/>
  <c r="AN604" i="12" a="1"/>
  <c r="AN604" i="12" s="1"/>
  <c r="AN609" i="12" a="1"/>
  <c r="AN609" i="12" s="1"/>
  <c r="AN619" i="12" a="1"/>
  <c r="AN619" i="12" s="1"/>
  <c r="AN624" i="12" a="1"/>
  <c r="AN624" i="12" s="1"/>
  <c r="AN629" i="12" a="1"/>
  <c r="AN629" i="12" s="1"/>
  <c r="AN635" i="12" a="1"/>
  <c r="AN635" i="12" s="1"/>
  <c r="AN641" i="12" a="1"/>
  <c r="AN641" i="12" s="1"/>
  <c r="AN647" i="12" a="1"/>
  <c r="AN647" i="12" s="1"/>
  <c r="AN653" i="12" a="1"/>
  <c r="AN653" i="12" s="1"/>
  <c r="AN659" i="12" a="1"/>
  <c r="AN659" i="12" s="1"/>
  <c r="AN665" i="12" a="1"/>
  <c r="AN665" i="12" s="1"/>
  <c r="AN671" i="12" a="1"/>
  <c r="AN671" i="12" s="1"/>
  <c r="AN677" i="12" a="1"/>
  <c r="AN677" i="12" s="1"/>
  <c r="AN683" i="12" a="1"/>
  <c r="AN683" i="12" s="1"/>
  <c r="AN689" i="12" a="1"/>
  <c r="AN689" i="12" s="1"/>
  <c r="AN695" i="12" a="1"/>
  <c r="AN695" i="12" s="1"/>
  <c r="AN701" i="12" a="1"/>
  <c r="AN701" i="12" s="1"/>
  <c r="AN707" i="12" a="1"/>
  <c r="AN707" i="12" s="1"/>
  <c r="AO589" i="12" a="1"/>
  <c r="AO589" i="12" s="1"/>
  <c r="AO607" i="12" a="1"/>
  <c r="AO607" i="12" s="1"/>
  <c r="AO614" i="12" a="1"/>
  <c r="AO614" i="12" s="1"/>
  <c r="AO622" i="12" a="1"/>
  <c r="AO622" i="12" s="1"/>
  <c r="AO627" i="12" a="1"/>
  <c r="AO627" i="12" s="1"/>
  <c r="AO632" i="12" a="1"/>
  <c r="AO632" i="12" s="1"/>
  <c r="AO636" i="12" a="1"/>
  <c r="AO636" i="12" s="1"/>
  <c r="AO641" i="12" a="1"/>
  <c r="AO641" i="12" s="1"/>
  <c r="AO645" i="12" a="1"/>
  <c r="AO645" i="12" s="1"/>
  <c r="AO650" i="12" a="1"/>
  <c r="AO650" i="12" s="1"/>
  <c r="AO654" i="12" a="1"/>
  <c r="AO654" i="12" s="1"/>
  <c r="AO659" i="12" a="1"/>
  <c r="AO659" i="12" s="1"/>
  <c r="AO663" i="12" a="1"/>
  <c r="AO663" i="12" s="1"/>
  <c r="AO668" i="12" a="1"/>
  <c r="AO668" i="12" s="1"/>
  <c r="AO672" i="12" a="1"/>
  <c r="AO672" i="12" s="1"/>
  <c r="AO677" i="12" a="1"/>
  <c r="AO677" i="12" s="1"/>
  <c r="AO681" i="12" a="1"/>
  <c r="AO681" i="12" s="1"/>
  <c r="AO686" i="12" a="1"/>
  <c r="AO686" i="12" s="1"/>
  <c r="AO690" i="12" a="1"/>
  <c r="AO690" i="12" s="1"/>
  <c r="AO698" i="12" a="1"/>
  <c r="AO698" i="12" s="1"/>
  <c r="AO705" i="12" a="1"/>
  <c r="AO705" i="12" s="1"/>
  <c r="AO709" i="12" a="1"/>
  <c r="AO709" i="12" s="1"/>
  <c r="AO717" i="12" a="1"/>
  <c r="AO717" i="12" s="1"/>
  <c r="AO721" i="12" a="1"/>
  <c r="AO721" i="12" s="1"/>
  <c r="AO725" i="12" a="1"/>
  <c r="AO725" i="12" s="1"/>
  <c r="AO730" i="12" a="1"/>
  <c r="AO730" i="12" s="1"/>
  <c r="AO734" i="12" a="1"/>
  <c r="AO734" i="12" s="1"/>
  <c r="AO747" i="12" a="1"/>
  <c r="AO747" i="12" s="1"/>
  <c r="AO756" i="12" a="1"/>
  <c r="AO756" i="12" s="1"/>
  <c r="AO760" i="12" a="1"/>
  <c r="AO760" i="12" s="1"/>
  <c r="AO764" i="12" a="1"/>
  <c r="AO764" i="12" s="1"/>
  <c r="AO773" i="12" a="1"/>
  <c r="AO773" i="12" s="1"/>
  <c r="AO786" i="12" a="1"/>
  <c r="AO786" i="12" s="1"/>
  <c r="AO790" i="12" a="1"/>
  <c r="AO790" i="12" s="1"/>
  <c r="AN6" i="12" a="1"/>
  <c r="AN6" i="12" s="1"/>
  <c r="AN12" i="12" a="1"/>
  <c r="AN12" i="12" s="1"/>
  <c r="AN17" i="12" a="1"/>
  <c r="AN17" i="12" s="1"/>
  <c r="AN24" i="12" a="1"/>
  <c r="AN24" i="12" s="1"/>
  <c r="AN31" i="12" a="1"/>
  <c r="AN31" i="12" s="1"/>
  <c r="AN39" i="12" a="1"/>
  <c r="AN39" i="12" s="1"/>
  <c r="AN45" i="12" a="1"/>
  <c r="AN45" i="12" s="1"/>
  <c r="AN51" i="12" a="1"/>
  <c r="AN51" i="12" s="1"/>
  <c r="AN57" i="12" a="1"/>
  <c r="AN57" i="12" s="1"/>
  <c r="AN69" i="12" a="1"/>
  <c r="AN69" i="12" s="1"/>
  <c r="AN75" i="12" a="1"/>
  <c r="AN75" i="12" s="1"/>
  <c r="AN81" i="12" a="1"/>
  <c r="AN81" i="12" s="1"/>
  <c r="AN87" i="12" a="1"/>
  <c r="AN87" i="12" s="1"/>
  <c r="AN93" i="12" a="1"/>
  <c r="AN93" i="12" s="1"/>
  <c r="AN99" i="12" a="1"/>
  <c r="AN99" i="12" s="1"/>
  <c r="AN105" i="12" a="1"/>
  <c r="AN105" i="12" s="1"/>
  <c r="AN111" i="12" a="1"/>
  <c r="AN111" i="12" s="1"/>
  <c r="AN129" i="12" a="1"/>
  <c r="AN129" i="12" s="1"/>
  <c r="AN146" i="12" a="1"/>
  <c r="AN146" i="12" s="1"/>
  <c r="AN152" i="12" a="1"/>
  <c r="AN152" i="12" s="1"/>
  <c r="AN164" i="12" a="1"/>
  <c r="AN164" i="12" s="1"/>
  <c r="AN170" i="12" a="1"/>
  <c r="AN170" i="12" s="1"/>
  <c r="AN183" i="12" a="1"/>
  <c r="AN183" i="12" s="1"/>
  <c r="AN191" i="12" a="1"/>
  <c r="AN191" i="12" s="1"/>
  <c r="AO615" i="12" a="1"/>
  <c r="AO615" i="12" s="1"/>
  <c r="AO623" i="12" a="1"/>
  <c r="AO623" i="12" s="1"/>
  <c r="AO695" i="12" a="1"/>
  <c r="AO695" i="12" s="1"/>
  <c r="AO702" i="12" a="1"/>
  <c r="AO702" i="12" s="1"/>
  <c r="AO706" i="12" a="1"/>
  <c r="AO706" i="12" s="1"/>
  <c r="AO713" i="12" a="1"/>
  <c r="AO713" i="12" s="1"/>
  <c r="AO735" i="12" a="1"/>
  <c r="AO735" i="12" s="1"/>
  <c r="AO739" i="12" a="1"/>
  <c r="AO739" i="12" s="1"/>
  <c r="AO743" i="12" a="1"/>
  <c r="AO743" i="12" s="1"/>
  <c r="AO748" i="12" a="1"/>
  <c r="AO748" i="12" s="1"/>
  <c r="AO752" i="12" a="1"/>
  <c r="AO752" i="12" s="1"/>
  <c r="AO765" i="12" a="1"/>
  <c r="AO765" i="12" s="1"/>
  <c r="AO774" i="12" a="1"/>
  <c r="AO774" i="12" s="1"/>
  <c r="AO778" i="12" a="1"/>
  <c r="AO778" i="12" s="1"/>
  <c r="AO782" i="12" a="1"/>
  <c r="AO782" i="12" s="1"/>
  <c r="AO791" i="12" a="1"/>
  <c r="AO791" i="12" s="1"/>
  <c r="AN7" i="12" a="1"/>
  <c r="AN7" i="12" s="1"/>
  <c r="AN13" i="12" a="1"/>
  <c r="AN13" i="12" s="1"/>
  <c r="AN18" i="12" a="1"/>
  <c r="AN18" i="12" s="1"/>
  <c r="AN25" i="12" a="1"/>
  <c r="AN25" i="12" s="1"/>
  <c r="AN33" i="12" a="1"/>
  <c r="AN33" i="12" s="1"/>
  <c r="AN40" i="12" a="1"/>
  <c r="AN40" i="12" s="1"/>
  <c r="AN46" i="12" a="1"/>
  <c r="AN46" i="12" s="1"/>
  <c r="AN64" i="12" a="1"/>
  <c r="AN64" i="12" s="1"/>
  <c r="AN76" i="12" a="1"/>
  <c r="AN76" i="12" s="1"/>
  <c r="AN82" i="12" a="1"/>
  <c r="AN82" i="12" s="1"/>
  <c r="AN94" i="12" a="1"/>
  <c r="AN94" i="12" s="1"/>
  <c r="AN100" i="12" a="1"/>
  <c r="AN100" i="12" s="1"/>
  <c r="AN117" i="12" a="1"/>
  <c r="AN117" i="12" s="1"/>
  <c r="AN135" i="12" a="1"/>
  <c r="AN135" i="12" s="1"/>
  <c r="AN141" i="12" a="1"/>
  <c r="AN141" i="12" s="1"/>
  <c r="AN147" i="12" a="1"/>
  <c r="AN147" i="12" s="1"/>
  <c r="AN153" i="12" a="1"/>
  <c r="AN153" i="12" s="1"/>
  <c r="AN159" i="12" a="1"/>
  <c r="AN159" i="12" s="1"/>
  <c r="AN165" i="12" a="1"/>
  <c r="AN165" i="12" s="1"/>
  <c r="AN171" i="12" a="1"/>
  <c r="AN171" i="12" s="1"/>
  <c r="AN177" i="12" a="1"/>
  <c r="AN177" i="12" s="1"/>
  <c r="AN185" i="12" a="1"/>
  <c r="AN185" i="12" s="1"/>
  <c r="AN192" i="12" a="1"/>
  <c r="AN192" i="12" s="1"/>
  <c r="AN199" i="12" a="1"/>
  <c r="AN199" i="12" s="1"/>
  <c r="AN206" i="12" a="1"/>
  <c r="AN206" i="12" s="1"/>
  <c r="AN213" i="12" a="1"/>
  <c r="AN213" i="12" s="1"/>
  <c r="AN221" i="12" a="1"/>
  <c r="AN221" i="12" s="1"/>
  <c r="AN228" i="12" a="1"/>
  <c r="AN228" i="12" s="1"/>
  <c r="AN235" i="12" a="1"/>
  <c r="AN235" i="12" s="1"/>
  <c r="AN242" i="12" a="1"/>
  <c r="AN242" i="12" s="1"/>
  <c r="AN249" i="12" a="1"/>
  <c r="AN249" i="12" s="1"/>
  <c r="AN257" i="12" a="1"/>
  <c r="AN257" i="12" s="1"/>
  <c r="AN262" i="12" a="1"/>
  <c r="AN262" i="12" s="1"/>
  <c r="AN269" i="12" a="1"/>
  <c r="AN269" i="12" s="1"/>
  <c r="AO596" i="12" a="1"/>
  <c r="AO596" i="12" s="1"/>
  <c r="AO608" i="12" a="1"/>
  <c r="AO608" i="12" s="1"/>
  <c r="AO616" i="12" a="1"/>
  <c r="AO616" i="12" s="1"/>
  <c r="AO624" i="12" a="1"/>
  <c r="AO624" i="12" s="1"/>
  <c r="AO629" i="12" a="1"/>
  <c r="AO629" i="12" s="1"/>
  <c r="AO633" i="12" a="1"/>
  <c r="AO633" i="12" s="1"/>
  <c r="AO638" i="12" a="1"/>
  <c r="AO638" i="12" s="1"/>
  <c r="AO642" i="12" a="1"/>
  <c r="AO642" i="12" s="1"/>
  <c r="AO647" i="12" a="1"/>
  <c r="AO647" i="12" s="1"/>
  <c r="AO651" i="12" a="1"/>
  <c r="AO651" i="12" s="1"/>
  <c r="AO656" i="12" a="1"/>
  <c r="AO656" i="12" s="1"/>
  <c r="AO660" i="12" a="1"/>
  <c r="AO660" i="12" s="1"/>
  <c r="AO665" i="12" a="1"/>
  <c r="AO665" i="12" s="1"/>
  <c r="AO669" i="12" a="1"/>
  <c r="AO669" i="12" s="1"/>
  <c r="AO674" i="12" a="1"/>
  <c r="AO674" i="12" s="1"/>
  <c r="AO678" i="12" a="1"/>
  <c r="AO678" i="12" s="1"/>
  <c r="AO683" i="12" a="1"/>
  <c r="AO683" i="12" s="1"/>
  <c r="AO687" i="12" a="1"/>
  <c r="AO687" i="12" s="1"/>
  <c r="AO692" i="12" a="1"/>
  <c r="AO692" i="12" s="1"/>
  <c r="AO699" i="12" a="1"/>
  <c r="AO699" i="12" s="1"/>
  <c r="AO703" i="12" a="1"/>
  <c r="AO703" i="12" s="1"/>
  <c r="AO710" i="12" a="1"/>
  <c r="AO710" i="12" s="1"/>
  <c r="AO714" i="12" a="1"/>
  <c r="AO714" i="12" s="1"/>
  <c r="AO718" i="12" a="1"/>
  <c r="AO718" i="12" s="1"/>
  <c r="AO723" i="12" a="1"/>
  <c r="AO723" i="12" s="1"/>
  <c r="AO727" i="12" a="1"/>
  <c r="AO727" i="12" s="1"/>
  <c r="AO731" i="12" a="1"/>
  <c r="AO731" i="12" s="1"/>
  <c r="AO753" i="12" a="1"/>
  <c r="AO753" i="12" s="1"/>
  <c r="AO757" i="12" a="1"/>
  <c r="AO757" i="12" s="1"/>
  <c r="AO761" i="12" a="1"/>
  <c r="AO761" i="12" s="1"/>
  <c r="AO766" i="12" a="1"/>
  <c r="AO766" i="12" s="1"/>
  <c r="AO770" i="12" a="1"/>
  <c r="AO770" i="12" s="1"/>
  <c r="AO783" i="12" a="1"/>
  <c r="AO783" i="12" s="1"/>
  <c r="AO792" i="12" a="1"/>
  <c r="AO792" i="12" s="1"/>
  <c r="AN8" i="12" a="1"/>
  <c r="AN8" i="12" s="1"/>
  <c r="AN14" i="12" a="1"/>
  <c r="AN14" i="12" s="1"/>
  <c r="AN19" i="12" a="1"/>
  <c r="AN19" i="12" s="1"/>
  <c r="AN27" i="12" a="1"/>
  <c r="AN27" i="12" s="1"/>
  <c r="AN34" i="12" a="1"/>
  <c r="AN34" i="12" s="1"/>
  <c r="AN41" i="12" a="1"/>
  <c r="AN41" i="12" s="1"/>
  <c r="AN47" i="12" a="1"/>
  <c r="AN47" i="12" s="1"/>
  <c r="AN52" i="12" a="1"/>
  <c r="AN52" i="12" s="1"/>
  <c r="AN59" i="12" a="1"/>
  <c r="AN59" i="12" s="1"/>
  <c r="AN65" i="12" a="1"/>
  <c r="AN65" i="12" s="1"/>
  <c r="AN70" i="12" a="1"/>
  <c r="AN70" i="12" s="1"/>
  <c r="AN77" i="12" a="1"/>
  <c r="AN77" i="12" s="1"/>
  <c r="AN83" i="12" a="1"/>
  <c r="AN83" i="12" s="1"/>
  <c r="AN89" i="12" a="1"/>
  <c r="AN89" i="12" s="1"/>
  <c r="AN95" i="12" a="1"/>
  <c r="AN95" i="12" s="1"/>
  <c r="AN101" i="12" a="1"/>
  <c r="AN101" i="12" s="1"/>
  <c r="AN106" i="12" a="1"/>
  <c r="AN106" i="12" s="1"/>
  <c r="AN112" i="12" a="1"/>
  <c r="AN112" i="12" s="1"/>
  <c r="AN119" i="12" a="1"/>
  <c r="AN119" i="12" s="1"/>
  <c r="AN124" i="12" a="1"/>
  <c r="AN124" i="12" s="1"/>
  <c r="AN130" i="12" a="1"/>
  <c r="AN130" i="12" s="1"/>
  <c r="AN136" i="12" a="1"/>
  <c r="AN136" i="12" s="1"/>
  <c r="AN148" i="12" a="1"/>
  <c r="AN148" i="12" s="1"/>
  <c r="AN154" i="12" a="1"/>
  <c r="AN154" i="12" s="1"/>
  <c r="AN172" i="12" a="1"/>
  <c r="AN172" i="12" s="1"/>
  <c r="AO696" i="12" a="1"/>
  <c r="AO696" i="12" s="1"/>
  <c r="AO700" i="12" a="1"/>
  <c r="AO700" i="12" s="1"/>
  <c r="AO707" i="12" a="1"/>
  <c r="AO707" i="12" s="1"/>
  <c r="AO719" i="12" a="1"/>
  <c r="AO719" i="12" s="1"/>
  <c r="AO732" i="12" a="1"/>
  <c r="AO732" i="12" s="1"/>
  <c r="AO736" i="12" a="1"/>
  <c r="AO736" i="12" s="1"/>
  <c r="AO741" i="12" a="1"/>
  <c r="AO741" i="12" s="1"/>
  <c r="AO745" i="12" a="1"/>
  <c r="AO745" i="12" s="1"/>
  <c r="AO749" i="12" a="1"/>
  <c r="AO749" i="12" s="1"/>
  <c r="AO771" i="12" a="1"/>
  <c r="AO771" i="12" s="1"/>
  <c r="AO775" i="12" a="1"/>
  <c r="AO775" i="12" s="1"/>
  <c r="AO779" i="12" a="1"/>
  <c r="AO779" i="12" s="1"/>
  <c r="AO784" i="12" a="1"/>
  <c r="AO784" i="12" s="1"/>
  <c r="AO788" i="12" a="1"/>
  <c r="AO788" i="12" s="1"/>
  <c r="AN21" i="12" a="1"/>
  <c r="AN21" i="12" s="1"/>
  <c r="AN28" i="12" a="1"/>
  <c r="AN28" i="12" s="1"/>
  <c r="AN35" i="12" a="1"/>
  <c r="AN35" i="12" s="1"/>
  <c r="AN42" i="12" a="1"/>
  <c r="AN42" i="12" s="1"/>
  <c r="AN48" i="12" a="1"/>
  <c r="AN48" i="12" s="1"/>
  <c r="AN54" i="12" a="1"/>
  <c r="AN54" i="12" s="1"/>
  <c r="AN60" i="12" a="1"/>
  <c r="AN60" i="12" s="1"/>
  <c r="AN66" i="12" a="1"/>
  <c r="AN66" i="12" s="1"/>
  <c r="AN71" i="12" a="1"/>
  <c r="AN71" i="12" s="1"/>
  <c r="AN78" i="12" a="1"/>
  <c r="AN78" i="12" s="1"/>
  <c r="AN85" i="12" a="1"/>
  <c r="AN85" i="12" s="1"/>
  <c r="AN90" i="12" a="1"/>
  <c r="AN90" i="12" s="1"/>
  <c r="AN96" i="12" a="1"/>
  <c r="AN96" i="12" s="1"/>
  <c r="AN102" i="12" a="1"/>
  <c r="AN102" i="12" s="1"/>
  <c r="AN107" i="12" a="1"/>
  <c r="AN107" i="12" s="1"/>
  <c r="AN114" i="12" a="1"/>
  <c r="AN114" i="12" s="1"/>
  <c r="AN120" i="12" a="1"/>
  <c r="AN120" i="12" s="1"/>
  <c r="AN125" i="12" a="1"/>
  <c r="AN125" i="12" s="1"/>
  <c r="AN131" i="12" a="1"/>
  <c r="AN131" i="12" s="1"/>
  <c r="AN137" i="12" a="1"/>
  <c r="AN137" i="12" s="1"/>
  <c r="AN143" i="12" a="1"/>
  <c r="AN143" i="12" s="1"/>
  <c r="AN149" i="12" a="1"/>
  <c r="AN149" i="12" s="1"/>
  <c r="AN155" i="12" a="1"/>
  <c r="AN155" i="12" s="1"/>
  <c r="AN160" i="12" a="1"/>
  <c r="AN160" i="12" s="1"/>
  <c r="AN166" i="12" a="1"/>
  <c r="AN166" i="12" s="1"/>
  <c r="AN174" i="12" a="1"/>
  <c r="AN174" i="12" s="1"/>
  <c r="AN180" i="12" a="1"/>
  <c r="AN180" i="12" s="1"/>
  <c r="AN187" i="12" a="1"/>
  <c r="AN187" i="12" s="1"/>
  <c r="AN194" i="12" a="1"/>
  <c r="AN194" i="12" s="1"/>
  <c r="AN201" i="12" a="1"/>
  <c r="AN201" i="12" s="1"/>
  <c r="AN209" i="12" a="1"/>
  <c r="AN209" i="12" s="1"/>
  <c r="AN216" i="12" a="1"/>
  <c r="AN216" i="12" s="1"/>
  <c r="AN223" i="12" a="1"/>
  <c r="AN223" i="12" s="1"/>
  <c r="AN230" i="12" a="1"/>
  <c r="AN230" i="12" s="1"/>
  <c r="AN237" i="12" a="1"/>
  <c r="AN237" i="12" s="1"/>
  <c r="AN245" i="12" a="1"/>
  <c r="AN245" i="12" s="1"/>
  <c r="AO611" i="12" a="1"/>
  <c r="AO611" i="12" s="1"/>
  <c r="AO619" i="12" a="1"/>
  <c r="AO619" i="12" s="1"/>
  <c r="AO626" i="12" a="1"/>
  <c r="AO626" i="12" s="1"/>
  <c r="AO630" i="12" a="1"/>
  <c r="AO630" i="12" s="1"/>
  <c r="AO635" i="12" a="1"/>
  <c r="AO635" i="12" s="1"/>
  <c r="AO639" i="12" a="1"/>
  <c r="AO639" i="12" s="1"/>
  <c r="AO644" i="12" a="1"/>
  <c r="AO644" i="12" s="1"/>
  <c r="AO648" i="12" a="1"/>
  <c r="AO648" i="12" s="1"/>
  <c r="AO653" i="12" a="1"/>
  <c r="AO653" i="12" s="1"/>
  <c r="AO657" i="12" a="1"/>
  <c r="AO657" i="12" s="1"/>
  <c r="AO662" i="12" a="1"/>
  <c r="AO662" i="12" s="1"/>
  <c r="AO666" i="12" a="1"/>
  <c r="AO666" i="12" s="1"/>
  <c r="AO671" i="12" a="1"/>
  <c r="AO671" i="12" s="1"/>
  <c r="AO675" i="12" a="1"/>
  <c r="AO675" i="12" s="1"/>
  <c r="AO680" i="12" a="1"/>
  <c r="AO680" i="12" s="1"/>
  <c r="AO684" i="12" a="1"/>
  <c r="AO684" i="12" s="1"/>
  <c r="AO689" i="12" a="1"/>
  <c r="AO689" i="12" s="1"/>
  <c r="AO693" i="12" a="1"/>
  <c r="AO693" i="12" s="1"/>
  <c r="AO697" i="12" a="1"/>
  <c r="AO697" i="12" s="1"/>
  <c r="AO704" i="12" a="1"/>
  <c r="AO704" i="12" s="1"/>
  <c r="AO711" i="12" a="1"/>
  <c r="AO711" i="12" s="1"/>
  <c r="AO720" i="12" a="1"/>
  <c r="AO720" i="12" s="1"/>
  <c r="AO724" i="12" a="1"/>
  <c r="AO724" i="12" s="1"/>
  <c r="AO728" i="12" a="1"/>
  <c r="AO728" i="12" s="1"/>
  <c r="AO737" i="12" a="1"/>
  <c r="AO737" i="12" s="1"/>
  <c r="AO750" i="12" a="1"/>
  <c r="AO750" i="12" s="1"/>
  <c r="AO754" i="12" a="1"/>
  <c r="AO754" i="12" s="1"/>
  <c r="AO759" i="12" a="1"/>
  <c r="AO759" i="12" s="1"/>
  <c r="AO763" i="12" a="1"/>
  <c r="AO763" i="12" s="1"/>
  <c r="AO767" i="12" a="1"/>
  <c r="AO767" i="12" s="1"/>
  <c r="AO789" i="12" a="1"/>
  <c r="AO789" i="12" s="1"/>
  <c r="AN9" i="12" a="1"/>
  <c r="AN9" i="12" s="1"/>
  <c r="AN22" i="12" a="1"/>
  <c r="AN22" i="12" s="1"/>
  <c r="AN29" i="12" a="1"/>
  <c r="AN29" i="12" s="1"/>
  <c r="AN36" i="12" a="1"/>
  <c r="AN36" i="12" s="1"/>
  <c r="AN43" i="12" a="1"/>
  <c r="AN43" i="12" s="1"/>
  <c r="AN50" i="12" a="1"/>
  <c r="AN50" i="12" s="1"/>
  <c r="AN55" i="12" a="1"/>
  <c r="AN55" i="12" s="1"/>
  <c r="AN61" i="12" a="1"/>
  <c r="AN61" i="12" s="1"/>
  <c r="AN67" i="12" a="1"/>
  <c r="AN67" i="12" s="1"/>
  <c r="AN72" i="12" a="1"/>
  <c r="AN72" i="12" s="1"/>
  <c r="AN80" i="12" a="1"/>
  <c r="AN80" i="12" s="1"/>
  <c r="AN86" i="12" a="1"/>
  <c r="AN86" i="12" s="1"/>
  <c r="AN91" i="12" a="1"/>
  <c r="AN91" i="12" s="1"/>
  <c r="AN97" i="12" a="1"/>
  <c r="AN97" i="12" s="1"/>
  <c r="AN103" i="12" a="1"/>
  <c r="AN103" i="12" s="1"/>
  <c r="AN109" i="12" a="1"/>
  <c r="AN109" i="12" s="1"/>
  <c r="AN115" i="12" a="1"/>
  <c r="AN115" i="12" s="1"/>
  <c r="AN121" i="12" a="1"/>
  <c r="AN121" i="12" s="1"/>
  <c r="AN126" i="12" a="1"/>
  <c r="AN126" i="12" s="1"/>
  <c r="AN132" i="12" a="1"/>
  <c r="AN132" i="12" s="1"/>
  <c r="AN139" i="12" a="1"/>
  <c r="AN139" i="12" s="1"/>
  <c r="AN144" i="12" a="1"/>
  <c r="AN144" i="12" s="1"/>
  <c r="AN150" i="12" a="1"/>
  <c r="AN150" i="12" s="1"/>
  <c r="AN181" i="12" a="1"/>
  <c r="AN181" i="12" s="1"/>
  <c r="AN200" i="12" a="1"/>
  <c r="AN200" i="12" s="1"/>
  <c r="AN215" i="12" a="1"/>
  <c r="AN215" i="12" s="1"/>
  <c r="AN229" i="12" a="1"/>
  <c r="AN229" i="12" s="1"/>
  <c r="AN243" i="12" a="1"/>
  <c r="AN243" i="12" s="1"/>
  <c r="AN255" i="12" a="1"/>
  <c r="AN255" i="12" s="1"/>
  <c r="AN264" i="12" a="1"/>
  <c r="AN264" i="12" s="1"/>
  <c r="AN274" i="12" a="1"/>
  <c r="AN274" i="12" s="1"/>
  <c r="AN281" i="12" a="1"/>
  <c r="AN281" i="12" s="1"/>
  <c r="AN305" i="12" a="1"/>
  <c r="AN305" i="12" s="1"/>
  <c r="AN313" i="12" a="1"/>
  <c r="AN313" i="12" s="1"/>
  <c r="AN321" i="12" a="1"/>
  <c r="AN321" i="12" s="1"/>
  <c r="AN328" i="12" a="1"/>
  <c r="AN328" i="12" s="1"/>
  <c r="AN335" i="12" a="1"/>
  <c r="AN335" i="12" s="1"/>
  <c r="AN351" i="12" a="1"/>
  <c r="AN351" i="12" s="1"/>
  <c r="AN360" i="12" a="1"/>
  <c r="AN360" i="12" s="1"/>
  <c r="AN367" i="12" a="1"/>
  <c r="AN367" i="12" s="1"/>
  <c r="AN374" i="12" a="1"/>
  <c r="AN374" i="12" s="1"/>
  <c r="AN380" i="12" a="1"/>
  <c r="AN380" i="12" s="1"/>
  <c r="AN387" i="12" a="1"/>
  <c r="AN387" i="12" s="1"/>
  <c r="AN394" i="12" a="1"/>
  <c r="AN394" i="12" s="1"/>
  <c r="AN400" i="12" a="1"/>
  <c r="AN400" i="12" s="1"/>
  <c r="AN406" i="12" a="1"/>
  <c r="AN406" i="12" s="1"/>
  <c r="AN413" i="12" a="1"/>
  <c r="AN413" i="12" s="1"/>
  <c r="AN420" i="12" a="1"/>
  <c r="AN420" i="12" s="1"/>
  <c r="AN426" i="12" a="1"/>
  <c r="AN426" i="12" s="1"/>
  <c r="AN432" i="12" a="1"/>
  <c r="AN432" i="12" s="1"/>
  <c r="AN438" i="12" a="1"/>
  <c r="AN438" i="12" s="1"/>
  <c r="AN457" i="12" a="1"/>
  <c r="AN457" i="12" s="1"/>
  <c r="AN463" i="12" a="1"/>
  <c r="AN463" i="12" s="1"/>
  <c r="AN469" i="12" a="1"/>
  <c r="AN469" i="12" s="1"/>
  <c r="AN474" i="12" a="1"/>
  <c r="AN474" i="12" s="1"/>
  <c r="AN481" i="12" a="1"/>
  <c r="AN481" i="12" s="1"/>
  <c r="AN487" i="12" a="1"/>
  <c r="AN487" i="12" s="1"/>
  <c r="AN492" i="12" a="1"/>
  <c r="AN492" i="12" s="1"/>
  <c r="AN505" i="12" a="1"/>
  <c r="AN505" i="12" s="1"/>
  <c r="AN517" i="12" a="1"/>
  <c r="AN517" i="12" s="1"/>
  <c r="AN523" i="12" a="1"/>
  <c r="AN523" i="12" s="1"/>
  <c r="AN529" i="12" a="1"/>
  <c r="AN529" i="12" s="1"/>
  <c r="AN541" i="12" a="1"/>
  <c r="AN541" i="12" s="1"/>
  <c r="AN547" i="12" a="1"/>
  <c r="AN547" i="12" s="1"/>
  <c r="AN564" i="12" a="1"/>
  <c r="AN564" i="12" s="1"/>
  <c r="AN582" i="12" a="1"/>
  <c r="AN582" i="12" s="1"/>
  <c r="AN588" i="12" a="1"/>
  <c r="AN588" i="12" s="1"/>
  <c r="AN594" i="12" a="1"/>
  <c r="AN594" i="12" s="1"/>
  <c r="AN600" i="12" a="1"/>
  <c r="AN600" i="12" s="1"/>
  <c r="AN606" i="12" a="1"/>
  <c r="AN606" i="12" s="1"/>
  <c r="AN612" i="12" a="1"/>
  <c r="AN612" i="12" s="1"/>
  <c r="AN617" i="12" a="1"/>
  <c r="AN617" i="12" s="1"/>
  <c r="AN623" i="12" a="1"/>
  <c r="AN623" i="12" s="1"/>
  <c r="AN630" i="12" a="1"/>
  <c r="AN630" i="12" s="1"/>
  <c r="AN637" i="12" a="1"/>
  <c r="AN637" i="12" s="1"/>
  <c r="AN644" i="12" a="1"/>
  <c r="AN644" i="12" s="1"/>
  <c r="AN651" i="12" a="1"/>
  <c r="AN651" i="12" s="1"/>
  <c r="AN658" i="12" a="1"/>
  <c r="AN658" i="12" s="1"/>
  <c r="AN666" i="12" a="1"/>
  <c r="AN666" i="12" s="1"/>
  <c r="AN673" i="12" a="1"/>
  <c r="AN673" i="12" s="1"/>
  <c r="AN680" i="12" a="1"/>
  <c r="AN680" i="12" s="1"/>
  <c r="AN687" i="12" a="1"/>
  <c r="AN687" i="12" s="1"/>
  <c r="AN694" i="12" a="1"/>
  <c r="AN694" i="12" s="1"/>
  <c r="AN702" i="12" a="1"/>
  <c r="AN702" i="12" s="1"/>
  <c r="AN709" i="12" a="1"/>
  <c r="AN709" i="12" s="1"/>
  <c r="AN715" i="12" a="1"/>
  <c r="AN715" i="12" s="1"/>
  <c r="AN721" i="12" a="1"/>
  <c r="AN721" i="12" s="1"/>
  <c r="AN727" i="12" a="1"/>
  <c r="AN727" i="12" s="1"/>
  <c r="AN733" i="12" a="1"/>
  <c r="AN733" i="12" s="1"/>
  <c r="AN739" i="12" a="1"/>
  <c r="AN739" i="12" s="1"/>
  <c r="AN745" i="12" a="1"/>
  <c r="AN745" i="12" s="1"/>
  <c r="AN751" i="12" a="1"/>
  <c r="AN751" i="12" s="1"/>
  <c r="AN757" i="12" a="1"/>
  <c r="AN757" i="12" s="1"/>
  <c r="AN763" i="12" a="1"/>
  <c r="AN763" i="12" s="1"/>
  <c r="AN769" i="12" a="1"/>
  <c r="AN769" i="12" s="1"/>
  <c r="AN775" i="12" a="1"/>
  <c r="AN775" i="12" s="1"/>
  <c r="AN781" i="12" a="1"/>
  <c r="AN781" i="12" s="1"/>
  <c r="AN787" i="12" a="1"/>
  <c r="AN787" i="12" s="1"/>
  <c r="AN3" i="12" a="1"/>
  <c r="AN3" i="12" s="1"/>
  <c r="AM787" i="12" a="1"/>
  <c r="AM787" i="12" s="1"/>
  <c r="AM781" i="12" a="1"/>
  <c r="AM781" i="12" s="1"/>
  <c r="AM775" i="12" a="1"/>
  <c r="AM775" i="12" s="1"/>
  <c r="AM769" i="12" a="1"/>
  <c r="AM769" i="12" s="1"/>
  <c r="AM763" i="12" a="1"/>
  <c r="AM763" i="12" s="1"/>
  <c r="AM757" i="12" a="1"/>
  <c r="AM757" i="12" s="1"/>
  <c r="AM751" i="12" a="1"/>
  <c r="AM751" i="12" s="1"/>
  <c r="AM745" i="12" a="1"/>
  <c r="AM745" i="12" s="1"/>
  <c r="AM739" i="12" a="1"/>
  <c r="AM739" i="12" s="1"/>
  <c r="AM733" i="12" a="1"/>
  <c r="AM733" i="12" s="1"/>
  <c r="AM727" i="12" a="1"/>
  <c r="AM727" i="12" s="1"/>
  <c r="AM721" i="12" a="1"/>
  <c r="AM721" i="12" s="1"/>
  <c r="AM715" i="12" a="1"/>
  <c r="AM715" i="12" s="1"/>
  <c r="AM709" i="12" a="1"/>
  <c r="AM709" i="12" s="1"/>
  <c r="AM703" i="12" a="1"/>
  <c r="AM703" i="12" s="1"/>
  <c r="AM697" i="12" a="1"/>
  <c r="AM697" i="12" s="1"/>
  <c r="AM691" i="12" a="1"/>
  <c r="AM691" i="12" s="1"/>
  <c r="AM685" i="12" a="1"/>
  <c r="AM685" i="12" s="1"/>
  <c r="AM679" i="12" a="1"/>
  <c r="AM679" i="12" s="1"/>
  <c r="AM673" i="12" a="1"/>
  <c r="AM673" i="12" s="1"/>
  <c r="AM667" i="12" a="1"/>
  <c r="AM667" i="12" s="1"/>
  <c r="AM661" i="12" a="1"/>
  <c r="AM661" i="12" s="1"/>
  <c r="AM655" i="12" a="1"/>
  <c r="AM655" i="12" s="1"/>
  <c r="AM649" i="12" a="1"/>
  <c r="AM649" i="12" s="1"/>
  <c r="AM643" i="12" a="1"/>
  <c r="AM643" i="12" s="1"/>
  <c r="AM637" i="12" a="1"/>
  <c r="AM637" i="12" s="1"/>
  <c r="AM631" i="12" a="1"/>
  <c r="AM631" i="12" s="1"/>
  <c r="AM625" i="12" a="1"/>
  <c r="AM625" i="12" s="1"/>
  <c r="AM619" i="12" a="1"/>
  <c r="AM619" i="12" s="1"/>
  <c r="AM613" i="12" a="1"/>
  <c r="AM613" i="12" s="1"/>
  <c r="AM607" i="12" a="1"/>
  <c r="AM607" i="12" s="1"/>
  <c r="AM601" i="12" a="1"/>
  <c r="AM601" i="12" s="1"/>
  <c r="AM595" i="12" a="1"/>
  <c r="AM595" i="12" s="1"/>
  <c r="AM589" i="12" a="1"/>
  <c r="AM589" i="12" s="1"/>
  <c r="AM583" i="12" a="1"/>
  <c r="AM583" i="12" s="1"/>
  <c r="AM577" i="12" a="1"/>
  <c r="AM577" i="12" s="1"/>
  <c r="AM572" i="12" a="1"/>
  <c r="AM572" i="12" s="1"/>
  <c r="AM566" i="12" a="1"/>
  <c r="AM566" i="12" s="1"/>
  <c r="AM560" i="12" a="1"/>
  <c r="AM560" i="12" s="1"/>
  <c r="AM555" i="12" a="1"/>
  <c r="AM555" i="12" s="1"/>
  <c r="AM549" i="12" a="1"/>
  <c r="AM549" i="12" s="1"/>
  <c r="AM543" i="12" a="1"/>
  <c r="AM543" i="12" s="1"/>
  <c r="AM539" i="12" a="1"/>
  <c r="AM539" i="12" s="1"/>
  <c r="AM533" i="12" a="1"/>
  <c r="AM533" i="12" s="1"/>
  <c r="AM527" i="12" a="1"/>
  <c r="AM527" i="12" s="1"/>
  <c r="AM507" i="12" a="1"/>
  <c r="AM507" i="12" s="1"/>
  <c r="AM501" i="12" a="1"/>
  <c r="AM501" i="12" s="1"/>
  <c r="AM495" i="12" a="1"/>
  <c r="AM495" i="12" s="1"/>
  <c r="AM489" i="12" a="1"/>
  <c r="AM489" i="12" s="1"/>
  <c r="AM483" i="12" a="1"/>
  <c r="AM483" i="12" s="1"/>
  <c r="AM477" i="12" a="1"/>
  <c r="AM477" i="12" s="1"/>
  <c r="AM471" i="12" a="1"/>
  <c r="AM471" i="12" s="1"/>
  <c r="AM465" i="12" a="1"/>
  <c r="AM465" i="12" s="1"/>
  <c r="AM459" i="12" a="1"/>
  <c r="AM459" i="12" s="1"/>
  <c r="AM453" i="12" a="1"/>
  <c r="AM453" i="12" s="1"/>
  <c r="AM447" i="12" a="1"/>
  <c r="AM447" i="12" s="1"/>
  <c r="AM441" i="12" a="1"/>
  <c r="AM441" i="12" s="1"/>
  <c r="AM435" i="12" a="1"/>
  <c r="AM435" i="12" s="1"/>
  <c r="AM429" i="12" a="1"/>
  <c r="AM429" i="12" s="1"/>
  <c r="AM423" i="12" a="1"/>
  <c r="AM423" i="12" s="1"/>
  <c r="AM417" i="12" a="1"/>
  <c r="AM417" i="12" s="1"/>
  <c r="AM411" i="12" a="1"/>
  <c r="AM411" i="12" s="1"/>
  <c r="AM405" i="12" a="1"/>
  <c r="AM405" i="12" s="1"/>
  <c r="AM399" i="12" a="1"/>
  <c r="AM399" i="12" s="1"/>
  <c r="AM393" i="12" a="1"/>
  <c r="AM393" i="12" s="1"/>
  <c r="AM387" i="12" a="1"/>
  <c r="AM387" i="12" s="1"/>
  <c r="AM381" i="12" a="1"/>
  <c r="AM381" i="12" s="1"/>
  <c r="AM375" i="12" a="1"/>
  <c r="AM375" i="12" s="1"/>
  <c r="AM369" i="12" a="1"/>
  <c r="AM369" i="12" s="1"/>
  <c r="AM363" i="12" a="1"/>
  <c r="AM363" i="12" s="1"/>
  <c r="AM357" i="12" a="1"/>
  <c r="AM357" i="12" s="1"/>
  <c r="AM351" i="12" a="1"/>
  <c r="AM351" i="12" s="1"/>
  <c r="AM345" i="12" a="1"/>
  <c r="AM345" i="12" s="1"/>
  <c r="AM339" i="12" a="1"/>
  <c r="AM339" i="12" s="1"/>
  <c r="AM333" i="12" a="1"/>
  <c r="AM333" i="12" s="1"/>
  <c r="AM327" i="12" a="1"/>
  <c r="AM327" i="12" s="1"/>
  <c r="AM321" i="12" a="1"/>
  <c r="AM321" i="12" s="1"/>
  <c r="AM315" i="12" a="1"/>
  <c r="AM315" i="12" s="1"/>
  <c r="AM309" i="12" a="1"/>
  <c r="AM309" i="12" s="1"/>
  <c r="AM303" i="12" a="1"/>
  <c r="AM303" i="12" s="1"/>
  <c r="AM297" i="12" a="1"/>
  <c r="AM297" i="12" s="1"/>
  <c r="AM291" i="12" a="1"/>
  <c r="AM291" i="12" s="1"/>
  <c r="AM285" i="12" a="1"/>
  <c r="AM285" i="12" s="1"/>
  <c r="AM279" i="12" a="1"/>
  <c r="AM279" i="12" s="1"/>
  <c r="AM273" i="12" a="1"/>
  <c r="AM273" i="12" s="1"/>
  <c r="AN156" i="12" a="1"/>
  <c r="AN156" i="12" s="1"/>
  <c r="AN186" i="12" a="1"/>
  <c r="AN186" i="12" s="1"/>
  <c r="AN203" i="12" a="1"/>
  <c r="AN203" i="12" s="1"/>
  <c r="AN217" i="12" a="1"/>
  <c r="AN217" i="12" s="1"/>
  <c r="AN231" i="12" a="1"/>
  <c r="AN231" i="12" s="1"/>
  <c r="AN246" i="12" a="1"/>
  <c r="AN246" i="12" s="1"/>
  <c r="AN258" i="12" a="1"/>
  <c r="AN258" i="12" s="1"/>
  <c r="AN265" i="12" a="1"/>
  <c r="AN265" i="12" s="1"/>
  <c r="AN275" i="12" a="1"/>
  <c r="AN275" i="12" s="1"/>
  <c r="AN283" i="12" a="1"/>
  <c r="AN283" i="12" s="1"/>
  <c r="AN290" i="12" a="1"/>
  <c r="AN290" i="12" s="1"/>
  <c r="AN297" i="12" a="1"/>
  <c r="AN297" i="12" s="1"/>
  <c r="AN307" i="12" a="1"/>
  <c r="AN307" i="12" s="1"/>
  <c r="AN314" i="12" a="1"/>
  <c r="AN314" i="12" s="1"/>
  <c r="AN322" i="12" a="1"/>
  <c r="AN322" i="12" s="1"/>
  <c r="AN329" i="12" a="1"/>
  <c r="AN329" i="12" s="1"/>
  <c r="AN337" i="12" a="1"/>
  <c r="AN337" i="12" s="1"/>
  <c r="AN345" i="12" a="1"/>
  <c r="AN345" i="12" s="1"/>
  <c r="AN353" i="12" a="1"/>
  <c r="AN353" i="12" s="1"/>
  <c r="AN361" i="12" a="1"/>
  <c r="AN361" i="12" s="1"/>
  <c r="AN368" i="12" a="1"/>
  <c r="AN368" i="12" s="1"/>
  <c r="AN375" i="12" a="1"/>
  <c r="AN375" i="12" s="1"/>
  <c r="AN382" i="12" a="1"/>
  <c r="AN382" i="12" s="1"/>
  <c r="AN388" i="12" a="1"/>
  <c r="AN388" i="12" s="1"/>
  <c r="AN395" i="12" a="1"/>
  <c r="AN395" i="12" s="1"/>
  <c r="AN401" i="12" a="1"/>
  <c r="AN401" i="12" s="1"/>
  <c r="AN407" i="12" a="1"/>
  <c r="AN407" i="12" s="1"/>
  <c r="AN415" i="12" a="1"/>
  <c r="AN415" i="12" s="1"/>
  <c r="AN421" i="12" a="1"/>
  <c r="AN421" i="12" s="1"/>
  <c r="AN427" i="12" a="1"/>
  <c r="AN427" i="12" s="1"/>
  <c r="AN433" i="12" a="1"/>
  <c r="AN433" i="12" s="1"/>
  <c r="AN439" i="12" a="1"/>
  <c r="AN439" i="12" s="1"/>
  <c r="AN446" i="12" a="1"/>
  <c r="AN446" i="12" s="1"/>
  <c r="AN452" i="12" a="1"/>
  <c r="AN452" i="12" s="1"/>
  <c r="AN458" i="12" a="1"/>
  <c r="AN458" i="12" s="1"/>
  <c r="AN464" i="12" a="1"/>
  <c r="AN464" i="12" s="1"/>
  <c r="AN476" i="12" a="1"/>
  <c r="AN476" i="12" s="1"/>
  <c r="AN482" i="12" a="1"/>
  <c r="AN482" i="12" s="1"/>
  <c r="AN493" i="12" a="1"/>
  <c r="AN493" i="12" s="1"/>
  <c r="AN499" i="12" a="1"/>
  <c r="AN499" i="12" s="1"/>
  <c r="AN506" i="12" a="1"/>
  <c r="AN506" i="12" s="1"/>
  <c r="AN512" i="12" a="1"/>
  <c r="AN512" i="12" s="1"/>
  <c r="AN518" i="12" a="1"/>
  <c r="AN518" i="12" s="1"/>
  <c r="AN536" i="12" a="1"/>
  <c r="AN536" i="12" s="1"/>
  <c r="AN553" i="12" a="1"/>
  <c r="AN553" i="12" s="1"/>
  <c r="AN559" i="12" a="1"/>
  <c r="AN559" i="12" s="1"/>
  <c r="AN571" i="12" a="1"/>
  <c r="AN571" i="12" s="1"/>
  <c r="AN577" i="12" a="1"/>
  <c r="AN577" i="12" s="1"/>
  <c r="AN583" i="12" a="1"/>
  <c r="AN583" i="12" s="1"/>
  <c r="AN595" i="12" a="1"/>
  <c r="AN595" i="12" s="1"/>
  <c r="AN601" i="12" a="1"/>
  <c r="AN601" i="12" s="1"/>
  <c r="AN618" i="12" a="1"/>
  <c r="AN618" i="12" s="1"/>
  <c r="AN631" i="12" a="1"/>
  <c r="AN631" i="12" s="1"/>
  <c r="AN638" i="12" a="1"/>
  <c r="AN638" i="12" s="1"/>
  <c r="AN645" i="12" a="1"/>
  <c r="AN645" i="12" s="1"/>
  <c r="AN652" i="12" a="1"/>
  <c r="AN652" i="12" s="1"/>
  <c r="AN660" i="12" a="1"/>
  <c r="AN660" i="12" s="1"/>
  <c r="AN667" i="12" a="1"/>
  <c r="AN667" i="12" s="1"/>
  <c r="AN674" i="12" a="1"/>
  <c r="AN674" i="12" s="1"/>
  <c r="AN681" i="12" a="1"/>
  <c r="AN681" i="12" s="1"/>
  <c r="AN688" i="12" a="1"/>
  <c r="AN688" i="12" s="1"/>
  <c r="AN696" i="12" a="1"/>
  <c r="AN696" i="12" s="1"/>
  <c r="AN703" i="12" a="1"/>
  <c r="AN703" i="12" s="1"/>
  <c r="AN710" i="12" a="1"/>
  <c r="AN710" i="12" s="1"/>
  <c r="AN716" i="12" a="1"/>
  <c r="AN716" i="12" s="1"/>
  <c r="AN722" i="12" a="1"/>
  <c r="AN722" i="12" s="1"/>
  <c r="AN728" i="12" a="1"/>
  <c r="AN728" i="12" s="1"/>
  <c r="AN734" i="12" a="1"/>
  <c r="AN734" i="12" s="1"/>
  <c r="AN740" i="12" a="1"/>
  <c r="AN740" i="12" s="1"/>
  <c r="AN746" i="12" a="1"/>
  <c r="AN746" i="12" s="1"/>
  <c r="AN752" i="12" a="1"/>
  <c r="AN752" i="12" s="1"/>
  <c r="AN758" i="12" a="1"/>
  <c r="AN758" i="12" s="1"/>
  <c r="AN764" i="12" a="1"/>
  <c r="AN764" i="12" s="1"/>
  <c r="AN770" i="12" a="1"/>
  <c r="AN770" i="12" s="1"/>
  <c r="AN161" i="12" a="1"/>
  <c r="AN161" i="12" s="1"/>
  <c r="AN188" i="12" a="1"/>
  <c r="AN188" i="12" s="1"/>
  <c r="AN205" i="12" a="1"/>
  <c r="AN205" i="12" s="1"/>
  <c r="AN219" i="12" a="1"/>
  <c r="AN219" i="12" s="1"/>
  <c r="AN234" i="12" a="1"/>
  <c r="AN234" i="12" s="1"/>
  <c r="AN248" i="12" a="1"/>
  <c r="AN248" i="12" s="1"/>
  <c r="AN259" i="12" a="1"/>
  <c r="AN259" i="12" s="1"/>
  <c r="AN268" i="12" a="1"/>
  <c r="AN268" i="12" s="1"/>
  <c r="AN276" i="12" a="1"/>
  <c r="AN276" i="12" s="1"/>
  <c r="AN284" i="12" a="1"/>
  <c r="AN284" i="12" s="1"/>
  <c r="AN291" i="12" a="1"/>
  <c r="AN291" i="12" s="1"/>
  <c r="AN300" i="12" a="1"/>
  <c r="AN300" i="12" s="1"/>
  <c r="AN315" i="12" a="1"/>
  <c r="AN315" i="12" s="1"/>
  <c r="AN323" i="12" a="1"/>
  <c r="AN323" i="12" s="1"/>
  <c r="AN330" i="12" a="1"/>
  <c r="AN330" i="12" s="1"/>
  <c r="AN339" i="12" a="1"/>
  <c r="AN339" i="12" s="1"/>
  <c r="AN346" i="12" a="1"/>
  <c r="AN346" i="12" s="1"/>
  <c r="AN354" i="12" a="1"/>
  <c r="AN354" i="12" s="1"/>
  <c r="AN369" i="12" a="1"/>
  <c r="AN369" i="12" s="1"/>
  <c r="AN377" i="12" a="1"/>
  <c r="AN377" i="12" s="1"/>
  <c r="AN383" i="12" a="1"/>
  <c r="AN383" i="12" s="1"/>
  <c r="AN389" i="12" a="1"/>
  <c r="AN389" i="12" s="1"/>
  <c r="AN396" i="12" a="1"/>
  <c r="AN396" i="12" s="1"/>
  <c r="AN402" i="12" a="1"/>
  <c r="AN402" i="12" s="1"/>
  <c r="AN409" i="12" a="1"/>
  <c r="AN409" i="12" s="1"/>
  <c r="AN422" i="12" a="1"/>
  <c r="AN422" i="12" s="1"/>
  <c r="AN428" i="12" a="1"/>
  <c r="AN428" i="12" s="1"/>
  <c r="AN441" i="12" a="1"/>
  <c r="AN441" i="12" s="1"/>
  <c r="AN447" i="12" a="1"/>
  <c r="AN447" i="12" s="1"/>
  <c r="AN453" i="12" a="1"/>
  <c r="AN453" i="12" s="1"/>
  <c r="AN459" i="12" a="1"/>
  <c r="AN459" i="12" s="1"/>
  <c r="AN465" i="12" a="1"/>
  <c r="AN465" i="12" s="1"/>
  <c r="AN471" i="12" a="1"/>
  <c r="AN471" i="12" s="1"/>
  <c r="AN477" i="12" a="1"/>
  <c r="AN477" i="12" s="1"/>
  <c r="AN483" i="12" a="1"/>
  <c r="AN483" i="12" s="1"/>
  <c r="AN488" i="12" a="1"/>
  <c r="AN488" i="12" s="1"/>
  <c r="AN494" i="12" a="1"/>
  <c r="AN494" i="12" s="1"/>
  <c r="AN501" i="12" a="1"/>
  <c r="AN501" i="12" s="1"/>
  <c r="AN507" i="12" a="1"/>
  <c r="AN507" i="12" s="1"/>
  <c r="AN513" i="12" a="1"/>
  <c r="AN513" i="12" s="1"/>
  <c r="AN519" i="12" a="1"/>
  <c r="AN519" i="12" s="1"/>
  <c r="AN524" i="12" a="1"/>
  <c r="AN524" i="12" s="1"/>
  <c r="AN531" i="12" a="1"/>
  <c r="AN531" i="12" s="1"/>
  <c r="AN537" i="12" a="1"/>
  <c r="AN537" i="12" s="1"/>
  <c r="AN542" i="12" a="1"/>
  <c r="AN542" i="12" s="1"/>
  <c r="AN548" i="12" a="1"/>
  <c r="AN548" i="12" s="1"/>
  <c r="AN554" i="12" a="1"/>
  <c r="AN554" i="12" s="1"/>
  <c r="AN560" i="12" a="1"/>
  <c r="AN560" i="12" s="1"/>
  <c r="AN566" i="12" a="1"/>
  <c r="AN566" i="12" s="1"/>
  <c r="AN572" i="12" a="1"/>
  <c r="AN572" i="12" s="1"/>
  <c r="AN590" i="12" a="1"/>
  <c r="AN590" i="12" s="1"/>
  <c r="AN607" i="12" a="1"/>
  <c r="AN607" i="12" s="1"/>
  <c r="AN613" i="12" a="1"/>
  <c r="AN613" i="12" s="1"/>
  <c r="AN625" i="12" a="1"/>
  <c r="AN625" i="12" s="1"/>
  <c r="AN632" i="12" a="1"/>
  <c r="AN632" i="12" s="1"/>
  <c r="AN639" i="12" a="1"/>
  <c r="AN639" i="12" s="1"/>
  <c r="AN646" i="12" a="1"/>
  <c r="AN646" i="12" s="1"/>
  <c r="AN654" i="12" a="1"/>
  <c r="AN654" i="12" s="1"/>
  <c r="AN661" i="12" a="1"/>
  <c r="AN661" i="12" s="1"/>
  <c r="AN668" i="12" a="1"/>
  <c r="AN668" i="12" s="1"/>
  <c r="AN675" i="12" a="1"/>
  <c r="AN675" i="12" s="1"/>
  <c r="AN682" i="12" a="1"/>
  <c r="AN682" i="12" s="1"/>
  <c r="AN690" i="12" a="1"/>
  <c r="AN690" i="12" s="1"/>
  <c r="AN697" i="12" a="1"/>
  <c r="AN697" i="12" s="1"/>
  <c r="AN704" i="12" a="1"/>
  <c r="AN704" i="12" s="1"/>
  <c r="AN711" i="12" a="1"/>
  <c r="AN711" i="12" s="1"/>
  <c r="AN717" i="12" a="1"/>
  <c r="AN717" i="12" s="1"/>
  <c r="AN723" i="12" a="1"/>
  <c r="AN723" i="12" s="1"/>
  <c r="AN729" i="12" a="1"/>
  <c r="AN729" i="12" s="1"/>
  <c r="AN735" i="12" a="1"/>
  <c r="AN735" i="12" s="1"/>
  <c r="AN741" i="12" a="1"/>
  <c r="AN741" i="12" s="1"/>
  <c r="AN747" i="12" a="1"/>
  <c r="AN747" i="12" s="1"/>
  <c r="AN753" i="12" a="1"/>
  <c r="AN753" i="12" s="1"/>
  <c r="AN759" i="12" a="1"/>
  <c r="AN759" i="12" s="1"/>
  <c r="AN765" i="12" a="1"/>
  <c r="AN765" i="12" s="1"/>
  <c r="AN771" i="12" a="1"/>
  <c r="AN771" i="12" s="1"/>
  <c r="AN168" i="12" a="1"/>
  <c r="AN168" i="12" s="1"/>
  <c r="AN193" i="12" a="1"/>
  <c r="AN193" i="12" s="1"/>
  <c r="AN207" i="12" a="1"/>
  <c r="AN207" i="12" s="1"/>
  <c r="AN222" i="12" a="1"/>
  <c r="AN222" i="12" s="1"/>
  <c r="AN236" i="12" a="1"/>
  <c r="AN236" i="12" s="1"/>
  <c r="AN251" i="12" a="1"/>
  <c r="AN251" i="12" s="1"/>
  <c r="AN270" i="12" a="1"/>
  <c r="AN270" i="12" s="1"/>
  <c r="AN278" i="12" a="1"/>
  <c r="AN278" i="12" s="1"/>
  <c r="AN285" i="12" a="1"/>
  <c r="AN285" i="12" s="1"/>
  <c r="AN294" i="12" a="1"/>
  <c r="AN294" i="12" s="1"/>
  <c r="AN301" i="12" a="1"/>
  <c r="AN301" i="12" s="1"/>
  <c r="AN308" i="12" a="1"/>
  <c r="AN308" i="12" s="1"/>
  <c r="AN316" i="12" a="1"/>
  <c r="AN316" i="12" s="1"/>
  <c r="AN324" i="12" a="1"/>
  <c r="AN324" i="12" s="1"/>
  <c r="AN340" i="12" a="1"/>
  <c r="AN340" i="12" s="1"/>
  <c r="AN348" i="12" a="1"/>
  <c r="AN348" i="12" s="1"/>
  <c r="AN355" i="12" a="1"/>
  <c r="AN355" i="12" s="1"/>
  <c r="AN362" i="12" a="1"/>
  <c r="AN362" i="12" s="1"/>
  <c r="AN371" i="12" a="1"/>
  <c r="AN371" i="12" s="1"/>
  <c r="AN378" i="12" a="1"/>
  <c r="AN378" i="12" s="1"/>
  <c r="AN384" i="12" a="1"/>
  <c r="AN384" i="12" s="1"/>
  <c r="AN390" i="12" a="1"/>
  <c r="AN390" i="12" s="1"/>
  <c r="AN397" i="12" a="1"/>
  <c r="AN397" i="12" s="1"/>
  <c r="AN404" i="12" a="1"/>
  <c r="AN404" i="12" s="1"/>
  <c r="AN410" i="12" a="1"/>
  <c r="AN410" i="12" s="1"/>
  <c r="AN416" i="12" a="1"/>
  <c r="AN416" i="12" s="1"/>
  <c r="AN429" i="12" a="1"/>
  <c r="AN429" i="12" s="1"/>
  <c r="AN435" i="12" a="1"/>
  <c r="AN435" i="12" s="1"/>
  <c r="AN442" i="12" a="1"/>
  <c r="AN442" i="12" s="1"/>
  <c r="AN448" i="12" a="1"/>
  <c r="AN448" i="12" s="1"/>
  <c r="AN454" i="12" a="1"/>
  <c r="AN454" i="12" s="1"/>
  <c r="AN460" i="12" a="1"/>
  <c r="AN460" i="12" s="1"/>
  <c r="AN466" i="12" a="1"/>
  <c r="AN466" i="12" s="1"/>
  <c r="AN472" i="12" a="1"/>
  <c r="AN472" i="12" s="1"/>
  <c r="AN478" i="12" a="1"/>
  <c r="AN478" i="12" s="1"/>
  <c r="AN489" i="12" a="1"/>
  <c r="AN489" i="12" s="1"/>
  <c r="AN496" i="12" a="1"/>
  <c r="AN496" i="12" s="1"/>
  <c r="AN502" i="12" a="1"/>
  <c r="AN502" i="12" s="1"/>
  <c r="AN508" i="12" a="1"/>
  <c r="AN508" i="12" s="1"/>
  <c r="AN514" i="12" a="1"/>
  <c r="AN514" i="12" s="1"/>
  <c r="AN520" i="12" a="1"/>
  <c r="AN520" i="12" s="1"/>
  <c r="AN526" i="12" a="1"/>
  <c r="AN526" i="12" s="1"/>
  <c r="AN532" i="12" a="1"/>
  <c r="AN532" i="12" s="1"/>
  <c r="AN538" i="12" a="1"/>
  <c r="AN538" i="12" s="1"/>
  <c r="AN543" i="12" a="1"/>
  <c r="AN543" i="12" s="1"/>
  <c r="AN549" i="12" a="1"/>
  <c r="AN549" i="12" s="1"/>
  <c r="AN556" i="12" a="1"/>
  <c r="AN556" i="12" s="1"/>
  <c r="AN561" i="12" a="1"/>
  <c r="AN561" i="12" s="1"/>
  <c r="AN567" i="12" a="1"/>
  <c r="AN567" i="12" s="1"/>
  <c r="AN573" i="12" a="1"/>
  <c r="AN573" i="12" s="1"/>
  <c r="AN578" i="12" a="1"/>
  <c r="AN578" i="12" s="1"/>
  <c r="AN585" i="12" a="1"/>
  <c r="AN585" i="12" s="1"/>
  <c r="AN591" i="12" a="1"/>
  <c r="AN591" i="12" s="1"/>
  <c r="AN596" i="12" a="1"/>
  <c r="AN596" i="12" s="1"/>
  <c r="AN602" i="12" a="1"/>
  <c r="AN602" i="12" s="1"/>
  <c r="AN608" i="12" a="1"/>
  <c r="AN608" i="12" s="1"/>
  <c r="AN614" i="12" a="1"/>
  <c r="AN614" i="12" s="1"/>
  <c r="AN620" i="12" a="1"/>
  <c r="AN620" i="12" s="1"/>
  <c r="AN626" i="12" a="1"/>
  <c r="AN626" i="12" s="1"/>
  <c r="AN633" i="12" a="1"/>
  <c r="AN633" i="12" s="1"/>
  <c r="AN175" i="12" a="1"/>
  <c r="AN175" i="12" s="1"/>
  <c r="AN195" i="12" a="1"/>
  <c r="AN195" i="12" s="1"/>
  <c r="AN210" i="12" a="1"/>
  <c r="AN210" i="12" s="1"/>
  <c r="AN224" i="12" a="1"/>
  <c r="AN224" i="12" s="1"/>
  <c r="AN239" i="12" a="1"/>
  <c r="AN239" i="12" s="1"/>
  <c r="AN252" i="12" a="1"/>
  <c r="AN252" i="12" s="1"/>
  <c r="AN261" i="12" a="1"/>
  <c r="AN261" i="12" s="1"/>
  <c r="AN271" i="12" a="1"/>
  <c r="AN271" i="12" s="1"/>
  <c r="AN287" i="12" a="1"/>
  <c r="AN287" i="12" s="1"/>
  <c r="AN295" i="12" a="1"/>
  <c r="AN295" i="12" s="1"/>
  <c r="AN302" i="12" a="1"/>
  <c r="AN302" i="12" s="1"/>
  <c r="AN310" i="12" a="1"/>
  <c r="AN310" i="12" s="1"/>
  <c r="AN317" i="12" a="1"/>
  <c r="AN317" i="12" s="1"/>
  <c r="AN326" i="12" a="1"/>
  <c r="AN326" i="12" s="1"/>
  <c r="AN333" i="12" a="1"/>
  <c r="AN333" i="12" s="1"/>
  <c r="AN341" i="12" a="1"/>
  <c r="AN341" i="12" s="1"/>
  <c r="AN349" i="12" a="1"/>
  <c r="AN349" i="12" s="1"/>
  <c r="AN356" i="12" a="1"/>
  <c r="AN356" i="12" s="1"/>
  <c r="AN365" i="12" a="1"/>
  <c r="AN365" i="12" s="1"/>
  <c r="AN372" i="12" a="1"/>
  <c r="AN372" i="12" s="1"/>
  <c r="AN379" i="12" a="1"/>
  <c r="AN379" i="12" s="1"/>
  <c r="AN385" i="12" a="1"/>
  <c r="AN385" i="12" s="1"/>
  <c r="AN391" i="12" a="1"/>
  <c r="AN391" i="12" s="1"/>
  <c r="AN398" i="12" a="1"/>
  <c r="AN398" i="12" s="1"/>
  <c r="AN411" i="12" a="1"/>
  <c r="AN411" i="12" s="1"/>
  <c r="AN417" i="12" a="1"/>
  <c r="AN417" i="12" s="1"/>
  <c r="AN423" i="12" a="1"/>
  <c r="AN423" i="12" s="1"/>
  <c r="AN430" i="12" a="1"/>
  <c r="AN430" i="12" s="1"/>
  <c r="AN436" i="12" a="1"/>
  <c r="AN436" i="12" s="1"/>
  <c r="AN443" i="12" a="1"/>
  <c r="AN443" i="12" s="1"/>
  <c r="AN449" i="12" a="1"/>
  <c r="AN449" i="12" s="1"/>
  <c r="AN462" i="12" a="1"/>
  <c r="AN462" i="12" s="1"/>
  <c r="AN467" i="12" a="1"/>
  <c r="AN467" i="12" s="1"/>
  <c r="AN479" i="12" a="1"/>
  <c r="AN479" i="12" s="1"/>
  <c r="AN484" i="12" a="1"/>
  <c r="AN484" i="12" s="1"/>
  <c r="AN497" i="12" a="1"/>
  <c r="AN497" i="12" s="1"/>
  <c r="AN503" i="12" a="1"/>
  <c r="AN503" i="12" s="1"/>
  <c r="AN509" i="12" a="1"/>
  <c r="AN509" i="12" s="1"/>
  <c r="AN515" i="12" a="1"/>
  <c r="AN515" i="12" s="1"/>
  <c r="AN522" i="12" a="1"/>
  <c r="AN522" i="12" s="1"/>
  <c r="AN527" i="12" a="1"/>
  <c r="AN527" i="12" s="1"/>
  <c r="AN533" i="12" a="1"/>
  <c r="AN533" i="12" s="1"/>
  <c r="AN539" i="12" a="1"/>
  <c r="AN539" i="12" s="1"/>
  <c r="AN544" i="12" a="1"/>
  <c r="AN544" i="12" s="1"/>
  <c r="AN551" i="12" a="1"/>
  <c r="AN551" i="12" s="1"/>
  <c r="AN557" i="12" a="1"/>
  <c r="AN557" i="12" s="1"/>
  <c r="AN562" i="12" a="1"/>
  <c r="AN562" i="12" s="1"/>
  <c r="AN568" i="12" a="1"/>
  <c r="AN568" i="12" s="1"/>
  <c r="AN574" i="12" a="1"/>
  <c r="AN574" i="12" s="1"/>
  <c r="AN580" i="12" a="1"/>
  <c r="AN580" i="12" s="1"/>
  <c r="AN586" i="12" a="1"/>
  <c r="AN586" i="12" s="1"/>
  <c r="AN592" i="12" a="1"/>
  <c r="AN592" i="12" s="1"/>
  <c r="AN597" i="12" a="1"/>
  <c r="AN597" i="12" s="1"/>
  <c r="AN603" i="12" a="1"/>
  <c r="AN603" i="12" s="1"/>
  <c r="AN610" i="12" a="1"/>
  <c r="AN610" i="12" s="1"/>
  <c r="AN615" i="12" a="1"/>
  <c r="AN615" i="12" s="1"/>
  <c r="AN621" i="12" a="1"/>
  <c r="AN621" i="12" s="1"/>
  <c r="AN627" i="12" a="1"/>
  <c r="AN627" i="12" s="1"/>
  <c r="AN179" i="12" a="1"/>
  <c r="AN179" i="12" s="1"/>
  <c r="AN198" i="12" a="1"/>
  <c r="AN198" i="12" s="1"/>
  <c r="AN212" i="12" a="1"/>
  <c r="AN212" i="12" s="1"/>
  <c r="AN227" i="12" a="1"/>
  <c r="AN227" i="12" s="1"/>
  <c r="AN241" i="12" a="1"/>
  <c r="AN241" i="12" s="1"/>
  <c r="AN253" i="12" a="1"/>
  <c r="AN253" i="12" s="1"/>
  <c r="AN263" i="12" a="1"/>
  <c r="AN263" i="12" s="1"/>
  <c r="AN272" i="12" a="1"/>
  <c r="AN272" i="12" s="1"/>
  <c r="AN280" i="12" a="1"/>
  <c r="AN280" i="12" s="1"/>
  <c r="AN289" i="12" a="1"/>
  <c r="AN289" i="12" s="1"/>
  <c r="AN296" i="12" a="1"/>
  <c r="AN296" i="12" s="1"/>
  <c r="AN303" i="12" a="1"/>
  <c r="AN303" i="12" s="1"/>
  <c r="AN311" i="12" a="1"/>
  <c r="AN311" i="12" s="1"/>
  <c r="AN319" i="12" a="1"/>
  <c r="AN319" i="12" s="1"/>
  <c r="AN327" i="12" a="1"/>
  <c r="AN327" i="12" s="1"/>
  <c r="AN334" i="12" a="1"/>
  <c r="AN334" i="12" s="1"/>
  <c r="AN343" i="12" a="1"/>
  <c r="AN343" i="12" s="1"/>
  <c r="AN350" i="12" a="1"/>
  <c r="AN350" i="12" s="1"/>
  <c r="AN359" i="12" a="1"/>
  <c r="AN359" i="12" s="1"/>
  <c r="AN366" i="12" a="1"/>
  <c r="AN366" i="12" s="1"/>
  <c r="AN373" i="12" a="1"/>
  <c r="AN373" i="12" s="1"/>
  <c r="AN386" i="12" a="1"/>
  <c r="AN386" i="12" s="1"/>
  <c r="AN393" i="12" a="1"/>
  <c r="AN393" i="12" s="1"/>
  <c r="AN399" i="12" a="1"/>
  <c r="AN399" i="12" s="1"/>
  <c r="AN405" i="12" a="1"/>
  <c r="AN405" i="12" s="1"/>
  <c r="AN412" i="12" a="1"/>
  <c r="AN412" i="12" s="1"/>
  <c r="AN418" i="12" a="1"/>
  <c r="AN418" i="12" s="1"/>
  <c r="AN425" i="12" a="1"/>
  <c r="AN425" i="12" s="1"/>
  <c r="AN431" i="12" a="1"/>
  <c r="AN431" i="12" s="1"/>
  <c r="AN437" i="12" a="1"/>
  <c r="AN437" i="12" s="1"/>
  <c r="AN444" i="12" a="1"/>
  <c r="AN444" i="12" s="1"/>
  <c r="AN450" i="12" a="1"/>
  <c r="AN450" i="12" s="1"/>
  <c r="AN456" i="12" a="1"/>
  <c r="AN456" i="12" s="1"/>
  <c r="AN468" i="12" a="1"/>
  <c r="AN468" i="12" s="1"/>
  <c r="AN473" i="12" a="1"/>
  <c r="AN473" i="12" s="1"/>
  <c r="AN480" i="12" a="1"/>
  <c r="AN480" i="12" s="1"/>
  <c r="AN486" i="12" a="1"/>
  <c r="AN486" i="12" s="1"/>
  <c r="AN491" i="12" a="1"/>
  <c r="AN491" i="12" s="1"/>
  <c r="AN498" i="12" a="1"/>
  <c r="AN498" i="12" s="1"/>
  <c r="AN504" i="12" a="1"/>
  <c r="AN504" i="12" s="1"/>
  <c r="AN510" i="12" a="1"/>
  <c r="AN510" i="12" s="1"/>
  <c r="AN528" i="12" a="1"/>
  <c r="AN528" i="12" s="1"/>
  <c r="AN534" i="12" a="1"/>
  <c r="AN534" i="12" s="1"/>
  <c r="AN540" i="12" a="1"/>
  <c r="AN540" i="12" s="1"/>
  <c r="AN546" i="12" a="1"/>
  <c r="AN546" i="12" s="1"/>
  <c r="AN552" i="12" a="1"/>
  <c r="AN552" i="12" s="1"/>
  <c r="AN558" i="12" a="1"/>
  <c r="AN558" i="12" s="1"/>
  <c r="AN563" i="12" a="1"/>
  <c r="AN563" i="12" s="1"/>
  <c r="AN569" i="12" a="1"/>
  <c r="AN569" i="12" s="1"/>
  <c r="AN576" i="12" a="1"/>
  <c r="AN576" i="12" s="1"/>
  <c r="AN581" i="12" a="1"/>
  <c r="AN581" i="12" s="1"/>
  <c r="AN587" i="12" a="1"/>
  <c r="AN587" i="12" s="1"/>
  <c r="AN593" i="12" a="1"/>
  <c r="AN593" i="12" s="1"/>
  <c r="AN598" i="12" a="1"/>
  <c r="AN598" i="12" s="1"/>
  <c r="AN634" i="12" a="1"/>
  <c r="AN634" i="12" s="1"/>
  <c r="AN649" i="12" a="1"/>
  <c r="AN649" i="12" s="1"/>
  <c r="AN663" i="12" a="1"/>
  <c r="AN663" i="12" s="1"/>
  <c r="AN678" i="12" a="1"/>
  <c r="AN678" i="12" s="1"/>
  <c r="AN692" i="12" a="1"/>
  <c r="AN692" i="12" s="1"/>
  <c r="AN706" i="12" a="1"/>
  <c r="AN706" i="12" s="1"/>
  <c r="AN719" i="12" a="1"/>
  <c r="AN719" i="12" s="1"/>
  <c r="AN731" i="12" a="1"/>
  <c r="AN731" i="12" s="1"/>
  <c r="AN743" i="12" a="1"/>
  <c r="AN743" i="12" s="1"/>
  <c r="AN755" i="12" a="1"/>
  <c r="AN755" i="12" s="1"/>
  <c r="AN767" i="12" a="1"/>
  <c r="AN767" i="12" s="1"/>
  <c r="AN777" i="12" a="1"/>
  <c r="AN777" i="12" s="1"/>
  <c r="AN784" i="12" a="1"/>
  <c r="AN784" i="12" s="1"/>
  <c r="AN791" i="12" a="1"/>
  <c r="AN791" i="12" s="1"/>
  <c r="AM788" i="12" a="1"/>
  <c r="AM788" i="12" s="1"/>
  <c r="AM780" i="12" a="1"/>
  <c r="AM780" i="12" s="1"/>
  <c r="AM773" i="12" a="1"/>
  <c r="AM773" i="12" s="1"/>
  <c r="AM766" i="12" a="1"/>
  <c r="AM766" i="12" s="1"/>
  <c r="AM759" i="12" a="1"/>
  <c r="AM759" i="12" s="1"/>
  <c r="AM752" i="12" a="1"/>
  <c r="AM752" i="12" s="1"/>
  <c r="AM744" i="12" a="1"/>
  <c r="AM744" i="12" s="1"/>
  <c r="AM737" i="12" a="1"/>
  <c r="AM737" i="12" s="1"/>
  <c r="AM730" i="12" a="1"/>
  <c r="AM730" i="12" s="1"/>
  <c r="AM723" i="12" a="1"/>
  <c r="AM723" i="12" s="1"/>
  <c r="AM716" i="12" a="1"/>
  <c r="AM716" i="12" s="1"/>
  <c r="AM708" i="12" a="1"/>
  <c r="AM708" i="12" s="1"/>
  <c r="AM701" i="12" a="1"/>
  <c r="AM701" i="12" s="1"/>
  <c r="AM694" i="12" a="1"/>
  <c r="AM694" i="12" s="1"/>
  <c r="AM687" i="12" a="1"/>
  <c r="AM687" i="12" s="1"/>
  <c r="AM680" i="12" a="1"/>
  <c r="AM680" i="12" s="1"/>
  <c r="AM672" i="12" a="1"/>
  <c r="AM672" i="12" s="1"/>
  <c r="AM665" i="12" a="1"/>
  <c r="AM665" i="12" s="1"/>
  <c r="AM658" i="12" a="1"/>
  <c r="AM658" i="12" s="1"/>
  <c r="AM651" i="12" a="1"/>
  <c r="AM651" i="12" s="1"/>
  <c r="AM644" i="12" a="1"/>
  <c r="AM644" i="12" s="1"/>
  <c r="AM636" i="12" a="1"/>
  <c r="AM636" i="12" s="1"/>
  <c r="AM629" i="12" a="1"/>
  <c r="AM629" i="12" s="1"/>
  <c r="AM622" i="12" a="1"/>
  <c r="AM622" i="12" s="1"/>
  <c r="AM615" i="12" a="1"/>
  <c r="AM615" i="12" s="1"/>
  <c r="AM608" i="12" a="1"/>
  <c r="AM608" i="12" s="1"/>
  <c r="AM600" i="12" a="1"/>
  <c r="AM600" i="12" s="1"/>
  <c r="AM593" i="12" a="1"/>
  <c r="AM593" i="12" s="1"/>
  <c r="AM586" i="12" a="1"/>
  <c r="AM586" i="12" s="1"/>
  <c r="AM579" i="12" a="1"/>
  <c r="AM579" i="12" s="1"/>
  <c r="AM573" i="12" a="1"/>
  <c r="AM573" i="12" s="1"/>
  <c r="AM565" i="12" a="1"/>
  <c r="AM565" i="12" s="1"/>
  <c r="AM559" i="12" a="1"/>
  <c r="AM559" i="12" s="1"/>
  <c r="AM552" i="12" a="1"/>
  <c r="AM552" i="12" s="1"/>
  <c r="AM545" i="12" a="1"/>
  <c r="AM545" i="12" s="1"/>
  <c r="AM540" i="12" a="1"/>
  <c r="AM540" i="12" s="1"/>
  <c r="AM532" i="12" a="1"/>
  <c r="AM532" i="12" s="1"/>
  <c r="AM525" i="12" a="1"/>
  <c r="AM525" i="12" s="1"/>
  <c r="AM520" i="12" a="1"/>
  <c r="AM520" i="12" s="1"/>
  <c r="AM514" i="12" a="1"/>
  <c r="AM514" i="12" s="1"/>
  <c r="AM508" i="12" a="1"/>
  <c r="AM508" i="12" s="1"/>
  <c r="AM500" i="12" a="1"/>
  <c r="AM500" i="12" s="1"/>
  <c r="AM493" i="12" a="1"/>
  <c r="AM493" i="12" s="1"/>
  <c r="AM486" i="12" a="1"/>
  <c r="AM486" i="12" s="1"/>
  <c r="AM479" i="12" a="1"/>
  <c r="AM479" i="12" s="1"/>
  <c r="AM472" i="12" a="1"/>
  <c r="AM472" i="12" s="1"/>
  <c r="AM464" i="12" a="1"/>
  <c r="AM464" i="12" s="1"/>
  <c r="AM457" i="12" a="1"/>
  <c r="AM457" i="12" s="1"/>
  <c r="AM450" i="12" a="1"/>
  <c r="AM450" i="12" s="1"/>
  <c r="AM443" i="12" a="1"/>
  <c r="AM443" i="12" s="1"/>
  <c r="AM436" i="12" a="1"/>
  <c r="AM436" i="12" s="1"/>
  <c r="AM428" i="12" a="1"/>
  <c r="AM428" i="12" s="1"/>
  <c r="AM421" i="12" a="1"/>
  <c r="AM421" i="12" s="1"/>
  <c r="AM414" i="12" a="1"/>
  <c r="AM414" i="12" s="1"/>
  <c r="AM407" i="12" a="1"/>
  <c r="AM407" i="12" s="1"/>
  <c r="AM400" i="12" a="1"/>
  <c r="AM400" i="12" s="1"/>
  <c r="AM392" i="12" a="1"/>
  <c r="AM392" i="12" s="1"/>
  <c r="AM385" i="12" a="1"/>
  <c r="AM385" i="12" s="1"/>
  <c r="AM378" i="12" a="1"/>
  <c r="AM378" i="12" s="1"/>
  <c r="AM371" i="12" a="1"/>
  <c r="AM371" i="12" s="1"/>
  <c r="AM364" i="12" a="1"/>
  <c r="AM364" i="12" s="1"/>
  <c r="AM356" i="12" a="1"/>
  <c r="AM356" i="12" s="1"/>
  <c r="AM349" i="12" a="1"/>
  <c r="AM349" i="12" s="1"/>
  <c r="AM342" i="12" a="1"/>
  <c r="AM342" i="12" s="1"/>
  <c r="AM335" i="12" a="1"/>
  <c r="AM335" i="12" s="1"/>
  <c r="AM328" i="12" a="1"/>
  <c r="AM328" i="12" s="1"/>
  <c r="AM320" i="12" a="1"/>
  <c r="AM320" i="12" s="1"/>
  <c r="AM313" i="12" a="1"/>
  <c r="AM313" i="12" s="1"/>
  <c r="AM306" i="12" a="1"/>
  <c r="AM306" i="12" s="1"/>
  <c r="AM299" i="12" a="1"/>
  <c r="AM299" i="12" s="1"/>
  <c r="AM292" i="12" a="1"/>
  <c r="AM292" i="12" s="1"/>
  <c r="AM284" i="12" a="1"/>
  <c r="AM284" i="12" s="1"/>
  <c r="AM277" i="12" a="1"/>
  <c r="AM277" i="12" s="1"/>
  <c r="AM270" i="12" a="1"/>
  <c r="AM270" i="12" s="1"/>
  <c r="AM264" i="12" a="1"/>
  <c r="AM264" i="12" s="1"/>
  <c r="AM258" i="12" a="1"/>
  <c r="AM258" i="12" s="1"/>
  <c r="AM252" i="12" a="1"/>
  <c r="AM252" i="12" s="1"/>
  <c r="AM246" i="12" a="1"/>
  <c r="AM246" i="12" s="1"/>
  <c r="AM240" i="12" a="1"/>
  <c r="AM240" i="12" s="1"/>
  <c r="AM234" i="12" a="1"/>
  <c r="AM234" i="12" s="1"/>
  <c r="AM228" i="12" a="1"/>
  <c r="AM228" i="12" s="1"/>
  <c r="AM222" i="12" a="1"/>
  <c r="AM222" i="12" s="1"/>
  <c r="AM216" i="12" a="1"/>
  <c r="AM216" i="12" s="1"/>
  <c r="AM210" i="12" a="1"/>
  <c r="AM210" i="12" s="1"/>
  <c r="AM204" i="12" a="1"/>
  <c r="AM204" i="12" s="1"/>
  <c r="AM198" i="12" a="1"/>
  <c r="AM198" i="12" s="1"/>
  <c r="AM192" i="12" a="1"/>
  <c r="AM192" i="12" s="1"/>
  <c r="AM186" i="12" a="1"/>
  <c r="AM186" i="12" s="1"/>
  <c r="AM180" i="12" a="1"/>
  <c r="AM180" i="12" s="1"/>
  <c r="AM174" i="12" a="1"/>
  <c r="AM174" i="12" s="1"/>
  <c r="AM168" i="12" a="1"/>
  <c r="AM168" i="12" s="1"/>
  <c r="AM162" i="12" a="1"/>
  <c r="AM162" i="12" s="1"/>
  <c r="AM156" i="12" a="1"/>
  <c r="AM156" i="12" s="1"/>
  <c r="AM150" i="12" a="1"/>
  <c r="AM150" i="12" s="1"/>
  <c r="AM144" i="12" a="1"/>
  <c r="AM144" i="12" s="1"/>
  <c r="AM138" i="12" a="1"/>
  <c r="AM138" i="12" s="1"/>
  <c r="AM132" i="12" a="1"/>
  <c r="AM132" i="12" s="1"/>
  <c r="AM126" i="12" a="1"/>
  <c r="AM126" i="12" s="1"/>
  <c r="AM120" i="12" a="1"/>
  <c r="AM120" i="12" s="1"/>
  <c r="AM114" i="12" a="1"/>
  <c r="AM114" i="12" s="1"/>
  <c r="AM108" i="12" a="1"/>
  <c r="AM108" i="12" s="1"/>
  <c r="AM102" i="12" a="1"/>
  <c r="AM102" i="12" s="1"/>
  <c r="AM96" i="12" a="1"/>
  <c r="AM96" i="12" s="1"/>
  <c r="AM90" i="12" a="1"/>
  <c r="AM90" i="12" s="1"/>
  <c r="AM84" i="12" a="1"/>
  <c r="AM84" i="12" s="1"/>
  <c r="AM78" i="12" a="1"/>
  <c r="AM78" i="12" s="1"/>
  <c r="AM72" i="12" a="1"/>
  <c r="AM72" i="12" s="1"/>
  <c r="AM66" i="12" a="1"/>
  <c r="AM66" i="12" s="1"/>
  <c r="AM60" i="12" a="1"/>
  <c r="AM60" i="12" s="1"/>
  <c r="AM54" i="12" a="1"/>
  <c r="AM54" i="12" s="1"/>
  <c r="AM48" i="12" a="1"/>
  <c r="AM48" i="12" s="1"/>
  <c r="AM42" i="12" a="1"/>
  <c r="AM42" i="12" s="1"/>
  <c r="AM36" i="12" a="1"/>
  <c r="AM36" i="12" s="1"/>
  <c r="AM30" i="12" a="1"/>
  <c r="AM30" i="12" s="1"/>
  <c r="AM24" i="12" a="1"/>
  <c r="AM24" i="12" s="1"/>
  <c r="AM18" i="12" a="1"/>
  <c r="AM18" i="12" s="1"/>
  <c r="AM12" i="12" a="1"/>
  <c r="AM12" i="12" s="1"/>
  <c r="AM6" i="12" a="1"/>
  <c r="AM6" i="12" s="1"/>
  <c r="AM564" i="12" a="1"/>
  <c r="AM564" i="12" s="1"/>
  <c r="AM524" i="12" a="1"/>
  <c r="AM524" i="12" s="1"/>
  <c r="AM513" i="12" a="1"/>
  <c r="AM513" i="12" s="1"/>
  <c r="AM499" i="12" a="1"/>
  <c r="AM499" i="12" s="1"/>
  <c r="AM485" i="12" a="1"/>
  <c r="AM485" i="12" s="1"/>
  <c r="AM470" i="12" a="1"/>
  <c r="AM470" i="12" s="1"/>
  <c r="AM463" i="12" a="1"/>
  <c r="AM463" i="12" s="1"/>
  <c r="AM449" i="12" a="1"/>
  <c r="AM449" i="12" s="1"/>
  <c r="AM427" i="12" a="1"/>
  <c r="AM427" i="12" s="1"/>
  <c r="AM413" i="12" a="1"/>
  <c r="AM413" i="12" s="1"/>
  <c r="AM398" i="12" a="1"/>
  <c r="AM398" i="12" s="1"/>
  <c r="AM384" i="12" a="1"/>
  <c r="AM384" i="12" s="1"/>
  <c r="AM377" i="12" a="1"/>
  <c r="AM377" i="12" s="1"/>
  <c r="AM362" i="12" a="1"/>
  <c r="AM362" i="12" s="1"/>
  <c r="AM348" i="12" a="1"/>
  <c r="AM348" i="12" s="1"/>
  <c r="AM341" i="12" a="1"/>
  <c r="AM341" i="12" s="1"/>
  <c r="AM326" i="12" a="1"/>
  <c r="AM326" i="12" s="1"/>
  <c r="AM312" i="12" a="1"/>
  <c r="AM312" i="12" s="1"/>
  <c r="AM298" i="12" a="1"/>
  <c r="AM298" i="12" s="1"/>
  <c r="AM283" i="12" a="1"/>
  <c r="AM283" i="12" s="1"/>
  <c r="AM276" i="12" a="1"/>
  <c r="AM276" i="12" s="1"/>
  <c r="AM263" i="12" a="1"/>
  <c r="AM263" i="12" s="1"/>
  <c r="AM251" i="12" a="1"/>
  <c r="AM251" i="12" s="1"/>
  <c r="AM239" i="12" a="1"/>
  <c r="AM239" i="12" s="1"/>
  <c r="AM227" i="12" a="1"/>
  <c r="AM227" i="12" s="1"/>
  <c r="AM215" i="12" a="1"/>
  <c r="AM215" i="12" s="1"/>
  <c r="AM203" i="12" a="1"/>
  <c r="AM203" i="12" s="1"/>
  <c r="AM191" i="12" a="1"/>
  <c r="AM191" i="12" s="1"/>
  <c r="AM185" i="12" a="1"/>
  <c r="AM185" i="12" s="1"/>
  <c r="AM173" i="12" a="1"/>
  <c r="AM173" i="12" s="1"/>
  <c r="AM161" i="12" a="1"/>
  <c r="AM161" i="12" s="1"/>
  <c r="AM149" i="12" a="1"/>
  <c r="AM149" i="12" s="1"/>
  <c r="AM137" i="12" a="1"/>
  <c r="AM137" i="12" s="1"/>
  <c r="AM125" i="12" a="1"/>
  <c r="AM125" i="12" s="1"/>
  <c r="AM113" i="12" a="1"/>
  <c r="AM113" i="12" s="1"/>
  <c r="AM107" i="12" a="1"/>
  <c r="AM107" i="12" s="1"/>
  <c r="AM95" i="12" a="1"/>
  <c r="AM95" i="12" s="1"/>
  <c r="AM83" i="12" a="1"/>
  <c r="AM83" i="12" s="1"/>
  <c r="AM77" i="12" a="1"/>
  <c r="AM77" i="12" s="1"/>
  <c r="AM65" i="12" a="1"/>
  <c r="AM65" i="12" s="1"/>
  <c r="AM53" i="12" a="1"/>
  <c r="AM53" i="12" s="1"/>
  <c r="AM47" i="12" a="1"/>
  <c r="AM47" i="12" s="1"/>
  <c r="AM35" i="12" a="1"/>
  <c r="AM35" i="12" s="1"/>
  <c r="AM23" i="12" a="1"/>
  <c r="AM23" i="12" s="1"/>
  <c r="AM17" i="12" a="1"/>
  <c r="AM17" i="12" s="1"/>
  <c r="AM5" i="12" a="1"/>
  <c r="AM5" i="12" s="1"/>
  <c r="AM390" i="12" a="1"/>
  <c r="AM390" i="12" s="1"/>
  <c r="AM318" i="12" a="1"/>
  <c r="AM318" i="12" s="1"/>
  <c r="AM268" i="12" a="1"/>
  <c r="AM268" i="12" s="1"/>
  <c r="AM244" i="12" a="1"/>
  <c r="AM244" i="12" s="1"/>
  <c r="AM226" i="12" a="1"/>
  <c r="AM226" i="12" s="1"/>
  <c r="AM214" i="12" a="1"/>
  <c r="AM214" i="12" s="1"/>
  <c r="AN605" i="12" a="1"/>
  <c r="AN605" i="12" s="1"/>
  <c r="AN636" i="12" a="1"/>
  <c r="AN636" i="12" s="1"/>
  <c r="AN650" i="12" a="1"/>
  <c r="AN650" i="12" s="1"/>
  <c r="AN664" i="12" a="1"/>
  <c r="AN664" i="12" s="1"/>
  <c r="AN679" i="12" a="1"/>
  <c r="AN679" i="12" s="1"/>
  <c r="AN693" i="12" a="1"/>
  <c r="AN693" i="12" s="1"/>
  <c r="AN708" i="12" a="1"/>
  <c r="AN708" i="12" s="1"/>
  <c r="AN720" i="12" a="1"/>
  <c r="AN720" i="12" s="1"/>
  <c r="AN732" i="12" a="1"/>
  <c r="AN732" i="12" s="1"/>
  <c r="AN744" i="12" a="1"/>
  <c r="AN744" i="12" s="1"/>
  <c r="AN756" i="12" a="1"/>
  <c r="AN756" i="12" s="1"/>
  <c r="AN768" i="12" a="1"/>
  <c r="AN768" i="12" s="1"/>
  <c r="AN778" i="12" a="1"/>
  <c r="AN778" i="12" s="1"/>
  <c r="AN785" i="12" a="1"/>
  <c r="AN785" i="12" s="1"/>
  <c r="AN792" i="12" a="1"/>
  <c r="AN792" i="12" s="1"/>
  <c r="AM786" i="12" a="1"/>
  <c r="AM786" i="12" s="1"/>
  <c r="AM779" i="12" a="1"/>
  <c r="AM779" i="12" s="1"/>
  <c r="AM772" i="12" a="1"/>
  <c r="AM772" i="12" s="1"/>
  <c r="AM765" i="12" a="1"/>
  <c r="AM765" i="12" s="1"/>
  <c r="AM758" i="12" a="1"/>
  <c r="AM758" i="12" s="1"/>
  <c r="AM750" i="12" a="1"/>
  <c r="AM750" i="12" s="1"/>
  <c r="AM743" i="12" a="1"/>
  <c r="AM743" i="12" s="1"/>
  <c r="AM736" i="12" a="1"/>
  <c r="AM736" i="12" s="1"/>
  <c r="AM729" i="12" a="1"/>
  <c r="AM729" i="12" s="1"/>
  <c r="AM722" i="12" a="1"/>
  <c r="AM722" i="12" s="1"/>
  <c r="AM714" i="12" a="1"/>
  <c r="AM714" i="12" s="1"/>
  <c r="AM707" i="12" a="1"/>
  <c r="AM707" i="12" s="1"/>
  <c r="AM700" i="12" a="1"/>
  <c r="AM700" i="12" s="1"/>
  <c r="AM693" i="12" a="1"/>
  <c r="AM693" i="12" s="1"/>
  <c r="AM686" i="12" a="1"/>
  <c r="AM686" i="12" s="1"/>
  <c r="AM678" i="12" a="1"/>
  <c r="AM678" i="12" s="1"/>
  <c r="AM671" i="12" a="1"/>
  <c r="AM671" i="12" s="1"/>
  <c r="AM664" i="12" a="1"/>
  <c r="AM664" i="12" s="1"/>
  <c r="AM657" i="12" a="1"/>
  <c r="AM657" i="12" s="1"/>
  <c r="AM650" i="12" a="1"/>
  <c r="AM650" i="12" s="1"/>
  <c r="AM642" i="12" a="1"/>
  <c r="AM642" i="12" s="1"/>
  <c r="AM635" i="12" a="1"/>
  <c r="AM635" i="12" s="1"/>
  <c r="AM628" i="12" a="1"/>
  <c r="AM628" i="12" s="1"/>
  <c r="AM621" i="12" a="1"/>
  <c r="AM621" i="12" s="1"/>
  <c r="AM614" i="12" a="1"/>
  <c r="AM614" i="12" s="1"/>
  <c r="AM606" i="12" a="1"/>
  <c r="AM606" i="12" s="1"/>
  <c r="AM599" i="12" a="1"/>
  <c r="AM599" i="12" s="1"/>
  <c r="AM592" i="12" a="1"/>
  <c r="AM592" i="12" s="1"/>
  <c r="AM585" i="12" a="1"/>
  <c r="AM585" i="12" s="1"/>
  <c r="AM578" i="12" a="1"/>
  <c r="AM578" i="12" s="1"/>
  <c r="AM571" i="12" a="1"/>
  <c r="AM571" i="12" s="1"/>
  <c r="AM558" i="12" a="1"/>
  <c r="AM558" i="12" s="1"/>
  <c r="AM551" i="12" a="1"/>
  <c r="AM551" i="12" s="1"/>
  <c r="AM544" i="12" a="1"/>
  <c r="AM544" i="12" s="1"/>
  <c r="AM538" i="12" a="1"/>
  <c r="AM538" i="12" s="1"/>
  <c r="AM531" i="12" a="1"/>
  <c r="AM531" i="12" s="1"/>
  <c r="AM519" i="12" a="1"/>
  <c r="AM519" i="12" s="1"/>
  <c r="AM506" i="12" a="1"/>
  <c r="AM506" i="12" s="1"/>
  <c r="AM492" i="12" a="1"/>
  <c r="AM492" i="12" s="1"/>
  <c r="AM478" i="12" a="1"/>
  <c r="AM478" i="12" s="1"/>
  <c r="AM456" i="12" a="1"/>
  <c r="AM456" i="12" s="1"/>
  <c r="AM442" i="12" a="1"/>
  <c r="AM442" i="12" s="1"/>
  <c r="AM434" i="12" a="1"/>
  <c r="AM434" i="12" s="1"/>
  <c r="AM420" i="12" a="1"/>
  <c r="AM420" i="12" s="1"/>
  <c r="AM406" i="12" a="1"/>
  <c r="AM406" i="12" s="1"/>
  <c r="AM391" i="12" a="1"/>
  <c r="AM391" i="12" s="1"/>
  <c r="AM370" i="12" a="1"/>
  <c r="AM370" i="12" s="1"/>
  <c r="AM355" i="12" a="1"/>
  <c r="AM355" i="12" s="1"/>
  <c r="AM334" i="12" a="1"/>
  <c r="AM334" i="12" s="1"/>
  <c r="AM319" i="12" a="1"/>
  <c r="AM319" i="12" s="1"/>
  <c r="AM305" i="12" a="1"/>
  <c r="AM305" i="12" s="1"/>
  <c r="AM290" i="12" a="1"/>
  <c r="AM290" i="12" s="1"/>
  <c r="AM269" i="12" a="1"/>
  <c r="AM269" i="12" s="1"/>
  <c r="AM257" i="12" a="1"/>
  <c r="AM257" i="12" s="1"/>
  <c r="AM245" i="12" a="1"/>
  <c r="AM245" i="12" s="1"/>
  <c r="AM233" i="12" a="1"/>
  <c r="AM233" i="12" s="1"/>
  <c r="AM221" i="12" a="1"/>
  <c r="AM221" i="12" s="1"/>
  <c r="AM209" i="12" a="1"/>
  <c r="AM209" i="12" s="1"/>
  <c r="AM197" i="12" a="1"/>
  <c r="AM197" i="12" s="1"/>
  <c r="AM179" i="12" a="1"/>
  <c r="AM179" i="12" s="1"/>
  <c r="AM167" i="12" a="1"/>
  <c r="AM167" i="12" s="1"/>
  <c r="AM155" i="12" a="1"/>
  <c r="AM155" i="12" s="1"/>
  <c r="AM143" i="12" a="1"/>
  <c r="AM143" i="12" s="1"/>
  <c r="AM131" i="12" a="1"/>
  <c r="AM131" i="12" s="1"/>
  <c r="AM119" i="12" a="1"/>
  <c r="AM119" i="12" s="1"/>
  <c r="AM101" i="12" a="1"/>
  <c r="AM101" i="12" s="1"/>
  <c r="AM89" i="12" a="1"/>
  <c r="AM89" i="12" s="1"/>
  <c r="AM71" i="12" a="1"/>
  <c r="AM71" i="12" s="1"/>
  <c r="AM59" i="12" a="1"/>
  <c r="AM59" i="12" s="1"/>
  <c r="AM41" i="12" a="1"/>
  <c r="AM41" i="12" s="1"/>
  <c r="AM29" i="12" a="1"/>
  <c r="AM29" i="12" s="1"/>
  <c r="AM11" i="12" a="1"/>
  <c r="AM11" i="12" s="1"/>
  <c r="AM383" i="12" a="1"/>
  <c r="AM383" i="12" s="1"/>
  <c r="AM347" i="12" a="1"/>
  <c r="AM347" i="12" s="1"/>
  <c r="AM325" i="12" a="1"/>
  <c r="AM325" i="12" s="1"/>
  <c r="AM304" i="12" a="1"/>
  <c r="AM304" i="12" s="1"/>
  <c r="AM289" i="12" a="1"/>
  <c r="AM289" i="12" s="1"/>
  <c r="AM275" i="12" a="1"/>
  <c r="AM275" i="12" s="1"/>
  <c r="AM262" i="12" a="1"/>
  <c r="AM262" i="12" s="1"/>
  <c r="AM250" i="12" a="1"/>
  <c r="AM250" i="12" s="1"/>
  <c r="AM232" i="12" a="1"/>
  <c r="AM232" i="12" s="1"/>
  <c r="AN611" i="12" a="1"/>
  <c r="AN611" i="12" s="1"/>
  <c r="AN640" i="12" a="1"/>
  <c r="AN640" i="12" s="1"/>
  <c r="AN655" i="12" a="1"/>
  <c r="AN655" i="12" s="1"/>
  <c r="AN669" i="12" a="1"/>
  <c r="AN669" i="12" s="1"/>
  <c r="AN684" i="12" a="1"/>
  <c r="AN684" i="12" s="1"/>
  <c r="AN698" i="12" a="1"/>
  <c r="AN698" i="12" s="1"/>
  <c r="AN712" i="12" a="1"/>
  <c r="AN712" i="12" s="1"/>
  <c r="AN724" i="12" a="1"/>
  <c r="AN724" i="12" s="1"/>
  <c r="AN736" i="12" a="1"/>
  <c r="AN736" i="12" s="1"/>
  <c r="AN748" i="12" a="1"/>
  <c r="AN748" i="12" s="1"/>
  <c r="AN760" i="12" a="1"/>
  <c r="AN760" i="12" s="1"/>
  <c r="AN772" i="12" a="1"/>
  <c r="AN772" i="12" s="1"/>
  <c r="AN779" i="12" a="1"/>
  <c r="AN779" i="12" s="1"/>
  <c r="AN786" i="12" a="1"/>
  <c r="AN786" i="12" s="1"/>
  <c r="AM792" i="12" a="1"/>
  <c r="AM792" i="12" s="1"/>
  <c r="AM785" i="12" a="1"/>
  <c r="AM785" i="12" s="1"/>
  <c r="AM778" i="12" a="1"/>
  <c r="AM778" i="12" s="1"/>
  <c r="AM771" i="12" a="1"/>
  <c r="AM771" i="12" s="1"/>
  <c r="AM764" i="12" a="1"/>
  <c r="AM764" i="12" s="1"/>
  <c r="AM756" i="12" a="1"/>
  <c r="AM756" i="12" s="1"/>
  <c r="AM749" i="12" a="1"/>
  <c r="AM749" i="12" s="1"/>
  <c r="AM742" i="12" a="1"/>
  <c r="AM742" i="12" s="1"/>
  <c r="AM735" i="12" a="1"/>
  <c r="AM735" i="12" s="1"/>
  <c r="AM728" i="12" a="1"/>
  <c r="AM728" i="12" s="1"/>
  <c r="AM720" i="12" a="1"/>
  <c r="AM720" i="12" s="1"/>
  <c r="AM713" i="12" a="1"/>
  <c r="AM713" i="12" s="1"/>
  <c r="AM706" i="12" a="1"/>
  <c r="AM706" i="12" s="1"/>
  <c r="AM699" i="12" a="1"/>
  <c r="AM699" i="12" s="1"/>
  <c r="AM692" i="12" a="1"/>
  <c r="AM692" i="12" s="1"/>
  <c r="AM684" i="12" a="1"/>
  <c r="AM684" i="12" s="1"/>
  <c r="AM677" i="12" a="1"/>
  <c r="AM677" i="12" s="1"/>
  <c r="AM670" i="12" a="1"/>
  <c r="AM670" i="12" s="1"/>
  <c r="AM663" i="12" a="1"/>
  <c r="AM663" i="12" s="1"/>
  <c r="AM656" i="12" a="1"/>
  <c r="AM656" i="12" s="1"/>
  <c r="AM648" i="12" a="1"/>
  <c r="AM648" i="12" s="1"/>
  <c r="AM641" i="12" a="1"/>
  <c r="AM641" i="12" s="1"/>
  <c r="AM634" i="12" a="1"/>
  <c r="AM634" i="12" s="1"/>
  <c r="AM627" i="12" a="1"/>
  <c r="AM627" i="12" s="1"/>
  <c r="AM620" i="12" a="1"/>
  <c r="AM620" i="12" s="1"/>
  <c r="AM612" i="12" a="1"/>
  <c r="AM612" i="12" s="1"/>
  <c r="AM605" i="12" a="1"/>
  <c r="AM605" i="12" s="1"/>
  <c r="AM598" i="12" a="1"/>
  <c r="AM598" i="12" s="1"/>
  <c r="AM591" i="12" a="1"/>
  <c r="AM591" i="12" s="1"/>
  <c r="AM584" i="12" a="1"/>
  <c r="AM584" i="12" s="1"/>
  <c r="AM570" i="12" a="1"/>
  <c r="AM570" i="12" s="1"/>
  <c r="AM563" i="12" a="1"/>
  <c r="AM563" i="12" s="1"/>
  <c r="AM557" i="12" a="1"/>
  <c r="AM557" i="12" s="1"/>
  <c r="AM550" i="12" a="1"/>
  <c r="AM550" i="12" s="1"/>
  <c r="AM542" i="12" a="1"/>
  <c r="AM542" i="12" s="1"/>
  <c r="AM537" i="12" a="1"/>
  <c r="AM537" i="12" s="1"/>
  <c r="AM530" i="12" a="1"/>
  <c r="AM530" i="12" s="1"/>
  <c r="AM518" i="12" a="1"/>
  <c r="AM518" i="12" s="1"/>
  <c r="AM512" i="12" a="1"/>
  <c r="AM512" i="12" s="1"/>
  <c r="AM505" i="12" a="1"/>
  <c r="AM505" i="12" s="1"/>
  <c r="AM498" i="12" a="1"/>
  <c r="AM498" i="12" s="1"/>
  <c r="AM491" i="12" a="1"/>
  <c r="AM491" i="12" s="1"/>
  <c r="AM484" i="12" a="1"/>
  <c r="AM484" i="12" s="1"/>
  <c r="AM476" i="12" a="1"/>
  <c r="AM476" i="12" s="1"/>
  <c r="AM469" i="12" a="1"/>
  <c r="AM469" i="12" s="1"/>
  <c r="AM462" i="12" a="1"/>
  <c r="AM462" i="12" s="1"/>
  <c r="AM455" i="12" a="1"/>
  <c r="AM455" i="12" s="1"/>
  <c r="AM448" i="12" a="1"/>
  <c r="AM448" i="12" s="1"/>
  <c r="AM440" i="12" a="1"/>
  <c r="AM440" i="12" s="1"/>
  <c r="AM433" i="12" a="1"/>
  <c r="AM433" i="12" s="1"/>
  <c r="AM426" i="12" a="1"/>
  <c r="AM426" i="12" s="1"/>
  <c r="AM419" i="12" a="1"/>
  <c r="AM419" i="12" s="1"/>
  <c r="AM412" i="12" a="1"/>
  <c r="AM412" i="12" s="1"/>
  <c r="AM404" i="12" a="1"/>
  <c r="AM404" i="12" s="1"/>
  <c r="AM397" i="12" a="1"/>
  <c r="AM397" i="12" s="1"/>
  <c r="AM376" i="12" a="1"/>
  <c r="AM376" i="12" s="1"/>
  <c r="AM368" i="12" a="1"/>
  <c r="AM368" i="12" s="1"/>
  <c r="AM361" i="12" a="1"/>
  <c r="AM361" i="12" s="1"/>
  <c r="AM354" i="12" a="1"/>
  <c r="AM354" i="12" s="1"/>
  <c r="AM340" i="12" a="1"/>
  <c r="AM340" i="12" s="1"/>
  <c r="AM332" i="12" a="1"/>
  <c r="AM332" i="12" s="1"/>
  <c r="AM311" i="12" a="1"/>
  <c r="AM311" i="12" s="1"/>
  <c r="AM296" i="12" a="1"/>
  <c r="AM296" i="12" s="1"/>
  <c r="AM282" i="12" a="1"/>
  <c r="AM282" i="12" s="1"/>
  <c r="AM256" i="12" a="1"/>
  <c r="AM256" i="12" s="1"/>
  <c r="AM238" i="12" a="1"/>
  <c r="AM238" i="12" s="1"/>
  <c r="AM220" i="12" a="1"/>
  <c r="AM220" i="12" s="1"/>
  <c r="AM208" i="12" a="1"/>
  <c r="AM208" i="12" s="1"/>
  <c r="AN616" i="12" a="1"/>
  <c r="AN616" i="12" s="1"/>
  <c r="AN642" i="12" a="1"/>
  <c r="AN642" i="12" s="1"/>
  <c r="AN656" i="12" a="1"/>
  <c r="AN656" i="12" s="1"/>
  <c r="AN670" i="12" a="1"/>
  <c r="AN670" i="12" s="1"/>
  <c r="AN685" i="12" a="1"/>
  <c r="AN685" i="12" s="1"/>
  <c r="AN699" i="12" a="1"/>
  <c r="AN699" i="12" s="1"/>
  <c r="AN713" i="12" a="1"/>
  <c r="AN713" i="12" s="1"/>
  <c r="AN725" i="12" a="1"/>
  <c r="AN725" i="12" s="1"/>
  <c r="AN737" i="12" a="1"/>
  <c r="AN737" i="12" s="1"/>
  <c r="AN749" i="12" a="1"/>
  <c r="AN749" i="12" s="1"/>
  <c r="AN761" i="12" a="1"/>
  <c r="AN761" i="12" s="1"/>
  <c r="AN773" i="12" a="1"/>
  <c r="AN773" i="12" s="1"/>
  <c r="AN780" i="12" a="1"/>
  <c r="AN780" i="12" s="1"/>
  <c r="AN788" i="12" a="1"/>
  <c r="AN788" i="12" s="1"/>
  <c r="AM791" i="12" a="1"/>
  <c r="AM791" i="12" s="1"/>
  <c r="AM784" i="12" a="1"/>
  <c r="AM784" i="12" s="1"/>
  <c r="AM777" i="12" a="1"/>
  <c r="AM777" i="12" s="1"/>
  <c r="AM770" i="12" a="1"/>
  <c r="AM770" i="12" s="1"/>
  <c r="AM762" i="12" a="1"/>
  <c r="AM762" i="12" s="1"/>
  <c r="AM755" i="12" a="1"/>
  <c r="AM755" i="12" s="1"/>
  <c r="AM748" i="12" a="1"/>
  <c r="AM748" i="12" s="1"/>
  <c r="AM741" i="12" a="1"/>
  <c r="AM741" i="12" s="1"/>
  <c r="AM734" i="12" a="1"/>
  <c r="AM734" i="12" s="1"/>
  <c r="AM726" i="12" a="1"/>
  <c r="AM726" i="12" s="1"/>
  <c r="AM719" i="12" a="1"/>
  <c r="AM719" i="12" s="1"/>
  <c r="AM712" i="12" a="1"/>
  <c r="AM712" i="12" s="1"/>
  <c r="AM705" i="12" a="1"/>
  <c r="AM705" i="12" s="1"/>
  <c r="AM698" i="12" a="1"/>
  <c r="AM698" i="12" s="1"/>
  <c r="AM690" i="12" a="1"/>
  <c r="AM690" i="12" s="1"/>
  <c r="AM683" i="12" a="1"/>
  <c r="AM683" i="12" s="1"/>
  <c r="AM676" i="12" a="1"/>
  <c r="AM676" i="12" s="1"/>
  <c r="AM669" i="12" a="1"/>
  <c r="AM669" i="12" s="1"/>
  <c r="AM662" i="12" a="1"/>
  <c r="AM662" i="12" s="1"/>
  <c r="AM654" i="12" a="1"/>
  <c r="AM654" i="12" s="1"/>
  <c r="AM647" i="12" a="1"/>
  <c r="AM647" i="12" s="1"/>
  <c r="AM640" i="12" a="1"/>
  <c r="AM640" i="12" s="1"/>
  <c r="AM633" i="12" a="1"/>
  <c r="AM633" i="12" s="1"/>
  <c r="AM626" i="12" a="1"/>
  <c r="AM626" i="12" s="1"/>
  <c r="AM618" i="12" a="1"/>
  <c r="AM618" i="12" s="1"/>
  <c r="AM611" i="12" a="1"/>
  <c r="AM611" i="12" s="1"/>
  <c r="AM604" i="12" a="1"/>
  <c r="AM604" i="12" s="1"/>
  <c r="AM597" i="12" a="1"/>
  <c r="AM597" i="12" s="1"/>
  <c r="AM590" i="12" a="1"/>
  <c r="AM590" i="12" s="1"/>
  <c r="AM582" i="12" a="1"/>
  <c r="AM582" i="12" s="1"/>
  <c r="AM576" i="12" a="1"/>
  <c r="AM576" i="12" s="1"/>
  <c r="AM569" i="12" a="1"/>
  <c r="AM569" i="12" s="1"/>
  <c r="AM562" i="12" a="1"/>
  <c r="AM562" i="12" s="1"/>
  <c r="AM556" i="12" a="1"/>
  <c r="AM556" i="12" s="1"/>
  <c r="AM548" i="12" a="1"/>
  <c r="AM548" i="12" s="1"/>
  <c r="AM536" i="12" a="1"/>
  <c r="AM536" i="12" s="1"/>
  <c r="AM529" i="12" a="1"/>
  <c r="AM529" i="12" s="1"/>
  <c r="AM523" i="12" a="1"/>
  <c r="AM523" i="12" s="1"/>
  <c r="AM517" i="12" a="1"/>
  <c r="AM517" i="12" s="1"/>
  <c r="AM511" i="12" a="1"/>
  <c r="AM511" i="12" s="1"/>
  <c r="AM504" i="12" a="1"/>
  <c r="AM504" i="12" s="1"/>
  <c r="AM497" i="12" a="1"/>
  <c r="AM497" i="12" s="1"/>
  <c r="AM490" i="12" a="1"/>
  <c r="AM490" i="12" s="1"/>
  <c r="AM482" i="12" a="1"/>
  <c r="AM482" i="12" s="1"/>
  <c r="AM475" i="12" a="1"/>
  <c r="AM475" i="12" s="1"/>
  <c r="AM468" i="12" a="1"/>
  <c r="AM468" i="12" s="1"/>
  <c r="AM461" i="12" a="1"/>
  <c r="AM461" i="12" s="1"/>
  <c r="AM454" i="12" a="1"/>
  <c r="AM454" i="12" s="1"/>
  <c r="AM446" i="12" a="1"/>
  <c r="AM446" i="12" s="1"/>
  <c r="AM439" i="12" a="1"/>
  <c r="AM439" i="12" s="1"/>
  <c r="AM432" i="12" a="1"/>
  <c r="AM432" i="12" s="1"/>
  <c r="AM425" i="12" a="1"/>
  <c r="AM425" i="12" s="1"/>
  <c r="AM418" i="12" a="1"/>
  <c r="AM418" i="12" s="1"/>
  <c r="AM410" i="12" a="1"/>
  <c r="AM410" i="12" s="1"/>
  <c r="AM403" i="12" a="1"/>
  <c r="AM403" i="12" s="1"/>
  <c r="AM396" i="12" a="1"/>
  <c r="AM396" i="12" s="1"/>
  <c r="AM389" i="12" a="1"/>
  <c r="AM389" i="12" s="1"/>
  <c r="AM382" i="12" a="1"/>
  <c r="AM382" i="12" s="1"/>
  <c r="AM374" i="12" a="1"/>
  <c r="AM374" i="12" s="1"/>
  <c r="AM367" i="12" a="1"/>
  <c r="AM367" i="12" s="1"/>
  <c r="AM360" i="12" a="1"/>
  <c r="AM360" i="12" s="1"/>
  <c r="AM353" i="12" a="1"/>
  <c r="AM353" i="12" s="1"/>
  <c r="AM346" i="12" a="1"/>
  <c r="AM346" i="12" s="1"/>
  <c r="AM338" i="12" a="1"/>
  <c r="AM338" i="12" s="1"/>
  <c r="AM331" i="12" a="1"/>
  <c r="AM331" i="12" s="1"/>
  <c r="AM324" i="12" a="1"/>
  <c r="AM324" i="12" s="1"/>
  <c r="AM317" i="12" a="1"/>
  <c r="AM317" i="12" s="1"/>
  <c r="AM310" i="12" a="1"/>
  <c r="AM310" i="12" s="1"/>
  <c r="AM302" i="12" a="1"/>
  <c r="AM302" i="12" s="1"/>
  <c r="AN622" i="12" a="1"/>
  <c r="AN622" i="12" s="1"/>
  <c r="AN643" i="12" a="1"/>
  <c r="AN643" i="12" s="1"/>
  <c r="AN657" i="12" a="1"/>
  <c r="AN657" i="12" s="1"/>
  <c r="AN672" i="12" a="1"/>
  <c r="AN672" i="12" s="1"/>
  <c r="AN686" i="12" a="1"/>
  <c r="AN686" i="12" s="1"/>
  <c r="AN700" i="12" a="1"/>
  <c r="AN700" i="12" s="1"/>
  <c r="AN714" i="12" a="1"/>
  <c r="AN714" i="12" s="1"/>
  <c r="AN726" i="12" a="1"/>
  <c r="AN726" i="12" s="1"/>
  <c r="AN738" i="12" a="1"/>
  <c r="AN738" i="12" s="1"/>
  <c r="AN750" i="12" a="1"/>
  <c r="AN750" i="12" s="1"/>
  <c r="AN762" i="12" a="1"/>
  <c r="AN762" i="12" s="1"/>
  <c r="AN774" i="12" a="1"/>
  <c r="AN774" i="12" s="1"/>
  <c r="AN782" i="12" a="1"/>
  <c r="AN782" i="12" s="1"/>
  <c r="AN789" i="12" a="1"/>
  <c r="AN789" i="12" s="1"/>
  <c r="AM790" i="12" a="1"/>
  <c r="AM790" i="12" s="1"/>
  <c r="AM783" i="12" a="1"/>
  <c r="AM783" i="12" s="1"/>
  <c r="AM776" i="12" a="1"/>
  <c r="AM776" i="12" s="1"/>
  <c r="AM768" i="12" a="1"/>
  <c r="AM768" i="12" s="1"/>
  <c r="AM761" i="12" a="1"/>
  <c r="AM761" i="12" s="1"/>
  <c r="AM754" i="12" a="1"/>
  <c r="AM754" i="12" s="1"/>
  <c r="AM747" i="12" a="1"/>
  <c r="AM747" i="12" s="1"/>
  <c r="AM740" i="12" a="1"/>
  <c r="AM740" i="12" s="1"/>
  <c r="AM732" i="12" a="1"/>
  <c r="AM732" i="12" s="1"/>
  <c r="AM725" i="12" a="1"/>
  <c r="AM725" i="12" s="1"/>
  <c r="AM718" i="12" a="1"/>
  <c r="AM718" i="12" s="1"/>
  <c r="AM711" i="12" a="1"/>
  <c r="AM711" i="12" s="1"/>
  <c r="AM704" i="12" a="1"/>
  <c r="AM704" i="12" s="1"/>
  <c r="AM696" i="12" a="1"/>
  <c r="AM696" i="12" s="1"/>
  <c r="AM689" i="12" a="1"/>
  <c r="AM689" i="12" s="1"/>
  <c r="AM682" i="12" a="1"/>
  <c r="AM682" i="12" s="1"/>
  <c r="AM675" i="12" a="1"/>
  <c r="AM675" i="12" s="1"/>
  <c r="AM668" i="12" a="1"/>
  <c r="AM668" i="12" s="1"/>
  <c r="AM660" i="12" a="1"/>
  <c r="AM660" i="12" s="1"/>
  <c r="AM653" i="12" a="1"/>
  <c r="AM653" i="12" s="1"/>
  <c r="AM646" i="12" a="1"/>
  <c r="AM646" i="12" s="1"/>
  <c r="AM639" i="12" a="1"/>
  <c r="AM639" i="12" s="1"/>
  <c r="AM632" i="12" a="1"/>
  <c r="AM632" i="12" s="1"/>
  <c r="AM624" i="12" a="1"/>
  <c r="AM624" i="12" s="1"/>
  <c r="AM617" i="12" a="1"/>
  <c r="AM617" i="12" s="1"/>
  <c r="AM610" i="12" a="1"/>
  <c r="AM610" i="12" s="1"/>
  <c r="AM603" i="12" a="1"/>
  <c r="AM603" i="12" s="1"/>
  <c r="AM596" i="12" a="1"/>
  <c r="AM596" i="12" s="1"/>
  <c r="AM588" i="12" a="1"/>
  <c r="AM588" i="12" s="1"/>
  <c r="AM581" i="12" a="1"/>
  <c r="AM581" i="12" s="1"/>
  <c r="AM575" i="12" a="1"/>
  <c r="AM575" i="12" s="1"/>
  <c r="AM568" i="12" a="1"/>
  <c r="AM568" i="12" s="1"/>
  <c r="AM561" i="12" a="1"/>
  <c r="AM561" i="12" s="1"/>
  <c r="AM554" i="12" a="1"/>
  <c r="AM554" i="12" s="1"/>
  <c r="AM547" i="12" a="1"/>
  <c r="AM547" i="12" s="1"/>
  <c r="AM541" i="12" a="1"/>
  <c r="AM541" i="12" s="1"/>
  <c r="AM535" i="12" a="1"/>
  <c r="AM535" i="12" s="1"/>
  <c r="AM528" i="12" a="1"/>
  <c r="AM528" i="12" s="1"/>
  <c r="AM522" i="12" a="1"/>
  <c r="AM522" i="12" s="1"/>
  <c r="AM516" i="12" a="1"/>
  <c r="AM516" i="12" s="1"/>
  <c r="AM510" i="12" a="1"/>
  <c r="AM510" i="12" s="1"/>
  <c r="AM503" i="12" a="1"/>
  <c r="AM503" i="12" s="1"/>
  <c r="AM496" i="12" a="1"/>
  <c r="AM496" i="12" s="1"/>
  <c r="AM488" i="12" a="1"/>
  <c r="AM488" i="12" s="1"/>
  <c r="AM481" i="12" a="1"/>
  <c r="AM481" i="12" s="1"/>
  <c r="AM474" i="12" a="1"/>
  <c r="AM474" i="12" s="1"/>
  <c r="AM467" i="12" a="1"/>
  <c r="AM467" i="12" s="1"/>
  <c r="AM460" i="12" a="1"/>
  <c r="AM460" i="12" s="1"/>
  <c r="AM452" i="12" a="1"/>
  <c r="AM452" i="12" s="1"/>
  <c r="AM445" i="12" a="1"/>
  <c r="AM445" i="12" s="1"/>
  <c r="AM438" i="12" a="1"/>
  <c r="AM438" i="12" s="1"/>
  <c r="AM431" i="12" a="1"/>
  <c r="AM431" i="12" s="1"/>
  <c r="AM424" i="12" a="1"/>
  <c r="AM424" i="12" s="1"/>
  <c r="AM416" i="12" a="1"/>
  <c r="AM416" i="12" s="1"/>
  <c r="AM409" i="12" a="1"/>
  <c r="AM409" i="12" s="1"/>
  <c r="AM402" i="12" a="1"/>
  <c r="AM402" i="12" s="1"/>
  <c r="AM395" i="12" a="1"/>
  <c r="AM395" i="12" s="1"/>
  <c r="AM388" i="12" a="1"/>
  <c r="AM388" i="12" s="1"/>
  <c r="AM380" i="12" a="1"/>
  <c r="AM380" i="12" s="1"/>
  <c r="AM373" i="12" a="1"/>
  <c r="AM373" i="12" s="1"/>
  <c r="AM366" i="12" a="1"/>
  <c r="AM366" i="12" s="1"/>
  <c r="AM359" i="12" a="1"/>
  <c r="AM359" i="12" s="1"/>
  <c r="AM352" i="12" a="1"/>
  <c r="AM352" i="12" s="1"/>
  <c r="AM344" i="12" a="1"/>
  <c r="AM344" i="12" s="1"/>
  <c r="AM337" i="12" a="1"/>
  <c r="AM337" i="12" s="1"/>
  <c r="AM330" i="12" a="1"/>
  <c r="AM330" i="12" s="1"/>
  <c r="AM323" i="12" a="1"/>
  <c r="AM323" i="12" s="1"/>
  <c r="AM316" i="12" a="1"/>
  <c r="AM316" i="12" s="1"/>
  <c r="AM308" i="12" a="1"/>
  <c r="AM308" i="12" s="1"/>
  <c r="AM301" i="12" a="1"/>
  <c r="AM301" i="12" s="1"/>
  <c r="AM294" i="12" a="1"/>
  <c r="AM294" i="12" s="1"/>
  <c r="AN628" i="12" a="1"/>
  <c r="AN628" i="12" s="1"/>
  <c r="AN648" i="12" a="1"/>
  <c r="AN648" i="12" s="1"/>
  <c r="AN662" i="12" a="1"/>
  <c r="AN662" i="12" s="1"/>
  <c r="AN676" i="12" a="1"/>
  <c r="AN676" i="12" s="1"/>
  <c r="AN691" i="12" a="1"/>
  <c r="AN691" i="12" s="1"/>
  <c r="AN705" i="12" a="1"/>
  <c r="AN705" i="12" s="1"/>
  <c r="AN718" i="12" a="1"/>
  <c r="AN718" i="12" s="1"/>
  <c r="AN730" i="12" a="1"/>
  <c r="AN730" i="12" s="1"/>
  <c r="AN742" i="12" a="1"/>
  <c r="AN742" i="12" s="1"/>
  <c r="AN754" i="12" a="1"/>
  <c r="AN754" i="12" s="1"/>
  <c r="AN766" i="12" a="1"/>
  <c r="AN766" i="12" s="1"/>
  <c r="AN776" i="12" a="1"/>
  <c r="AN776" i="12" s="1"/>
  <c r="AN783" i="12" a="1"/>
  <c r="AN783" i="12" s="1"/>
  <c r="AN790" i="12" a="1"/>
  <c r="AN790" i="12" s="1"/>
  <c r="AM789" i="12" a="1"/>
  <c r="AM789" i="12" s="1"/>
  <c r="AM782" i="12" a="1"/>
  <c r="AM782" i="12" s="1"/>
  <c r="AM774" i="12" a="1"/>
  <c r="AM774" i="12" s="1"/>
  <c r="AM767" i="12" a="1"/>
  <c r="AM767" i="12" s="1"/>
  <c r="AM760" i="12" a="1"/>
  <c r="AM760" i="12" s="1"/>
  <c r="AM753" i="12" a="1"/>
  <c r="AM753" i="12" s="1"/>
  <c r="AM746" i="12" a="1"/>
  <c r="AM746" i="12" s="1"/>
  <c r="AM738" i="12" a="1"/>
  <c r="AM738" i="12" s="1"/>
  <c r="AM731" i="12" a="1"/>
  <c r="AM731" i="12" s="1"/>
  <c r="AM724" i="12" a="1"/>
  <c r="AM724" i="12" s="1"/>
  <c r="AM717" i="12" a="1"/>
  <c r="AM717" i="12" s="1"/>
  <c r="AM710" i="12" a="1"/>
  <c r="AM710" i="12" s="1"/>
  <c r="AM702" i="12" a="1"/>
  <c r="AM702" i="12" s="1"/>
  <c r="AM695" i="12" a="1"/>
  <c r="AM695" i="12" s="1"/>
  <c r="AM688" i="12" a="1"/>
  <c r="AM688" i="12" s="1"/>
  <c r="AM681" i="12" a="1"/>
  <c r="AM681" i="12" s="1"/>
  <c r="AM674" i="12" a="1"/>
  <c r="AM674" i="12" s="1"/>
  <c r="AM666" i="12" a="1"/>
  <c r="AM666" i="12" s="1"/>
  <c r="AM659" i="12" a="1"/>
  <c r="AM659" i="12" s="1"/>
  <c r="AM652" i="12" a="1"/>
  <c r="AM652" i="12" s="1"/>
  <c r="AM645" i="12" a="1"/>
  <c r="AM645" i="12" s="1"/>
  <c r="AM638" i="12" a="1"/>
  <c r="AM638" i="12" s="1"/>
  <c r="AM630" i="12" a="1"/>
  <c r="AM630" i="12" s="1"/>
  <c r="AM623" i="12" a="1"/>
  <c r="AM623" i="12" s="1"/>
  <c r="AM616" i="12" a="1"/>
  <c r="AM616" i="12" s="1"/>
  <c r="AM609" i="12" a="1"/>
  <c r="AM609" i="12" s="1"/>
  <c r="AM602" i="12" a="1"/>
  <c r="AM602" i="12" s="1"/>
  <c r="AM594" i="12" a="1"/>
  <c r="AM594" i="12" s="1"/>
  <c r="AM587" i="12" a="1"/>
  <c r="AM587" i="12" s="1"/>
  <c r="AM580" i="12" a="1"/>
  <c r="AM580" i="12" s="1"/>
  <c r="AM574" i="12" a="1"/>
  <c r="AM574" i="12" s="1"/>
  <c r="AM567" i="12" a="1"/>
  <c r="AM567" i="12" s="1"/>
  <c r="AM553" i="12" a="1"/>
  <c r="AM553" i="12" s="1"/>
  <c r="AM546" i="12" a="1"/>
  <c r="AM546" i="12" s="1"/>
  <c r="AM534" i="12" a="1"/>
  <c r="AM534" i="12" s="1"/>
  <c r="AM526" i="12" a="1"/>
  <c r="AM526" i="12" s="1"/>
  <c r="AM521" i="12" a="1"/>
  <c r="AM521" i="12" s="1"/>
  <c r="AM515" i="12" a="1"/>
  <c r="AM515" i="12" s="1"/>
  <c r="AM509" i="12" a="1"/>
  <c r="AM509" i="12" s="1"/>
  <c r="AM502" i="12" a="1"/>
  <c r="AM502" i="12" s="1"/>
  <c r="AM494" i="12" a="1"/>
  <c r="AM494" i="12" s="1"/>
  <c r="AM487" i="12" a="1"/>
  <c r="AM487" i="12" s="1"/>
  <c r="AM480" i="12" a="1"/>
  <c r="AM480" i="12" s="1"/>
  <c r="AM473" i="12" a="1"/>
  <c r="AM473" i="12" s="1"/>
  <c r="AM466" i="12" a="1"/>
  <c r="AM466" i="12" s="1"/>
  <c r="AM458" i="12" a="1"/>
  <c r="AM458" i="12" s="1"/>
  <c r="AM451" i="12" a="1"/>
  <c r="AM451" i="12" s="1"/>
  <c r="AM444" i="12" a="1"/>
  <c r="AM444" i="12" s="1"/>
  <c r="AM437" i="12" a="1"/>
  <c r="AM437" i="12" s="1"/>
  <c r="AM430" i="12" a="1"/>
  <c r="AM430" i="12" s="1"/>
  <c r="AM422" i="12" a="1"/>
  <c r="AM422" i="12" s="1"/>
  <c r="AM415" i="12" a="1"/>
  <c r="AM415" i="12" s="1"/>
  <c r="AM408" i="12" a="1"/>
  <c r="AM408" i="12" s="1"/>
  <c r="AM401" i="12" a="1"/>
  <c r="AM401" i="12" s="1"/>
  <c r="AM394" i="12" a="1"/>
  <c r="AM394" i="12" s="1"/>
  <c r="AM386" i="12" a="1"/>
  <c r="AM386" i="12" s="1"/>
  <c r="AM379" i="12" a="1"/>
  <c r="AM379" i="12" s="1"/>
  <c r="AM372" i="12" a="1"/>
  <c r="AM372" i="12" s="1"/>
  <c r="AM365" i="12" a="1"/>
  <c r="AM365" i="12" s="1"/>
  <c r="AM358" i="12" a="1"/>
  <c r="AM358" i="12" s="1"/>
  <c r="AM350" i="12" a="1"/>
  <c r="AM350" i="12" s="1"/>
  <c r="AM343" i="12" a="1"/>
  <c r="AM343" i="12" s="1"/>
  <c r="AM336" i="12" a="1"/>
  <c r="AM336" i="12" s="1"/>
  <c r="AM329" i="12" a="1"/>
  <c r="AM329" i="12" s="1"/>
  <c r="AM322" i="12" a="1"/>
  <c r="AM322" i="12" s="1"/>
  <c r="AM314" i="12" a="1"/>
  <c r="AM314" i="12" s="1"/>
  <c r="AM307" i="12" a="1"/>
  <c r="AM307" i="12" s="1"/>
  <c r="AM300" i="12" a="1"/>
  <c r="AM300" i="12" s="1"/>
  <c r="AM281" i="12" a="1"/>
  <c r="AM281" i="12" s="1"/>
  <c r="AM267" i="12" a="1"/>
  <c r="AM267" i="12" s="1"/>
  <c r="AM255" i="12" a="1"/>
  <c r="AM255" i="12" s="1"/>
  <c r="AM243" i="12" a="1"/>
  <c r="AM243" i="12" s="1"/>
  <c r="AM231" i="12" a="1"/>
  <c r="AM231" i="12" s="1"/>
  <c r="AM219" i="12" a="1"/>
  <c r="AM219" i="12" s="1"/>
  <c r="AM207" i="12" a="1"/>
  <c r="AM207" i="12" s="1"/>
  <c r="AM199" i="12" a="1"/>
  <c r="AM199" i="12" s="1"/>
  <c r="AM189" i="12" a="1"/>
  <c r="AM189" i="12" s="1"/>
  <c r="AM181" i="12" a="1"/>
  <c r="AM181" i="12" s="1"/>
  <c r="AM171" i="12" a="1"/>
  <c r="AM171" i="12" s="1"/>
  <c r="AM163" i="12" a="1"/>
  <c r="AM163" i="12" s="1"/>
  <c r="AM153" i="12" a="1"/>
  <c r="AM153" i="12" s="1"/>
  <c r="AM145" i="12" a="1"/>
  <c r="AM145" i="12" s="1"/>
  <c r="AM135" i="12" a="1"/>
  <c r="AM135" i="12" s="1"/>
  <c r="AM127" i="12" a="1"/>
  <c r="AM127" i="12" s="1"/>
  <c r="AM117" i="12" a="1"/>
  <c r="AM117" i="12" s="1"/>
  <c r="AM109" i="12" a="1"/>
  <c r="AM109" i="12" s="1"/>
  <c r="AM99" i="12" a="1"/>
  <c r="AM99" i="12" s="1"/>
  <c r="AM91" i="12" a="1"/>
  <c r="AM91" i="12" s="1"/>
  <c r="AM81" i="12" a="1"/>
  <c r="AM81" i="12" s="1"/>
  <c r="AM73" i="12" a="1"/>
  <c r="AM73" i="12" s="1"/>
  <c r="AM63" i="12" a="1"/>
  <c r="AM63" i="12" s="1"/>
  <c r="AM55" i="12" a="1"/>
  <c r="AM55" i="12" s="1"/>
  <c r="AM45" i="12" a="1"/>
  <c r="AM45" i="12" s="1"/>
  <c r="AM37" i="12" a="1"/>
  <c r="AM37" i="12" s="1"/>
  <c r="AM27" i="12" a="1"/>
  <c r="AM27" i="12" s="1"/>
  <c r="AM19" i="12" a="1"/>
  <c r="AM19" i="12" s="1"/>
  <c r="AM9" i="12" a="1"/>
  <c r="AM9" i="12" s="1"/>
  <c r="AM295" i="12" a="1"/>
  <c r="AM295" i="12" s="1"/>
  <c r="AM280" i="12" a="1"/>
  <c r="AM280" i="12" s="1"/>
  <c r="AM266" i="12" a="1"/>
  <c r="AM266" i="12" s="1"/>
  <c r="AM254" i="12" a="1"/>
  <c r="AM254" i="12" s="1"/>
  <c r="AM242" i="12" a="1"/>
  <c r="AM242" i="12" s="1"/>
  <c r="AM230" i="12" a="1"/>
  <c r="AM230" i="12" s="1"/>
  <c r="AM218" i="12" a="1"/>
  <c r="AM218" i="12" s="1"/>
  <c r="AM206" i="12" a="1"/>
  <c r="AM206" i="12" s="1"/>
  <c r="AM196" i="12" a="1"/>
  <c r="AM196" i="12" s="1"/>
  <c r="AM188" i="12" a="1"/>
  <c r="AM188" i="12" s="1"/>
  <c r="AM178" i="12" a="1"/>
  <c r="AM178" i="12" s="1"/>
  <c r="AM170" i="12" a="1"/>
  <c r="AM170" i="12" s="1"/>
  <c r="AM160" i="12" a="1"/>
  <c r="AM160" i="12" s="1"/>
  <c r="AM152" i="12" a="1"/>
  <c r="AM152" i="12" s="1"/>
  <c r="AM142" i="12" a="1"/>
  <c r="AM142" i="12" s="1"/>
  <c r="AM134" i="12" a="1"/>
  <c r="AM134" i="12" s="1"/>
  <c r="AM124" i="12" a="1"/>
  <c r="AM124" i="12" s="1"/>
  <c r="AM116" i="12" a="1"/>
  <c r="AM116" i="12" s="1"/>
  <c r="AM106" i="12" a="1"/>
  <c r="AM106" i="12" s="1"/>
  <c r="AM98" i="12" a="1"/>
  <c r="AM98" i="12" s="1"/>
  <c r="AM88" i="12" a="1"/>
  <c r="AM88" i="12" s="1"/>
  <c r="AM80" i="12" a="1"/>
  <c r="AM80" i="12" s="1"/>
  <c r="AM70" i="12" a="1"/>
  <c r="AM70" i="12" s="1"/>
  <c r="AM62" i="12" a="1"/>
  <c r="AM62" i="12" s="1"/>
  <c r="AM52" i="12" a="1"/>
  <c r="AM52" i="12" s="1"/>
  <c r="AM44" i="12" a="1"/>
  <c r="AM44" i="12" s="1"/>
  <c r="AM34" i="12" a="1"/>
  <c r="AM34" i="12" s="1"/>
  <c r="AM26" i="12" a="1"/>
  <c r="AM26" i="12" s="1"/>
  <c r="AM16" i="12" a="1"/>
  <c r="AM16" i="12" s="1"/>
  <c r="AM8" i="12" a="1"/>
  <c r="AM8" i="12" s="1"/>
  <c r="AM293" i="12" a="1"/>
  <c r="AM293" i="12" s="1"/>
  <c r="AM278" i="12" a="1"/>
  <c r="AM278" i="12" s="1"/>
  <c r="AM265" i="12" a="1"/>
  <c r="AM265" i="12" s="1"/>
  <c r="AM253" i="12" a="1"/>
  <c r="AM253" i="12" s="1"/>
  <c r="AM241" i="12" a="1"/>
  <c r="AM241" i="12" s="1"/>
  <c r="AM229" i="12" a="1"/>
  <c r="AM229" i="12" s="1"/>
  <c r="AM217" i="12" a="1"/>
  <c r="AM217" i="12" s="1"/>
  <c r="AM205" i="12" a="1"/>
  <c r="AM205" i="12" s="1"/>
  <c r="AM195" i="12" a="1"/>
  <c r="AM195" i="12" s="1"/>
  <c r="AM187" i="12" a="1"/>
  <c r="AM187" i="12" s="1"/>
  <c r="AM177" i="12" a="1"/>
  <c r="AM177" i="12" s="1"/>
  <c r="AM169" i="12" a="1"/>
  <c r="AM169" i="12" s="1"/>
  <c r="AM159" i="12" a="1"/>
  <c r="AM159" i="12" s="1"/>
  <c r="AM151" i="12" a="1"/>
  <c r="AM151" i="12" s="1"/>
  <c r="AM141" i="12" a="1"/>
  <c r="AM141" i="12" s="1"/>
  <c r="AM133" i="12" a="1"/>
  <c r="AM133" i="12" s="1"/>
  <c r="AM123" i="12" a="1"/>
  <c r="AM123" i="12" s="1"/>
  <c r="AM115" i="12" a="1"/>
  <c r="AM115" i="12" s="1"/>
  <c r="AM105" i="12" a="1"/>
  <c r="AM105" i="12" s="1"/>
  <c r="AM97" i="12" a="1"/>
  <c r="AM97" i="12" s="1"/>
  <c r="AM87" i="12" a="1"/>
  <c r="AM87" i="12" s="1"/>
  <c r="AM79" i="12" a="1"/>
  <c r="AM79" i="12" s="1"/>
  <c r="AM69" i="12" a="1"/>
  <c r="AM69" i="12" s="1"/>
  <c r="AM61" i="12" a="1"/>
  <c r="AM61" i="12" s="1"/>
  <c r="AM51" i="12" a="1"/>
  <c r="AM51" i="12" s="1"/>
  <c r="AM43" i="12" a="1"/>
  <c r="AM43" i="12" s="1"/>
  <c r="AM33" i="12" a="1"/>
  <c r="AM33" i="12" s="1"/>
  <c r="AM25" i="12" a="1"/>
  <c r="AM25" i="12" s="1"/>
  <c r="AM15" i="12" a="1"/>
  <c r="AM15" i="12" s="1"/>
  <c r="AM7" i="12" a="1"/>
  <c r="AM7" i="12" s="1"/>
  <c r="AM288" i="12" a="1"/>
  <c r="AM288" i="12" s="1"/>
  <c r="AM274" i="12" a="1"/>
  <c r="AM274" i="12" s="1"/>
  <c r="AM261" i="12" a="1"/>
  <c r="AM261" i="12" s="1"/>
  <c r="AM237" i="12" a="1"/>
  <c r="AM237" i="12" s="1"/>
  <c r="AM225" i="12" a="1"/>
  <c r="AM225" i="12" s="1"/>
  <c r="AM213" i="12" a="1"/>
  <c r="AM213" i="12" s="1"/>
  <c r="AM202" i="12" a="1"/>
  <c r="AM202" i="12" s="1"/>
  <c r="AM194" i="12" a="1"/>
  <c r="AM194" i="12" s="1"/>
  <c r="AM184" i="12" a="1"/>
  <c r="AM184" i="12" s="1"/>
  <c r="AM166" i="12" a="1"/>
  <c r="AM166" i="12" s="1"/>
  <c r="AM158" i="12" a="1"/>
  <c r="AM158" i="12" s="1"/>
  <c r="AM148" i="12" a="1"/>
  <c r="AM148" i="12" s="1"/>
  <c r="AM130" i="12" a="1"/>
  <c r="AM130" i="12" s="1"/>
  <c r="AM122" i="12" a="1"/>
  <c r="AM122" i="12" s="1"/>
  <c r="AM112" i="12" a="1"/>
  <c r="AM112" i="12" s="1"/>
  <c r="AM94" i="12" a="1"/>
  <c r="AM94" i="12" s="1"/>
  <c r="AM76" i="12" a="1"/>
  <c r="AM76" i="12" s="1"/>
  <c r="AM58" i="12" a="1"/>
  <c r="AM58" i="12" s="1"/>
  <c r="AM40" i="12" a="1"/>
  <c r="AM40" i="12" s="1"/>
  <c r="AM22" i="12" a="1"/>
  <c r="AM22" i="12" s="1"/>
  <c r="AM4" i="12" a="1"/>
  <c r="AM4" i="12" s="1"/>
  <c r="AM287" i="12" a="1"/>
  <c r="AM287" i="12" s="1"/>
  <c r="AM248" i="12" a="1"/>
  <c r="AM248" i="12" s="1"/>
  <c r="AM212" i="12" a="1"/>
  <c r="AM212" i="12" s="1"/>
  <c r="AM193" i="12" a="1"/>
  <c r="AM193" i="12" s="1"/>
  <c r="AM165" i="12" a="1"/>
  <c r="AM165" i="12" s="1"/>
  <c r="AM157" i="12" a="1"/>
  <c r="AM157" i="12" s="1"/>
  <c r="AM139" i="12" a="1"/>
  <c r="AM139" i="12" s="1"/>
  <c r="AM129" i="12" a="1"/>
  <c r="AM129" i="12" s="1"/>
  <c r="AM111" i="12" a="1"/>
  <c r="AM111" i="12" s="1"/>
  <c r="AM93" i="12" a="1"/>
  <c r="AM93" i="12" s="1"/>
  <c r="AM75" i="12" a="1"/>
  <c r="AM75" i="12" s="1"/>
  <c r="AM49" i="12" a="1"/>
  <c r="AM49" i="12" s="1"/>
  <c r="AM21" i="12" a="1"/>
  <c r="AM21" i="12" s="1"/>
  <c r="AM271" i="12" a="1"/>
  <c r="AM271" i="12" s="1"/>
  <c r="AM223" i="12" a="1"/>
  <c r="AM223" i="12" s="1"/>
  <c r="AM200" i="12" a="1"/>
  <c r="AM200" i="12" s="1"/>
  <c r="AM154" i="12" a="1"/>
  <c r="AM154" i="12" s="1"/>
  <c r="AM110" i="12" a="1"/>
  <c r="AM110" i="12" s="1"/>
  <c r="AM64" i="12" a="1"/>
  <c r="AM64" i="12" s="1"/>
  <c r="AM28" i="12" a="1"/>
  <c r="AM28" i="12" s="1"/>
  <c r="AM249" i="12" a="1"/>
  <c r="AM249" i="12" s="1"/>
  <c r="AM176" i="12" a="1"/>
  <c r="AM176" i="12" s="1"/>
  <c r="AM140" i="12" a="1"/>
  <c r="AM140" i="12" s="1"/>
  <c r="AM104" i="12" a="1"/>
  <c r="AM104" i="12" s="1"/>
  <c r="AM86" i="12" a="1"/>
  <c r="AM86" i="12" s="1"/>
  <c r="AM68" i="12" a="1"/>
  <c r="AM68" i="12" s="1"/>
  <c r="AM50" i="12" a="1"/>
  <c r="AM50" i="12" s="1"/>
  <c r="AM32" i="12" a="1"/>
  <c r="AM32" i="12" s="1"/>
  <c r="AM14" i="12" a="1"/>
  <c r="AM14" i="12" s="1"/>
  <c r="AM272" i="12" a="1"/>
  <c r="AM272" i="12" s="1"/>
  <c r="AM236" i="12" a="1"/>
  <c r="AM236" i="12" s="1"/>
  <c r="AM201" i="12" a="1"/>
  <c r="AM201" i="12" s="1"/>
  <c r="AM175" i="12" a="1"/>
  <c r="AM175" i="12" s="1"/>
  <c r="AM147" i="12" a="1"/>
  <c r="AM147" i="12" s="1"/>
  <c r="AM121" i="12" a="1"/>
  <c r="AM121" i="12" s="1"/>
  <c r="AM103" i="12" a="1"/>
  <c r="AM103" i="12" s="1"/>
  <c r="AM85" i="12" a="1"/>
  <c r="AM85" i="12" s="1"/>
  <c r="AM67" i="12" a="1"/>
  <c r="AM67" i="12" s="1"/>
  <c r="AM39" i="12" a="1"/>
  <c r="AM39" i="12" s="1"/>
  <c r="AM31" i="12" a="1"/>
  <c r="AM31" i="12" s="1"/>
  <c r="AM3" i="12" a="1"/>
  <c r="AM3" i="12" s="1"/>
  <c r="AM286" i="12" a="1"/>
  <c r="AM286" i="12" s="1"/>
  <c r="AM211" i="12" a="1"/>
  <c r="AM211" i="12" s="1"/>
  <c r="AM190" i="12" a="1"/>
  <c r="AM190" i="12" s="1"/>
  <c r="AM164" i="12" a="1"/>
  <c r="AM164" i="12" s="1"/>
  <c r="AM118" i="12" a="1"/>
  <c r="AM118" i="12" s="1"/>
  <c r="AM92" i="12" a="1"/>
  <c r="AM92" i="12" s="1"/>
  <c r="AM46" i="12" a="1"/>
  <c r="AM46" i="12" s="1"/>
  <c r="AM224" i="12" a="1"/>
  <c r="AM224" i="12" s="1"/>
  <c r="AM13" i="12" a="1"/>
  <c r="AM13" i="12" s="1"/>
  <c r="AM247" i="12" a="1"/>
  <c r="AM247" i="12" s="1"/>
  <c r="AM182" i="12" a="1"/>
  <c r="AM182" i="12" s="1"/>
  <c r="AM136" i="12" a="1"/>
  <c r="AM136" i="12" s="1"/>
  <c r="AM82" i="12" a="1"/>
  <c r="AM82" i="12" s="1"/>
  <c r="AM38" i="12" a="1"/>
  <c r="AM38" i="12" s="1"/>
  <c r="AM10" i="12" a="1"/>
  <c r="AM10" i="12" s="1"/>
  <c r="AM183" i="12" a="1"/>
  <c r="AM183" i="12" s="1"/>
  <c r="AM235" i="12" a="1"/>
  <c r="AM235" i="12" s="1"/>
  <c r="AM172" i="12" a="1"/>
  <c r="AM172" i="12" s="1"/>
  <c r="AM128" i="12" a="1"/>
  <c r="AM128" i="12" s="1"/>
  <c r="AM74" i="12" a="1"/>
  <c r="AM74" i="12" s="1"/>
  <c r="AM20" i="12" a="1"/>
  <c r="AM20" i="12" s="1"/>
  <c r="AM260" i="12" a="1"/>
  <c r="AM260" i="12" s="1"/>
  <c r="AM57" i="12" a="1"/>
  <c r="AM57" i="12" s="1"/>
  <c r="AM259" i="12" a="1"/>
  <c r="AM259" i="12" s="1"/>
  <c r="AM146" i="12" a="1"/>
  <c r="AM146" i="12" s="1"/>
  <c r="AM100" i="12" a="1"/>
  <c r="AM100" i="12" s="1"/>
  <c r="AM56" i="12" a="1"/>
  <c r="AM56" i="12" s="1"/>
  <c r="AK2" i="12"/>
  <c r="AM798" i="12" a="1"/>
  <c r="AM798" i="12" s="1"/>
  <c r="AM794" i="12" a="1"/>
  <c r="AM794" i="12" s="1"/>
  <c r="AM795" i="12" a="1"/>
  <c r="AM795" i="12" s="1"/>
  <c r="AM796" i="12" a="1"/>
  <c r="AM796" i="12" s="1"/>
  <c r="AM797" i="12" a="1"/>
  <c r="AM797" i="12" s="1"/>
  <c r="AM799" i="12" a="1"/>
  <c r="AM799" i="12" s="1"/>
  <c r="AM793" i="12" a="1"/>
  <c r="AM793" i="12" s="1"/>
  <c r="AM800" i="12" a="1"/>
  <c r="AM800" i="12" s="1"/>
  <c r="AN798" i="12" a="1"/>
  <c r="AN798" i="12" s="1"/>
  <c r="AO793" i="12" a="1"/>
  <c r="AO793" i="12" s="1"/>
  <c r="AO798" i="12" a="1"/>
  <c r="AO798" i="12" s="1"/>
  <c r="AN799" i="12" a="1"/>
  <c r="AN799" i="12" s="1"/>
  <c r="AO795" i="12" a="1"/>
  <c r="AO795" i="12" s="1"/>
  <c r="AO800" i="12" a="1"/>
  <c r="AO800" i="12" s="1"/>
  <c r="AN796" i="12" a="1"/>
  <c r="AN796" i="12" s="1"/>
  <c r="AN800" i="12" a="1"/>
  <c r="AN800" i="12" s="1"/>
  <c r="AO796" i="12" a="1"/>
  <c r="AO796" i="12" s="1"/>
  <c r="AN793" i="12" a="1"/>
  <c r="AN793" i="12" s="1"/>
  <c r="AN797" i="12" a="1"/>
  <c r="AN797" i="12" s="1"/>
  <c r="AO797" i="12" a="1"/>
  <c r="AO797" i="12" s="1"/>
  <c r="AO794" i="12" a="1"/>
  <c r="AO794" i="12" s="1"/>
  <c r="AN794" i="12" a="1"/>
  <c r="AN794" i="12" s="1"/>
  <c r="AO799" i="12" a="1"/>
  <c r="AO799" i="12" s="1"/>
  <c r="AN795" i="12" a="1"/>
  <c r="AN795" i="12" s="1"/>
  <c r="E70" i="2"/>
  <c r="D12" i="2"/>
  <c r="E64" i="2"/>
  <c r="E28" i="15" s="1"/>
  <c r="E150" i="2"/>
  <c r="E132" i="2"/>
  <c r="E60" i="2"/>
  <c r="E58" i="2"/>
  <c r="E56" i="2"/>
  <c r="E159" i="2"/>
  <c r="E157" i="2"/>
  <c r="E155" i="2"/>
  <c r="E51" i="2"/>
  <c r="E242" i="2"/>
  <c r="E241" i="2"/>
  <c r="E240" i="2"/>
  <c r="E239" i="2"/>
  <c r="E238" i="2"/>
  <c r="F338" i="2"/>
  <c r="F229" i="2" l="1"/>
  <c r="D16" i="2"/>
  <c r="D23" i="2" s="1"/>
  <c r="AW2" i="12"/>
  <c r="AO2" i="12"/>
  <c r="AQ3" i="12" a="1"/>
  <c r="D25" i="2" l="1"/>
  <c r="D27" i="2" s="1"/>
  <c r="D29" i="2" s="1"/>
  <c r="D31" i="2" s="1"/>
  <c r="D33" i="2" s="1"/>
  <c r="D35" i="2" s="1"/>
  <c r="D37" i="2" s="1"/>
  <c r="D42" i="2" s="1"/>
  <c r="AV4" i="12" a="1"/>
  <c r="AV4" i="12" s="1"/>
  <c r="AV10" i="12" a="1"/>
  <c r="AV10" i="12" s="1"/>
  <c r="AV16" i="12" a="1"/>
  <c r="AV16" i="12" s="1"/>
  <c r="AV22" i="12" a="1"/>
  <c r="AV22" i="12" s="1"/>
  <c r="AV28" i="12" a="1"/>
  <c r="AV28" i="12" s="1"/>
  <c r="AV34" i="12" a="1"/>
  <c r="AV34" i="12" s="1"/>
  <c r="AV40" i="12" a="1"/>
  <c r="AV40" i="12" s="1"/>
  <c r="AV46" i="12" a="1"/>
  <c r="AV46" i="12" s="1"/>
  <c r="AV52" i="12" a="1"/>
  <c r="AV52" i="12" s="1"/>
  <c r="AV58" i="12" a="1"/>
  <c r="AV58" i="12" s="1"/>
  <c r="AV64" i="12" a="1"/>
  <c r="AV64" i="12" s="1"/>
  <c r="AV70" i="12" a="1"/>
  <c r="AV70" i="12" s="1"/>
  <c r="AV76" i="12" a="1"/>
  <c r="AV76" i="12" s="1"/>
  <c r="AV82" i="12" a="1"/>
  <c r="AV82" i="12" s="1"/>
  <c r="AV88" i="12" a="1"/>
  <c r="AV88" i="12" s="1"/>
  <c r="AV94" i="12" a="1"/>
  <c r="AV94" i="12" s="1"/>
  <c r="AV100" i="12" a="1"/>
  <c r="AV100" i="12" s="1"/>
  <c r="AV106" i="12" a="1"/>
  <c r="AV106" i="12" s="1"/>
  <c r="AV112" i="12" a="1"/>
  <c r="AV112" i="12" s="1"/>
  <c r="AV118" i="12" a="1"/>
  <c r="AV118" i="12" s="1"/>
  <c r="AV124" i="12" a="1"/>
  <c r="AV124" i="12" s="1"/>
  <c r="AV130" i="12" a="1"/>
  <c r="AV130" i="12" s="1"/>
  <c r="AV136" i="12" a="1"/>
  <c r="AV136" i="12" s="1"/>
  <c r="AV142" i="12" a="1"/>
  <c r="AV142" i="12" s="1"/>
  <c r="AV148" i="12" a="1"/>
  <c r="AV148" i="12" s="1"/>
  <c r="AV154" i="12" a="1"/>
  <c r="AV154" i="12" s="1"/>
  <c r="AV160" i="12" a="1"/>
  <c r="AV160" i="12" s="1"/>
  <c r="AV166" i="12" a="1"/>
  <c r="AV166" i="12" s="1"/>
  <c r="AV172" i="12" a="1"/>
  <c r="AV172" i="12" s="1"/>
  <c r="AV178" i="12" a="1"/>
  <c r="AV178" i="12" s="1"/>
  <c r="AV184" i="12" a="1"/>
  <c r="AV184" i="12" s="1"/>
  <c r="AV190" i="12" a="1"/>
  <c r="AV190" i="12" s="1"/>
  <c r="AV196" i="12" a="1"/>
  <c r="AV196" i="12" s="1"/>
  <c r="AV202" i="12" a="1"/>
  <c r="AV202" i="12" s="1"/>
  <c r="AV208" i="12" a="1"/>
  <c r="AV208" i="12" s="1"/>
  <c r="AV214" i="12" a="1"/>
  <c r="AV214" i="12" s="1"/>
  <c r="AV220" i="12" a="1"/>
  <c r="AV220" i="12" s="1"/>
  <c r="AV188" i="12" a="1"/>
  <c r="AV188" i="12" s="1"/>
  <c r="AV212" i="12" a="1"/>
  <c r="AV212" i="12" s="1"/>
  <c r="AV15" i="12" a="1"/>
  <c r="AV15" i="12" s="1"/>
  <c r="AV69" i="12" a="1"/>
  <c r="AV69" i="12" s="1"/>
  <c r="AV99" i="12" a="1"/>
  <c r="AV99" i="12" s="1"/>
  <c r="AV129" i="12" a="1"/>
  <c r="AV129" i="12" s="1"/>
  <c r="AV165" i="12" a="1"/>
  <c r="AV165" i="12" s="1"/>
  <c r="AV195" i="12" a="1"/>
  <c r="AV195" i="12" s="1"/>
  <c r="AV5" i="12" a="1"/>
  <c r="AV5" i="12" s="1"/>
  <c r="AV11" i="12" a="1"/>
  <c r="AV11" i="12" s="1"/>
  <c r="AV17" i="12" a="1"/>
  <c r="AV17" i="12" s="1"/>
  <c r="AV23" i="12" a="1"/>
  <c r="AV23" i="12" s="1"/>
  <c r="AV29" i="12" a="1"/>
  <c r="AV29" i="12" s="1"/>
  <c r="AV35" i="12" a="1"/>
  <c r="AV35" i="12" s="1"/>
  <c r="AV41" i="12" a="1"/>
  <c r="AV41" i="12" s="1"/>
  <c r="AV47" i="12" a="1"/>
  <c r="AV47" i="12" s="1"/>
  <c r="AV53" i="12" a="1"/>
  <c r="AV53" i="12" s="1"/>
  <c r="AV59" i="12" a="1"/>
  <c r="AV59" i="12" s="1"/>
  <c r="AV65" i="12" a="1"/>
  <c r="AV65" i="12" s="1"/>
  <c r="AV71" i="12" a="1"/>
  <c r="AV71" i="12" s="1"/>
  <c r="AV77" i="12" a="1"/>
  <c r="AV77" i="12" s="1"/>
  <c r="AV83" i="12" a="1"/>
  <c r="AV83" i="12" s="1"/>
  <c r="AV89" i="12" a="1"/>
  <c r="AV89" i="12" s="1"/>
  <c r="AV95" i="12" a="1"/>
  <c r="AV95" i="12" s="1"/>
  <c r="AV101" i="12" a="1"/>
  <c r="AV101" i="12" s="1"/>
  <c r="AV107" i="12" a="1"/>
  <c r="AV107" i="12" s="1"/>
  <c r="AV113" i="12" a="1"/>
  <c r="AV113" i="12" s="1"/>
  <c r="AV119" i="12" a="1"/>
  <c r="AV119" i="12" s="1"/>
  <c r="AV125" i="12" a="1"/>
  <c r="AV125" i="12" s="1"/>
  <c r="AV131" i="12" a="1"/>
  <c r="AV131" i="12" s="1"/>
  <c r="AV137" i="12" a="1"/>
  <c r="AV137" i="12" s="1"/>
  <c r="AV143" i="12" a="1"/>
  <c r="AV143" i="12" s="1"/>
  <c r="AV149" i="12" a="1"/>
  <c r="AV149" i="12" s="1"/>
  <c r="AV155" i="12" a="1"/>
  <c r="AV155" i="12" s="1"/>
  <c r="AV161" i="12" a="1"/>
  <c r="AV161" i="12" s="1"/>
  <c r="AV167" i="12" a="1"/>
  <c r="AV167" i="12" s="1"/>
  <c r="AV173" i="12" a="1"/>
  <c r="AV173" i="12" s="1"/>
  <c r="AV179" i="12" a="1"/>
  <c r="AV179" i="12" s="1"/>
  <c r="AV185" i="12" a="1"/>
  <c r="AV185" i="12" s="1"/>
  <c r="AV191" i="12" a="1"/>
  <c r="AV191" i="12" s="1"/>
  <c r="AV197" i="12" a="1"/>
  <c r="AV197" i="12" s="1"/>
  <c r="AV203" i="12" a="1"/>
  <c r="AV203" i="12" s="1"/>
  <c r="AV209" i="12" a="1"/>
  <c r="AV209" i="12" s="1"/>
  <c r="AV215" i="12" a="1"/>
  <c r="AV215" i="12" s="1"/>
  <c r="AV221" i="12" a="1"/>
  <c r="AV221" i="12" s="1"/>
  <c r="AV182" i="12" a="1"/>
  <c r="AV182" i="12" s="1"/>
  <c r="AV200" i="12" a="1"/>
  <c r="AV200" i="12" s="1"/>
  <c r="AV9" i="12" a="1"/>
  <c r="AV9" i="12" s="1"/>
  <c r="AV75" i="12" a="1"/>
  <c r="AV75" i="12" s="1"/>
  <c r="AV111" i="12" a="1"/>
  <c r="AV111" i="12" s="1"/>
  <c r="AV141" i="12" a="1"/>
  <c r="AV141" i="12" s="1"/>
  <c r="AV183" i="12" a="1"/>
  <c r="AV183" i="12" s="1"/>
  <c r="AV219" i="12" a="1"/>
  <c r="AV219" i="12" s="1"/>
  <c r="AV6" i="12" a="1"/>
  <c r="AV6" i="12" s="1"/>
  <c r="AV12" i="12" a="1"/>
  <c r="AV12" i="12" s="1"/>
  <c r="AV18" i="12" a="1"/>
  <c r="AV18" i="12" s="1"/>
  <c r="AV24" i="12" a="1"/>
  <c r="AV24" i="12" s="1"/>
  <c r="AV30" i="12" a="1"/>
  <c r="AV30" i="12" s="1"/>
  <c r="AV36" i="12" a="1"/>
  <c r="AV36" i="12" s="1"/>
  <c r="AV42" i="12" a="1"/>
  <c r="AV42" i="12" s="1"/>
  <c r="AV48" i="12" a="1"/>
  <c r="AV48" i="12" s="1"/>
  <c r="AV54" i="12" a="1"/>
  <c r="AV54" i="12" s="1"/>
  <c r="AV60" i="12" a="1"/>
  <c r="AV60" i="12" s="1"/>
  <c r="AV66" i="12" a="1"/>
  <c r="AV66" i="12" s="1"/>
  <c r="AV72" i="12" a="1"/>
  <c r="AV72" i="12" s="1"/>
  <c r="AV78" i="12" a="1"/>
  <c r="AV78" i="12" s="1"/>
  <c r="AV84" i="12" a="1"/>
  <c r="AV84" i="12" s="1"/>
  <c r="AV90" i="12" a="1"/>
  <c r="AV90" i="12" s="1"/>
  <c r="AV96" i="12" a="1"/>
  <c r="AV96" i="12" s="1"/>
  <c r="AV102" i="12" a="1"/>
  <c r="AV102" i="12" s="1"/>
  <c r="AV108" i="12" a="1"/>
  <c r="AV108" i="12" s="1"/>
  <c r="AV114" i="12" a="1"/>
  <c r="AV114" i="12" s="1"/>
  <c r="AV120" i="12" a="1"/>
  <c r="AV120" i="12" s="1"/>
  <c r="AV126" i="12" a="1"/>
  <c r="AV126" i="12" s="1"/>
  <c r="AV132" i="12" a="1"/>
  <c r="AV132" i="12" s="1"/>
  <c r="AV138" i="12" a="1"/>
  <c r="AV138" i="12" s="1"/>
  <c r="AV144" i="12" a="1"/>
  <c r="AV144" i="12" s="1"/>
  <c r="AV150" i="12" a="1"/>
  <c r="AV150" i="12" s="1"/>
  <c r="AV156" i="12" a="1"/>
  <c r="AV156" i="12" s="1"/>
  <c r="AV162" i="12" a="1"/>
  <c r="AV162" i="12" s="1"/>
  <c r="AV168" i="12" a="1"/>
  <c r="AV168" i="12" s="1"/>
  <c r="AV174" i="12" a="1"/>
  <c r="AV174" i="12" s="1"/>
  <c r="AV180" i="12" a="1"/>
  <c r="AV180" i="12" s="1"/>
  <c r="AV186" i="12" a="1"/>
  <c r="AV186" i="12" s="1"/>
  <c r="AV192" i="12" a="1"/>
  <c r="AV192" i="12" s="1"/>
  <c r="AV198" i="12" a="1"/>
  <c r="AV198" i="12" s="1"/>
  <c r="AV204" i="12" a="1"/>
  <c r="AV204" i="12" s="1"/>
  <c r="AV210" i="12" a="1"/>
  <c r="AV210" i="12" s="1"/>
  <c r="AV216" i="12" a="1"/>
  <c r="AV216" i="12" s="1"/>
  <c r="AV3" i="12" a="1"/>
  <c r="AV3" i="12" s="1"/>
  <c r="AV170" i="12" a="1"/>
  <c r="AV170" i="12" s="1"/>
  <c r="AV206" i="12" a="1"/>
  <c r="AV206" i="12" s="1"/>
  <c r="AV21" i="12" a="1"/>
  <c r="AV21" i="12" s="1"/>
  <c r="AV57" i="12" a="1"/>
  <c r="AV57" i="12" s="1"/>
  <c r="AV87" i="12" a="1"/>
  <c r="AV87" i="12" s="1"/>
  <c r="AV117" i="12" a="1"/>
  <c r="AV117" i="12" s="1"/>
  <c r="AV147" i="12" a="1"/>
  <c r="AV147" i="12" s="1"/>
  <c r="AV171" i="12" a="1"/>
  <c r="AV171" i="12" s="1"/>
  <c r="AV201" i="12" a="1"/>
  <c r="AV201" i="12" s="1"/>
  <c r="AV7" i="12" a="1"/>
  <c r="AV7" i="12" s="1"/>
  <c r="AV13" i="12" a="1"/>
  <c r="AV13" i="12" s="1"/>
  <c r="AV19" i="12" a="1"/>
  <c r="AV19" i="12" s="1"/>
  <c r="AV25" i="12" a="1"/>
  <c r="AV25" i="12" s="1"/>
  <c r="AV31" i="12" a="1"/>
  <c r="AV31" i="12" s="1"/>
  <c r="AV37" i="12" a="1"/>
  <c r="AV37" i="12" s="1"/>
  <c r="AV43" i="12" a="1"/>
  <c r="AV43" i="12" s="1"/>
  <c r="AV49" i="12" a="1"/>
  <c r="AV49" i="12" s="1"/>
  <c r="AV55" i="12" a="1"/>
  <c r="AV55" i="12" s="1"/>
  <c r="AV61" i="12" a="1"/>
  <c r="AV61" i="12" s="1"/>
  <c r="AV67" i="12" a="1"/>
  <c r="AV67" i="12" s="1"/>
  <c r="AV73" i="12" a="1"/>
  <c r="AV73" i="12" s="1"/>
  <c r="AV79" i="12" a="1"/>
  <c r="AV79" i="12" s="1"/>
  <c r="AV85" i="12" a="1"/>
  <c r="AV85" i="12" s="1"/>
  <c r="AV91" i="12" a="1"/>
  <c r="AV91" i="12" s="1"/>
  <c r="AV97" i="12" a="1"/>
  <c r="AV97" i="12" s="1"/>
  <c r="AV103" i="12" a="1"/>
  <c r="AV103" i="12" s="1"/>
  <c r="AV109" i="12" a="1"/>
  <c r="AV109" i="12" s="1"/>
  <c r="AV115" i="12" a="1"/>
  <c r="AV115" i="12" s="1"/>
  <c r="AV121" i="12" a="1"/>
  <c r="AV121" i="12" s="1"/>
  <c r="AV127" i="12" a="1"/>
  <c r="AV127" i="12" s="1"/>
  <c r="AV133" i="12" a="1"/>
  <c r="AV133" i="12" s="1"/>
  <c r="AV139" i="12" a="1"/>
  <c r="AV139" i="12" s="1"/>
  <c r="AV145" i="12" a="1"/>
  <c r="AV145" i="12" s="1"/>
  <c r="AV151" i="12" a="1"/>
  <c r="AV151" i="12" s="1"/>
  <c r="AV157" i="12" a="1"/>
  <c r="AV157" i="12" s="1"/>
  <c r="AV163" i="12" a="1"/>
  <c r="AV163" i="12" s="1"/>
  <c r="AV169" i="12" a="1"/>
  <c r="AV169" i="12" s="1"/>
  <c r="AV175" i="12" a="1"/>
  <c r="AV175" i="12" s="1"/>
  <c r="AV181" i="12" a="1"/>
  <c r="AV181" i="12" s="1"/>
  <c r="AV187" i="12" a="1"/>
  <c r="AV187" i="12" s="1"/>
  <c r="AV193" i="12" a="1"/>
  <c r="AV193" i="12" s="1"/>
  <c r="AV199" i="12" a="1"/>
  <c r="AV199" i="12" s="1"/>
  <c r="AV205" i="12" a="1"/>
  <c r="AV205" i="12" s="1"/>
  <c r="AV211" i="12" a="1"/>
  <c r="AV211" i="12" s="1"/>
  <c r="AV217" i="12" a="1"/>
  <c r="AV217" i="12" s="1"/>
  <c r="AV164" i="12" a="1"/>
  <c r="AV164" i="12" s="1"/>
  <c r="AV218" i="12" a="1"/>
  <c r="AV218" i="12" s="1"/>
  <c r="AV27" i="12" a="1"/>
  <c r="AV27" i="12" s="1"/>
  <c r="AV51" i="12" a="1"/>
  <c r="AV51" i="12" s="1"/>
  <c r="AV81" i="12" a="1"/>
  <c r="AV81" i="12" s="1"/>
  <c r="AV105" i="12" a="1"/>
  <c r="AV105" i="12" s="1"/>
  <c r="AV135" i="12" a="1"/>
  <c r="AV135" i="12" s="1"/>
  <c r="AV159" i="12" a="1"/>
  <c r="AV159" i="12" s="1"/>
  <c r="AV189" i="12" a="1"/>
  <c r="AV189" i="12" s="1"/>
  <c r="AV207" i="12" a="1"/>
  <c r="AV207" i="12" s="1"/>
  <c r="AV8" i="12" a="1"/>
  <c r="AV8" i="12" s="1"/>
  <c r="AV14" i="12" a="1"/>
  <c r="AV14" i="12" s="1"/>
  <c r="AV20" i="12" a="1"/>
  <c r="AV20" i="12" s="1"/>
  <c r="AV26" i="12" a="1"/>
  <c r="AV26" i="12" s="1"/>
  <c r="AV32" i="12" a="1"/>
  <c r="AV32" i="12" s="1"/>
  <c r="AV38" i="12" a="1"/>
  <c r="AV38" i="12" s="1"/>
  <c r="AV44" i="12" a="1"/>
  <c r="AV44" i="12" s="1"/>
  <c r="AV50" i="12" a="1"/>
  <c r="AV50" i="12" s="1"/>
  <c r="AV56" i="12" a="1"/>
  <c r="AV56" i="12" s="1"/>
  <c r="AV62" i="12" a="1"/>
  <c r="AV62" i="12" s="1"/>
  <c r="AV68" i="12" a="1"/>
  <c r="AV68" i="12" s="1"/>
  <c r="AV74" i="12" a="1"/>
  <c r="AV74" i="12" s="1"/>
  <c r="AV80" i="12" a="1"/>
  <c r="AV80" i="12" s="1"/>
  <c r="AV86" i="12" a="1"/>
  <c r="AV86" i="12" s="1"/>
  <c r="AV92" i="12" a="1"/>
  <c r="AV92" i="12" s="1"/>
  <c r="AV98" i="12" a="1"/>
  <c r="AV98" i="12" s="1"/>
  <c r="AV104" i="12" a="1"/>
  <c r="AV104" i="12" s="1"/>
  <c r="AV110" i="12" a="1"/>
  <c r="AV110" i="12" s="1"/>
  <c r="AV116" i="12" a="1"/>
  <c r="AV116" i="12" s="1"/>
  <c r="AV122" i="12" a="1"/>
  <c r="AV122" i="12" s="1"/>
  <c r="AV128" i="12" a="1"/>
  <c r="AV128" i="12" s="1"/>
  <c r="AV134" i="12" a="1"/>
  <c r="AV134" i="12" s="1"/>
  <c r="AV140" i="12" a="1"/>
  <c r="AV140" i="12" s="1"/>
  <c r="AV146" i="12" a="1"/>
  <c r="AV146" i="12" s="1"/>
  <c r="AV152" i="12" a="1"/>
  <c r="AV152" i="12" s="1"/>
  <c r="AV158" i="12" a="1"/>
  <c r="AV158" i="12" s="1"/>
  <c r="AV176" i="12" a="1"/>
  <c r="AV176" i="12" s="1"/>
  <c r="AV194" i="12" a="1"/>
  <c r="AV194" i="12" s="1"/>
  <c r="AV33" i="12" a="1"/>
  <c r="AV33" i="12" s="1"/>
  <c r="AV39" i="12" a="1"/>
  <c r="AV39" i="12" s="1"/>
  <c r="AV45" i="12" a="1"/>
  <c r="AV45" i="12" s="1"/>
  <c r="AV63" i="12" a="1"/>
  <c r="AV63" i="12" s="1"/>
  <c r="AV93" i="12" a="1"/>
  <c r="AV93" i="12" s="1"/>
  <c r="AV123" i="12" a="1"/>
  <c r="AV123" i="12" s="1"/>
  <c r="AV153" i="12" a="1"/>
  <c r="AV153" i="12" s="1"/>
  <c r="AV177" i="12" a="1"/>
  <c r="AV177" i="12" s="1"/>
  <c r="AV213" i="12" a="1"/>
  <c r="AV213" i="12" s="1"/>
  <c r="AR49" i="12"/>
  <c r="AT49" i="12" s="1"/>
  <c r="AR50" i="12"/>
  <c r="AT50" i="12" s="1"/>
  <c r="AW158" i="12" a="1"/>
  <c r="AW158" i="12" s="1"/>
  <c r="AX158" i="12" s="1"/>
  <c r="AW194" i="12" a="1"/>
  <c r="AW194" i="12" s="1"/>
  <c r="AX194" i="12" s="1"/>
  <c r="AW205" i="12" a="1"/>
  <c r="AW205" i="12" s="1"/>
  <c r="AX205" i="12" s="1"/>
  <c r="AW183" i="12" a="1"/>
  <c r="AW183" i="12" s="1"/>
  <c r="AX183" i="12" s="1"/>
  <c r="AW196" i="12" a="1"/>
  <c r="AW196" i="12" s="1"/>
  <c r="AX196" i="12" s="1"/>
  <c r="AW172" i="12" a="1"/>
  <c r="AW172" i="12" s="1"/>
  <c r="AX172" i="12" s="1"/>
  <c r="AW185" i="12" a="1"/>
  <c r="AW185" i="12" s="1"/>
  <c r="AX185" i="12" s="1"/>
  <c r="AW4" i="12" a="1"/>
  <c r="AW4" i="12" s="1"/>
  <c r="AX4" i="12" s="1"/>
  <c r="AW203" i="12" a="1"/>
  <c r="AW203" i="12" s="1"/>
  <c r="AX203" i="12" s="1"/>
  <c r="AW37" i="12" a="1"/>
  <c r="AW37" i="12" s="1"/>
  <c r="AX37" i="12" s="1"/>
  <c r="AW70" i="12" a="1"/>
  <c r="AW70" i="12" s="1"/>
  <c r="AX70" i="12" s="1"/>
  <c r="AW98" i="12" a="1"/>
  <c r="AW98" i="12" s="1"/>
  <c r="AX98" i="12" s="1"/>
  <c r="AW143" i="12" a="1"/>
  <c r="AW143" i="12" s="1"/>
  <c r="AX143" i="12" s="1"/>
  <c r="AW170" i="12" a="1"/>
  <c r="AW170" i="12" s="1"/>
  <c r="AX170" i="12" s="1"/>
  <c r="AW198" i="12" a="1"/>
  <c r="AW198" i="12" s="1"/>
  <c r="AX198" i="12" s="1"/>
  <c r="AW26" i="12" a="1"/>
  <c r="AW26" i="12" s="1"/>
  <c r="AX26" i="12" s="1"/>
  <c r="AW67" i="12" a="1"/>
  <c r="AW67" i="12" s="1"/>
  <c r="AX67" i="12" s="1"/>
  <c r="AW100" i="12" a="1"/>
  <c r="AW100" i="12" s="1"/>
  <c r="AX100" i="12" s="1"/>
  <c r="AW137" i="12" a="1"/>
  <c r="AW137" i="12" s="1"/>
  <c r="AX137" i="12" s="1"/>
  <c r="AW176" i="12" a="1"/>
  <c r="AW176" i="12" s="1"/>
  <c r="AX176" i="12" s="1"/>
  <c r="AW27" i="12" a="1"/>
  <c r="AW27" i="12" s="1"/>
  <c r="AX27" i="12" s="1"/>
  <c r="AW79" i="12" a="1"/>
  <c r="AW79" i="12" s="1"/>
  <c r="AX79" i="12" s="1"/>
  <c r="AW132" i="12" a="1"/>
  <c r="AW132" i="12" s="1"/>
  <c r="AX132" i="12" s="1"/>
  <c r="AW177" i="12" a="1"/>
  <c r="AW177" i="12" s="1"/>
  <c r="AX177" i="12" s="1"/>
  <c r="AW40" i="12" a="1"/>
  <c r="AW40" i="12" s="1"/>
  <c r="AX40" i="12" s="1"/>
  <c r="AW81" i="12" a="1"/>
  <c r="AW81" i="12" s="1"/>
  <c r="AX81" i="12" s="1"/>
  <c r="AW128" i="12" a="1"/>
  <c r="AW128" i="12" s="1"/>
  <c r="AX128" i="12" s="1"/>
  <c r="AW64" i="12" a="1"/>
  <c r="AW64" i="12" s="1"/>
  <c r="AX64" i="12" s="1"/>
  <c r="AW97" i="12" a="1"/>
  <c r="AW97" i="12" s="1"/>
  <c r="AX97" i="12" s="1"/>
  <c r="AW130" i="12" a="1"/>
  <c r="AW130" i="12" s="1"/>
  <c r="AX130" i="12" s="1"/>
  <c r="AW173" i="12" a="1"/>
  <c r="AW173" i="12" s="1"/>
  <c r="AX173" i="12" s="1"/>
  <c r="AW36" i="12" a="1"/>
  <c r="AW36" i="12" s="1"/>
  <c r="AX36" i="12" s="1"/>
  <c r="AW83" i="12" a="1"/>
  <c r="AW83" i="12" s="1"/>
  <c r="AX83" i="12" s="1"/>
  <c r="AW135" i="12" a="1"/>
  <c r="AW135" i="12" s="1"/>
  <c r="AX135" i="12" s="1"/>
  <c r="AW43" i="12" a="1"/>
  <c r="AW43" i="12" s="1"/>
  <c r="AX43" i="12" s="1"/>
  <c r="AW77" i="12" a="1"/>
  <c r="AW77" i="12" s="1"/>
  <c r="AX77" i="12" s="1"/>
  <c r="AW131" i="12" a="1"/>
  <c r="AW131" i="12" s="1"/>
  <c r="AX131" i="12" s="1"/>
  <c r="AW202" i="12" a="1"/>
  <c r="AW202" i="12" s="1"/>
  <c r="AX202" i="12" s="1"/>
  <c r="AW208" i="12" a="1"/>
  <c r="AW208" i="12" s="1"/>
  <c r="AX208" i="12" s="1"/>
  <c r="AW41" i="12" a="1"/>
  <c r="AW41" i="12" s="1"/>
  <c r="AX41" i="12" s="1"/>
  <c r="AW75" i="12" a="1"/>
  <c r="AW75" i="12" s="1"/>
  <c r="AX75" i="12" s="1"/>
  <c r="AW102" i="12" a="1"/>
  <c r="AW102" i="12" s="1"/>
  <c r="AX102" i="12" s="1"/>
  <c r="AW148" i="12" a="1"/>
  <c r="AW148" i="12" s="1"/>
  <c r="AX148" i="12" s="1"/>
  <c r="AW174" i="12" a="1"/>
  <c r="AW174" i="12" s="1"/>
  <c r="AX174" i="12" s="1"/>
  <c r="AW32" i="12" a="1"/>
  <c r="AW32" i="12" s="1"/>
  <c r="AX32" i="12" s="1"/>
  <c r="AW73" i="12" a="1"/>
  <c r="AW73" i="12" s="1"/>
  <c r="AX73" i="12" s="1"/>
  <c r="AW105" i="12" a="1"/>
  <c r="AW105" i="12" s="1"/>
  <c r="AX105" i="12" s="1"/>
  <c r="AW144" i="12" a="1"/>
  <c r="AW144" i="12" s="1"/>
  <c r="AX144" i="12" s="1"/>
  <c r="AW186" i="12" a="1"/>
  <c r="AW186" i="12" s="1"/>
  <c r="AX186" i="12" s="1"/>
  <c r="AW33" i="12" a="1"/>
  <c r="AW33" i="12" s="1"/>
  <c r="AX33" i="12" s="1"/>
  <c r="AW91" i="12" a="1"/>
  <c r="AW91" i="12" s="1"/>
  <c r="AX91" i="12" s="1"/>
  <c r="AW138" i="12" a="1"/>
  <c r="AW138" i="12" s="1"/>
  <c r="AX138" i="12" s="1"/>
  <c r="AW182" i="12" a="1"/>
  <c r="AW182" i="12" s="1"/>
  <c r="AX182" i="12" s="1"/>
  <c r="AW46" i="12" a="1"/>
  <c r="AW46" i="12" s="1"/>
  <c r="AX46" i="12" s="1"/>
  <c r="AW80" i="12" a="1"/>
  <c r="AW80" i="12" s="1"/>
  <c r="AX80" i="12" s="1"/>
  <c r="AW111" i="12" a="1"/>
  <c r="AW111" i="12" s="1"/>
  <c r="AX111" i="12" s="1"/>
  <c r="AW152" i="12" a="1"/>
  <c r="AW152" i="12" s="1"/>
  <c r="AX152" i="12" s="1"/>
  <c r="AW179" i="12" a="1"/>
  <c r="AW179" i="12" s="1"/>
  <c r="AX179" i="12" s="1"/>
  <c r="AW38" i="12" a="1"/>
  <c r="AW38" i="12" s="1"/>
  <c r="AX38" i="12" s="1"/>
  <c r="AW78" i="12" a="1"/>
  <c r="AW78" i="12" s="1"/>
  <c r="AX78" i="12" s="1"/>
  <c r="AW110" i="12" a="1"/>
  <c r="AW110" i="12" s="1"/>
  <c r="AX110" i="12" s="1"/>
  <c r="AW149" i="12" a="1"/>
  <c r="AW149" i="12" s="1"/>
  <c r="AX149" i="12" s="1"/>
  <c r="AW199" i="12" a="1"/>
  <c r="AW199" i="12" s="1"/>
  <c r="AX199" i="12" s="1"/>
  <c r="AW51" i="12" a="1"/>
  <c r="AW51" i="12" s="1"/>
  <c r="AX51" i="12" s="1"/>
  <c r="AW85" i="12" a="1"/>
  <c r="AW85" i="12" s="1"/>
  <c r="AX85" i="12" s="1"/>
  <c r="AW115" i="12" a="1"/>
  <c r="AW115" i="12" s="1"/>
  <c r="AX115" i="12" s="1"/>
  <c r="AW156" i="12" a="1"/>
  <c r="AW156" i="12" s="1"/>
  <c r="AX156" i="12" s="1"/>
  <c r="AW184" i="12" a="1"/>
  <c r="AW184" i="12" s="1"/>
  <c r="AX184" i="12" s="1"/>
  <c r="AW44" i="12" a="1"/>
  <c r="AW44" i="12" s="1"/>
  <c r="AX44" i="12" s="1"/>
  <c r="AW84" i="12" a="1"/>
  <c r="AW84" i="12" s="1"/>
  <c r="AX84" i="12" s="1"/>
  <c r="AW116" i="12" a="1"/>
  <c r="AW116" i="12" s="1"/>
  <c r="AX116" i="12" s="1"/>
  <c r="AW154" i="12" a="1"/>
  <c r="AW154" i="12" s="1"/>
  <c r="AX154" i="12" s="1"/>
  <c r="AW209" i="12" a="1"/>
  <c r="AW209" i="12" s="1"/>
  <c r="AX209" i="12" s="1"/>
  <c r="AW22" i="12" a="1"/>
  <c r="AW22" i="12" s="1"/>
  <c r="AX22" i="12" s="1"/>
  <c r="AW56" i="12" a="1"/>
  <c r="AW56" i="12" s="1"/>
  <c r="AX56" i="12" s="1"/>
  <c r="AW89" i="12" a="1"/>
  <c r="AW89" i="12" s="1"/>
  <c r="AX89" i="12" s="1"/>
  <c r="AW129" i="12" a="1"/>
  <c r="AW129" i="12" s="1"/>
  <c r="AX129" i="12" s="1"/>
  <c r="AW161" i="12" a="1"/>
  <c r="AW161" i="12" s="1"/>
  <c r="AX161" i="12" s="1"/>
  <c r="AW188" i="12" a="1"/>
  <c r="AW188" i="12" s="1"/>
  <c r="AX188" i="12" s="1"/>
  <c r="AW49" i="12" a="1"/>
  <c r="AW49" i="12" s="1"/>
  <c r="AX49" i="12" s="1"/>
  <c r="AW90" i="12" a="1"/>
  <c r="AW90" i="12" s="1"/>
  <c r="AX90" i="12" s="1"/>
  <c r="AW121" i="12" a="1"/>
  <c r="AW121" i="12" s="1"/>
  <c r="AX121" i="12" s="1"/>
  <c r="AW159" i="12" a="1"/>
  <c r="AW159" i="12" s="1"/>
  <c r="AX159" i="12" s="1"/>
  <c r="AW31" i="12" a="1"/>
  <c r="AW31" i="12" s="1"/>
  <c r="AX31" i="12" s="1"/>
  <c r="AW61" i="12" a="1"/>
  <c r="AW61" i="12" s="1"/>
  <c r="AX61" i="12" s="1"/>
  <c r="AW94" i="12" a="1"/>
  <c r="AW94" i="12" s="1"/>
  <c r="AX94" i="12" s="1"/>
  <c r="AW133" i="12" a="1"/>
  <c r="AW133" i="12" s="1"/>
  <c r="AX133" i="12" s="1"/>
  <c r="AW166" i="12" a="1"/>
  <c r="AW166" i="12" s="1"/>
  <c r="AX166" i="12" s="1"/>
  <c r="AW192" i="12" a="1"/>
  <c r="AW192" i="12" s="1"/>
  <c r="AX192" i="12" s="1"/>
  <c r="AW62" i="12" a="1"/>
  <c r="AW62" i="12" s="1"/>
  <c r="AX62" i="12" s="1"/>
  <c r="AW95" i="12" a="1"/>
  <c r="AW95" i="12" s="1"/>
  <c r="AX95" i="12" s="1"/>
  <c r="AW127" i="12" a="1"/>
  <c r="AW127" i="12" s="1"/>
  <c r="AX127" i="12" s="1"/>
  <c r="AW165" i="12" a="1"/>
  <c r="AW165" i="12" s="1"/>
  <c r="AX165" i="12" s="1"/>
  <c r="AW101" i="12" a="1"/>
  <c r="AW101" i="12" s="1"/>
  <c r="AX101" i="12" s="1"/>
  <c r="AW160" i="12" a="1"/>
  <c r="AW160" i="12" s="1"/>
  <c r="AX160" i="12" s="1"/>
  <c r="AW45" i="12" a="1"/>
  <c r="AW45" i="12" s="1"/>
  <c r="AX45" i="12" s="1"/>
  <c r="AW96" i="12" a="1"/>
  <c r="AW96" i="12" s="1"/>
  <c r="AX96" i="12" s="1"/>
  <c r="AW150" i="12" a="1"/>
  <c r="AW150" i="12" s="1"/>
  <c r="AX150" i="12" s="1"/>
  <c r="AW53" i="12" a="1"/>
  <c r="AW53" i="12" s="1"/>
  <c r="AX53" i="12" s="1"/>
  <c r="AW103" i="12" a="1"/>
  <c r="AW103" i="12" s="1"/>
  <c r="AX103" i="12" s="1"/>
  <c r="AW146" i="12" a="1"/>
  <c r="AW146" i="12" s="1"/>
  <c r="AX146" i="12" s="1"/>
  <c r="AW24" i="12" a="1"/>
  <c r="AW24" i="12" s="1"/>
  <c r="AX24" i="12" s="1"/>
  <c r="AW88" i="12" a="1"/>
  <c r="AW88" i="12" s="1"/>
  <c r="AX88" i="12" s="1"/>
  <c r="AW147" i="12" a="1"/>
  <c r="AW147" i="12" s="1"/>
  <c r="AX147" i="12" s="1"/>
  <c r="AW66" i="12" a="1"/>
  <c r="AW66" i="12" s="1"/>
  <c r="AX66" i="12" s="1"/>
  <c r="AW126" i="12" a="1"/>
  <c r="AW126" i="12" s="1"/>
  <c r="AX126" i="12" s="1"/>
  <c r="AW210" i="12" a="1"/>
  <c r="AW210" i="12" s="1"/>
  <c r="AX210" i="12" s="1"/>
  <c r="AW180" i="12" a="1"/>
  <c r="AW180" i="12" s="1"/>
  <c r="AX180" i="12" s="1"/>
  <c r="AW178" i="12" a="1"/>
  <c r="AW178" i="12" s="1"/>
  <c r="AX178" i="12" s="1"/>
  <c r="AW142" i="12" a="1"/>
  <c r="AW142" i="12" s="1"/>
  <c r="AX142" i="12" s="1"/>
  <c r="AW10" i="12" a="1"/>
  <c r="AW10" i="12" s="1"/>
  <c r="AX10" i="12" s="1"/>
  <c r="AW9" i="12" a="1"/>
  <c r="AW9" i="12" s="1"/>
  <c r="AX9" i="12" s="1"/>
  <c r="AW25" i="12" a="1"/>
  <c r="AW25" i="12" s="1"/>
  <c r="AX25" i="12" s="1"/>
  <c r="AW136" i="12" a="1"/>
  <c r="AW136" i="12" s="1"/>
  <c r="AX136" i="12" s="1"/>
  <c r="AW191" i="12" a="1"/>
  <c r="AW191" i="12" s="1"/>
  <c r="AX191" i="12" s="1"/>
  <c r="AW168" i="12" a="1"/>
  <c r="AW168" i="12" s="1"/>
  <c r="AX168" i="12" s="1"/>
  <c r="AW17" i="12" a="1"/>
  <c r="AW17" i="12" s="1"/>
  <c r="AX17" i="12" s="1"/>
  <c r="AW21" i="12" a="1"/>
  <c r="AW21" i="12" s="1"/>
  <c r="AX21" i="12" s="1"/>
  <c r="AW106" i="12" a="1"/>
  <c r="AW106" i="12" s="1"/>
  <c r="AX106" i="12" s="1"/>
  <c r="AW171" i="12" a="1"/>
  <c r="AW171" i="12" s="1"/>
  <c r="AX171" i="12" s="1"/>
  <c r="AW52" i="12" a="1"/>
  <c r="AW52" i="12" s="1"/>
  <c r="AX52" i="12" s="1"/>
  <c r="AW107" i="12" a="1"/>
  <c r="AW107" i="12" s="1"/>
  <c r="AX107" i="12" s="1"/>
  <c r="AW162" i="12" a="1"/>
  <c r="AW162" i="12" s="1"/>
  <c r="AX162" i="12" s="1"/>
  <c r="AW69" i="12" a="1"/>
  <c r="AW69" i="12" s="1"/>
  <c r="AX69" i="12" s="1"/>
  <c r="AW108" i="12" a="1"/>
  <c r="AW108" i="12" s="1"/>
  <c r="AX108" i="12" s="1"/>
  <c r="AW151" i="12" a="1"/>
  <c r="AW151" i="12" s="1"/>
  <c r="AX151" i="12" s="1"/>
  <c r="AW42" i="12" a="1"/>
  <c r="AW42" i="12" s="1"/>
  <c r="AX42" i="12" s="1"/>
  <c r="AW93" i="12" a="1"/>
  <c r="AW93" i="12" s="1"/>
  <c r="AX93" i="12" s="1"/>
  <c r="AW72" i="12" a="1"/>
  <c r="AW72" i="12" s="1"/>
  <c r="AX72" i="12" s="1"/>
  <c r="AW167" i="12" a="1"/>
  <c r="AW167" i="12" s="1"/>
  <c r="AX167" i="12" s="1"/>
  <c r="AW7" i="12" a="1"/>
  <c r="AW7" i="12" s="1"/>
  <c r="AX7" i="12" s="1"/>
  <c r="AW19" i="12" a="1"/>
  <c r="AW19" i="12" s="1"/>
  <c r="AX19" i="12" s="1"/>
  <c r="AW39" i="12" a="1"/>
  <c r="AW39" i="12" s="1"/>
  <c r="AX39" i="12" s="1"/>
  <c r="AW112" i="12" a="1"/>
  <c r="AW112" i="12" s="1"/>
  <c r="AX112" i="12" s="1"/>
  <c r="AW187" i="12" a="1"/>
  <c r="AW187" i="12" s="1"/>
  <c r="AX187" i="12" s="1"/>
  <c r="AW58" i="12" a="1"/>
  <c r="AW58" i="12" s="1"/>
  <c r="AX58" i="12" s="1"/>
  <c r="AW117" i="12" a="1"/>
  <c r="AW117" i="12" s="1"/>
  <c r="AX117" i="12" s="1"/>
  <c r="AW23" i="12" a="1"/>
  <c r="AW23" i="12" s="1"/>
  <c r="AX23" i="12" s="1"/>
  <c r="AW76" i="12" a="1"/>
  <c r="AW76" i="12" s="1"/>
  <c r="AX76" i="12" s="1"/>
  <c r="AW113" i="12" a="1"/>
  <c r="AW113" i="12" s="1"/>
  <c r="AX113" i="12" s="1"/>
  <c r="AW157" i="12" a="1"/>
  <c r="AW157" i="12" s="1"/>
  <c r="AX157" i="12" s="1"/>
  <c r="AW54" i="12" a="1"/>
  <c r="AW54" i="12" s="1"/>
  <c r="AX54" i="12" s="1"/>
  <c r="AW109" i="12" a="1"/>
  <c r="AW109" i="12" s="1"/>
  <c r="AX109" i="12" s="1"/>
  <c r="AW30" i="12" a="1"/>
  <c r="AW30" i="12" s="1"/>
  <c r="AX30" i="12" s="1"/>
  <c r="AW99" i="12" a="1"/>
  <c r="AW99" i="12" s="1"/>
  <c r="AX99" i="12" s="1"/>
  <c r="AW181" i="12" a="1"/>
  <c r="AW181" i="12" s="1"/>
  <c r="AX181" i="12" s="1"/>
  <c r="AW153" i="12" a="1"/>
  <c r="AW153" i="12" s="1"/>
  <c r="AX153" i="12" s="1"/>
  <c r="AW50" i="12" a="1"/>
  <c r="AW50" i="12" s="1"/>
  <c r="AX50" i="12" s="1"/>
  <c r="AW122" i="12" a="1"/>
  <c r="AW122" i="12" s="1"/>
  <c r="AX122" i="12" s="1"/>
  <c r="AW193" i="12" a="1"/>
  <c r="AW193" i="12" s="1"/>
  <c r="AX193" i="12" s="1"/>
  <c r="AW63" i="12" a="1"/>
  <c r="AW63" i="12" s="1"/>
  <c r="AX63" i="12" s="1"/>
  <c r="AW123" i="12" a="1"/>
  <c r="AW123" i="12" s="1"/>
  <c r="AX123" i="12" s="1"/>
  <c r="AW29" i="12" a="1"/>
  <c r="AW29" i="12" s="1"/>
  <c r="AX29" i="12" s="1"/>
  <c r="AW82" i="12" a="1"/>
  <c r="AW82" i="12" s="1"/>
  <c r="AX82" i="12" s="1"/>
  <c r="AW118" i="12" a="1"/>
  <c r="AW118" i="12" s="1"/>
  <c r="AX118" i="12" s="1"/>
  <c r="AW163" i="12" a="1"/>
  <c r="AW163" i="12" s="1"/>
  <c r="AX163" i="12" s="1"/>
  <c r="AW59" i="12" a="1"/>
  <c r="AW59" i="12" s="1"/>
  <c r="AX59" i="12" s="1"/>
  <c r="AW119" i="12" a="1"/>
  <c r="AW119" i="12" s="1"/>
  <c r="AX119" i="12" s="1"/>
  <c r="AW48" i="12" a="1"/>
  <c r="AW48" i="12" s="1"/>
  <c r="AX48" i="12" s="1"/>
  <c r="AW104" i="12" a="1"/>
  <c r="AW104" i="12" s="1"/>
  <c r="AX104" i="12" s="1"/>
  <c r="AW169" i="12" a="1"/>
  <c r="AW169" i="12" s="1"/>
  <c r="AX169" i="12" s="1"/>
  <c r="AW57" i="12" a="1"/>
  <c r="AW57" i="12" s="1"/>
  <c r="AX57" i="12" s="1"/>
  <c r="AW145" i="12" a="1"/>
  <c r="AW145" i="12" s="1"/>
  <c r="AX145" i="12" s="1"/>
  <c r="AW204" i="12" a="1"/>
  <c r="AW204" i="12" s="1"/>
  <c r="AX204" i="12" s="1"/>
  <c r="AW28" i="12" a="1"/>
  <c r="AW28" i="12" s="1"/>
  <c r="AX28" i="12" s="1"/>
  <c r="AW68" i="12" a="1"/>
  <c r="AW68" i="12" s="1"/>
  <c r="AX68" i="12" s="1"/>
  <c r="AW134" i="12" a="1"/>
  <c r="AW134" i="12" s="1"/>
  <c r="AX134" i="12" s="1"/>
  <c r="AW35" i="12" a="1"/>
  <c r="AW35" i="12" s="1"/>
  <c r="AX35" i="12" s="1"/>
  <c r="AW87" i="12" a="1"/>
  <c r="AW87" i="12" s="1"/>
  <c r="AX87" i="12" s="1"/>
  <c r="AW124" i="12" a="1"/>
  <c r="AW124" i="12" s="1"/>
  <c r="AX124" i="12" s="1"/>
  <c r="AW189" i="12" a="1"/>
  <c r="AW189" i="12" s="1"/>
  <c r="AX189" i="12" s="1"/>
  <c r="AW65" i="12" a="1"/>
  <c r="AW65" i="12" s="1"/>
  <c r="AX65" i="12" s="1"/>
  <c r="AW125" i="12" a="1"/>
  <c r="AW125" i="12" s="1"/>
  <c r="AX125" i="12" s="1"/>
  <c r="AW55" i="12" a="1"/>
  <c r="AW55" i="12" s="1"/>
  <c r="AX55" i="12" s="1"/>
  <c r="AW114" i="12" a="1"/>
  <c r="AW114" i="12" s="1"/>
  <c r="AX114" i="12" s="1"/>
  <c r="AW201" i="12" a="1"/>
  <c r="AW201" i="12" s="1"/>
  <c r="AX201" i="12" s="1"/>
  <c r="AW207" i="12" a="1"/>
  <c r="AW207" i="12" s="1"/>
  <c r="AX207" i="12" s="1"/>
  <c r="AW74" i="12" a="1"/>
  <c r="AW74" i="12" s="1"/>
  <c r="AX74" i="12" s="1"/>
  <c r="AW155" i="12" a="1"/>
  <c r="AW155" i="12" s="1"/>
  <c r="AX155" i="12" s="1"/>
  <c r="AW34" i="12" a="1"/>
  <c r="AW34" i="12" s="1"/>
  <c r="AX34" i="12" s="1"/>
  <c r="AW86" i="12" a="1"/>
  <c r="AW86" i="12" s="1"/>
  <c r="AX86" i="12" s="1"/>
  <c r="AW139" i="12" a="1"/>
  <c r="AW139" i="12" s="1"/>
  <c r="AX139" i="12" s="1"/>
  <c r="AW47" i="12" a="1"/>
  <c r="AW47" i="12" s="1"/>
  <c r="AX47" i="12" s="1"/>
  <c r="AW92" i="12" a="1"/>
  <c r="AW92" i="12" s="1"/>
  <c r="AX92" i="12" s="1"/>
  <c r="AW140" i="12" a="1"/>
  <c r="AW140" i="12" s="1"/>
  <c r="AX140" i="12" s="1"/>
  <c r="AW195" i="12" a="1"/>
  <c r="AW195" i="12" s="1"/>
  <c r="AX195" i="12" s="1"/>
  <c r="AW71" i="12" a="1"/>
  <c r="AW71" i="12" s="1"/>
  <c r="AX71" i="12" s="1"/>
  <c r="AW141" i="12" a="1"/>
  <c r="AW141" i="12" s="1"/>
  <c r="AX141" i="12" s="1"/>
  <c r="AW60" i="12" a="1"/>
  <c r="AW60" i="12" s="1"/>
  <c r="AX60" i="12" s="1"/>
  <c r="AW120" i="12" a="1"/>
  <c r="AW120" i="12" s="1"/>
  <c r="AX120" i="12" s="1"/>
  <c r="AW190" i="12" a="1"/>
  <c r="AW190" i="12" s="1"/>
  <c r="AX190" i="12" s="1"/>
  <c r="AW18" i="12" a="1"/>
  <c r="AW18" i="12" s="1"/>
  <c r="AX18" i="12" s="1"/>
  <c r="AW16" i="12" a="1"/>
  <c r="AW16" i="12" s="1"/>
  <c r="AX16" i="12" s="1"/>
  <c r="AW206" i="12" a="1"/>
  <c r="AW206" i="12" s="1"/>
  <c r="AX206" i="12" s="1"/>
  <c r="AW11" i="12" a="1"/>
  <c r="AW11" i="12" s="1"/>
  <c r="AX11" i="12" s="1"/>
  <c r="AW12" i="12" a="1"/>
  <c r="AW12" i="12" s="1"/>
  <c r="AX12" i="12" s="1"/>
  <c r="AW200" i="12" a="1"/>
  <c r="AW200" i="12" s="1"/>
  <c r="AX200" i="12" s="1"/>
  <c r="AW197" i="12" a="1"/>
  <c r="AW197" i="12" s="1"/>
  <c r="AX197" i="12" s="1"/>
  <c r="AW3" i="12" a="1"/>
  <c r="AW3" i="12" s="1"/>
  <c r="AX3" i="12" s="1"/>
  <c r="AW5" i="12" a="1"/>
  <c r="AW5" i="12" s="1"/>
  <c r="AX5" i="12" s="1"/>
  <c r="AW175" i="12" a="1"/>
  <c r="AW175" i="12" s="1"/>
  <c r="AX175" i="12" s="1"/>
  <c r="AW13" i="12" a="1"/>
  <c r="AW13" i="12" s="1"/>
  <c r="AX13" i="12" s="1"/>
  <c r="AW15" i="12" a="1"/>
  <c r="AW15" i="12" s="1"/>
  <c r="AX15" i="12" s="1"/>
  <c r="AW164" i="12" a="1"/>
  <c r="AW164" i="12" s="1"/>
  <c r="AX164" i="12" s="1"/>
  <c r="AW6" i="12" a="1"/>
  <c r="AW6" i="12" s="1"/>
  <c r="AX6" i="12" s="1"/>
  <c r="AW8" i="12" a="1"/>
  <c r="AW8" i="12" s="1"/>
  <c r="AX8" i="12" s="1"/>
  <c r="AW14" i="12" a="1"/>
  <c r="AW14" i="12" s="1"/>
  <c r="AX14" i="12" s="1"/>
  <c r="AW20" i="12" a="1"/>
  <c r="AW20" i="12" s="1"/>
  <c r="AX20" i="12" s="1"/>
  <c r="AR46" i="12"/>
  <c r="AT46" i="12" s="1"/>
  <c r="AR47" i="12"/>
  <c r="AT47" i="12" s="1"/>
  <c r="AR48" i="12"/>
  <c r="AT48" i="12" s="1"/>
  <c r="AR4" i="12"/>
  <c r="AT4" i="12" s="1"/>
  <c r="AR10" i="12"/>
  <c r="AT10" i="12" s="1"/>
  <c r="AR16" i="12"/>
  <c r="AT16" i="12" s="1"/>
  <c r="AR22" i="12"/>
  <c r="AT22" i="12" s="1"/>
  <c r="AR28" i="12"/>
  <c r="AT28" i="12" s="1"/>
  <c r="AR34" i="12"/>
  <c r="AT34" i="12" s="1"/>
  <c r="AR40" i="12"/>
  <c r="AT40" i="12" s="1"/>
  <c r="AR18" i="12"/>
  <c r="AT18" i="12" s="1"/>
  <c r="AR24" i="12"/>
  <c r="AT24" i="12" s="1"/>
  <c r="AR42" i="12"/>
  <c r="AT42" i="12" s="1"/>
  <c r="AR13" i="12"/>
  <c r="AT13" i="12" s="1"/>
  <c r="AR25" i="12"/>
  <c r="AT25" i="12" s="1"/>
  <c r="AR43" i="12"/>
  <c r="AT43" i="12" s="1"/>
  <c r="AR14" i="12"/>
  <c r="AT14" i="12" s="1"/>
  <c r="AR20" i="12"/>
  <c r="AT20" i="12" s="1"/>
  <c r="AR44" i="12"/>
  <c r="AT44" i="12" s="1"/>
  <c r="AR15" i="12"/>
  <c r="AT15" i="12" s="1"/>
  <c r="AR33" i="12"/>
  <c r="AT33" i="12" s="1"/>
  <c r="AR5" i="12"/>
  <c r="AT5" i="12" s="1"/>
  <c r="AR11" i="12"/>
  <c r="AT11" i="12" s="1"/>
  <c r="AR17" i="12"/>
  <c r="AT17" i="12" s="1"/>
  <c r="AR23" i="12"/>
  <c r="AT23" i="12" s="1"/>
  <c r="AR29" i="12"/>
  <c r="AT29" i="12" s="1"/>
  <c r="AR35" i="12"/>
  <c r="AT35" i="12" s="1"/>
  <c r="AR41" i="12"/>
  <c r="AT41" i="12" s="1"/>
  <c r="AR12" i="12"/>
  <c r="AT12" i="12" s="1"/>
  <c r="AR30" i="12"/>
  <c r="AT30" i="12" s="1"/>
  <c r="AR36" i="12"/>
  <c r="AT36" i="12" s="1"/>
  <c r="AR19" i="12"/>
  <c r="AT19" i="12" s="1"/>
  <c r="AR31" i="12"/>
  <c r="AT31" i="12" s="1"/>
  <c r="AR37" i="12"/>
  <c r="AT37" i="12" s="1"/>
  <c r="AR8" i="12"/>
  <c r="AT8" i="12" s="1"/>
  <c r="AR32" i="12"/>
  <c r="AT32" i="12" s="1"/>
  <c r="AR38" i="12"/>
  <c r="AT38" i="12" s="1"/>
  <c r="AR9" i="12"/>
  <c r="AT9" i="12" s="1"/>
  <c r="AR27" i="12"/>
  <c r="AT27" i="12" s="1"/>
  <c r="AR39" i="12"/>
  <c r="AT39" i="12" s="1"/>
  <c r="AR6" i="12"/>
  <c r="AT6" i="12" s="1"/>
  <c r="AR26" i="12"/>
  <c r="AT26" i="12" s="1"/>
  <c r="AR21" i="12"/>
  <c r="AT21" i="12" s="1"/>
  <c r="AR45" i="12"/>
  <c r="AT45" i="12" s="1"/>
  <c r="AR7" i="12"/>
  <c r="AT7" i="12" s="1"/>
  <c r="AQ3" i="12"/>
  <c r="AY2" i="12" s="1"/>
  <c r="E68" i="2"/>
  <c r="E16" i="2"/>
  <c r="F49" i="3"/>
  <c r="F93" i="2"/>
  <c r="E45" i="15" s="1"/>
  <c r="F73" i="2"/>
  <c r="E33" i="15" s="1"/>
  <c r="F83" i="2"/>
  <c r="E39" i="15" s="1"/>
  <c r="F124" i="3" l="1"/>
  <c r="AY6" i="12"/>
  <c r="AY86" i="12"/>
  <c r="AY59" i="12"/>
  <c r="AY63" i="12"/>
  <c r="AY99" i="12"/>
  <c r="AY76" i="12"/>
  <c r="AY39" i="12"/>
  <c r="AY42" i="12"/>
  <c r="AY52" i="12"/>
  <c r="AY191" i="12"/>
  <c r="AY178" i="12"/>
  <c r="AY88" i="12"/>
  <c r="AY96" i="12"/>
  <c r="AY95" i="12"/>
  <c r="AY61" i="12"/>
  <c r="AY188" i="12"/>
  <c r="AY209" i="12"/>
  <c r="AY156" i="12"/>
  <c r="AY110" i="12"/>
  <c r="AY80" i="12"/>
  <c r="AY186" i="12"/>
  <c r="AY148" i="12"/>
  <c r="AY131" i="12"/>
  <c r="AY173" i="12"/>
  <c r="AY40" i="12"/>
  <c r="AY137" i="12"/>
  <c r="AY143" i="12"/>
  <c r="AY185" i="12"/>
  <c r="AY158" i="12"/>
  <c r="AY16" i="12"/>
  <c r="AY55" i="12"/>
  <c r="AY163" i="12"/>
  <c r="AY30" i="12"/>
  <c r="AY23" i="12"/>
  <c r="AY19" i="12"/>
  <c r="AY151" i="12"/>
  <c r="AY171" i="12"/>
  <c r="AY136" i="12"/>
  <c r="AY180" i="12"/>
  <c r="AY24" i="12"/>
  <c r="AY45" i="12"/>
  <c r="AY62" i="12"/>
  <c r="AY31" i="12"/>
  <c r="AY161" i="12"/>
  <c r="AY154" i="12"/>
  <c r="AY115" i="12"/>
  <c r="AY78" i="12"/>
  <c r="AY46" i="12"/>
  <c r="AY144" i="12"/>
  <c r="AY102" i="12"/>
  <c r="AY77" i="12"/>
  <c r="AY130" i="12"/>
  <c r="AY177" i="12"/>
  <c r="AY100" i="12"/>
  <c r="AY98" i="12"/>
  <c r="AY172" i="12"/>
  <c r="AY71" i="12"/>
  <c r="AY164" i="12"/>
  <c r="AY34" i="12"/>
  <c r="AY140" i="12"/>
  <c r="AY169" i="12"/>
  <c r="AY7" i="12"/>
  <c r="AY210" i="12"/>
  <c r="AY160" i="12"/>
  <c r="AY192" i="12"/>
  <c r="AY116" i="12"/>
  <c r="AY85" i="12"/>
  <c r="AY38" i="12"/>
  <c r="AY182" i="12"/>
  <c r="AY105" i="12"/>
  <c r="AY75" i="12"/>
  <c r="AY43" i="12"/>
  <c r="AY97" i="12"/>
  <c r="AY132" i="12"/>
  <c r="AY67" i="12"/>
  <c r="AY70" i="12"/>
  <c r="AY196" i="12"/>
  <c r="AY145" i="12"/>
  <c r="AY18" i="12"/>
  <c r="AY57" i="12"/>
  <c r="AY15" i="12"/>
  <c r="AY155" i="12"/>
  <c r="AY118" i="12"/>
  <c r="AY117" i="12"/>
  <c r="AY106" i="12"/>
  <c r="AY159" i="12"/>
  <c r="AY13" i="12"/>
  <c r="AY92" i="12"/>
  <c r="AY104" i="12"/>
  <c r="AY54" i="12"/>
  <c r="AY9" i="12"/>
  <c r="AY101" i="12"/>
  <c r="AY89" i="12"/>
  <c r="AY138" i="12"/>
  <c r="AY64" i="12"/>
  <c r="AY37" i="12"/>
  <c r="AY114" i="12"/>
  <c r="AY197" i="12"/>
  <c r="AY35" i="12"/>
  <c r="AY190" i="12"/>
  <c r="AY134" i="12"/>
  <c r="AY109" i="12"/>
  <c r="AY108" i="12"/>
  <c r="AY146" i="12"/>
  <c r="AY129" i="12"/>
  <c r="AY20" i="12"/>
  <c r="AY120" i="12"/>
  <c r="AY65" i="12"/>
  <c r="AY82" i="12"/>
  <c r="AY58" i="12"/>
  <c r="AY69" i="12"/>
  <c r="AY126" i="12"/>
  <c r="AY121" i="12"/>
  <c r="AY51" i="12"/>
  <c r="AY73" i="12"/>
  <c r="AY135" i="12"/>
  <c r="AY26" i="12"/>
  <c r="AY183" i="12"/>
  <c r="AY175" i="12"/>
  <c r="AY60" i="12"/>
  <c r="AY207" i="12"/>
  <c r="AY28" i="12"/>
  <c r="AY29" i="12"/>
  <c r="AY157" i="12"/>
  <c r="AY72" i="12"/>
  <c r="AY17" i="12"/>
  <c r="AY66" i="12"/>
  <c r="AY165" i="12"/>
  <c r="AY90" i="12"/>
  <c r="AY56" i="12"/>
  <c r="AY199" i="12"/>
  <c r="AY91" i="12"/>
  <c r="AY208" i="12"/>
  <c r="AY128" i="12"/>
  <c r="AY198" i="12"/>
  <c r="AY205" i="12"/>
  <c r="AY3" i="12"/>
  <c r="AY87" i="12"/>
  <c r="AY195" i="12"/>
  <c r="AY193" i="12"/>
  <c r="AY200" i="12"/>
  <c r="AY125" i="12"/>
  <c r="AY122" i="12"/>
  <c r="AY25" i="12"/>
  <c r="AY12" i="12"/>
  <c r="AY74" i="12"/>
  <c r="AY68" i="12"/>
  <c r="AY50" i="12"/>
  <c r="AY167" i="12"/>
  <c r="AY21" i="12"/>
  <c r="AY103" i="12"/>
  <c r="AY166" i="12"/>
  <c r="AY84" i="12"/>
  <c r="AY179" i="12"/>
  <c r="AY41" i="12"/>
  <c r="AY79" i="12"/>
  <c r="AY14" i="12"/>
  <c r="AY11" i="12"/>
  <c r="AY47" i="12"/>
  <c r="AY189" i="12"/>
  <c r="AY48" i="12"/>
  <c r="AY153" i="12"/>
  <c r="AY187" i="12"/>
  <c r="AY162" i="12"/>
  <c r="AY10" i="12"/>
  <c r="AY53" i="12"/>
  <c r="AY133" i="12"/>
  <c r="AY44" i="12"/>
  <c r="AY152" i="12"/>
  <c r="AY32" i="12"/>
  <c r="AY83" i="12"/>
  <c r="AY27" i="12"/>
  <c r="AY203" i="12"/>
  <c r="AY8" i="12"/>
  <c r="AY5" i="12"/>
  <c r="AY206" i="12"/>
  <c r="AY141" i="12"/>
  <c r="AY139" i="12"/>
  <c r="AY201" i="12"/>
  <c r="AY124" i="12"/>
  <c r="AY204" i="12"/>
  <c r="AY119" i="12"/>
  <c r="AY123" i="12"/>
  <c r="AY181" i="12"/>
  <c r="AY113" i="12"/>
  <c r="AY112" i="12"/>
  <c r="AY93" i="12"/>
  <c r="AY107" i="12"/>
  <c r="AY168" i="12"/>
  <c r="AY142" i="12"/>
  <c r="AY147" i="12"/>
  <c r="AY150" i="12"/>
  <c r="AY127" i="12"/>
  <c r="AY94" i="12"/>
  <c r="AY49" i="12"/>
  <c r="AY22" i="12"/>
  <c r="AY184" i="12"/>
  <c r="AY149" i="12"/>
  <c r="AY111" i="12"/>
  <c r="AY33" i="12"/>
  <c r="AY174" i="12"/>
  <c r="AY202" i="12"/>
  <c r="AY36" i="12"/>
  <c r="AY81" i="12"/>
  <c r="AY176" i="12"/>
  <c r="AY170" i="12"/>
  <c r="AY4" i="12"/>
  <c r="AY194" i="12"/>
  <c r="AR3" i="12"/>
  <c r="AT2" i="12" s="1"/>
  <c r="AQ2" i="12"/>
  <c r="F13" i="3"/>
  <c r="F97" i="3" s="1"/>
  <c r="F25" i="3"/>
  <c r="F106" i="3" s="1"/>
  <c r="F37" i="3"/>
  <c r="F115" i="3" s="1"/>
  <c r="AT3" i="12" l="1"/>
  <c r="K43" i="2" s="1" a="1"/>
  <c r="K43" i="2" s="1"/>
  <c r="E46" i="2"/>
  <c r="AX2" i="12"/>
  <c r="AR2" i="12"/>
  <c r="K42" i="2" l="1"/>
  <c r="D44" i="2"/>
  <c r="D47" i="2" s="1"/>
  <c r="D52" i="2" s="1"/>
  <c r="D54" i="2" s="1"/>
  <c r="D56" i="2" s="1"/>
  <c r="D58" i="2" s="1"/>
  <c r="D60" i="2" s="1"/>
  <c r="D66" i="2" s="1"/>
  <c r="D68" i="2" s="1"/>
  <c r="D70" i="2" l="1"/>
  <c r="D74" i="2" s="1"/>
  <c r="D84" i="2" s="1"/>
  <c r="D94" i="2" s="1"/>
  <c r="D105" i="2" s="1"/>
  <c r="D116" i="2" s="1"/>
  <c r="D118" i="2" s="1"/>
  <c r="D120" i="2" s="1"/>
  <c r="D122" i="2" l="1"/>
  <c r="D124" i="2" s="1"/>
  <c r="D126" i="2" l="1"/>
  <c r="D128" i="2" s="1"/>
  <c r="D130" i="2" s="1"/>
  <c r="D132" i="2" s="1"/>
  <c r="D136" i="2" s="1"/>
  <c r="D138" i="2" s="1"/>
  <c r="D140" i="2" s="1"/>
  <c r="D142" i="2" s="1"/>
  <c r="D144" i="2" s="1"/>
  <c r="D148" i="2" s="1"/>
  <c r="D150" i="2" s="1"/>
  <c r="D146" i="2" s="1"/>
  <c r="D155" i="2" s="1"/>
  <c r="E135" i="2" l="1"/>
  <c r="D157" i="2"/>
  <c r="D159" i="2" s="1"/>
  <c r="D166" i="2" l="1"/>
  <c r="D168" i="2" s="1"/>
  <c r="D175" i="2" s="1"/>
  <c r="D177" i="2" l="1"/>
  <c r="D179" i="2" s="1"/>
  <c r="D181" i="2" s="1"/>
  <c r="D183" i="2" s="1"/>
  <c r="D185" i="2" s="1"/>
  <c r="D187" i="2" s="1"/>
  <c r="D189" i="2" l="1"/>
  <c r="D191" i="2" s="1"/>
  <c r="D193" i="2" s="1"/>
  <c r="D195" i="2" s="1"/>
  <c r="D197" i="2" s="1"/>
  <c r="D199" i="2" s="1"/>
  <c r="D201" i="2" l="1"/>
  <c r="D203" i="2" s="1"/>
  <c r="D205" i="2" s="1"/>
  <c r="D207" i="2" s="1"/>
  <c r="D216" i="2" s="1"/>
  <c r="D218" i="2" l="1"/>
  <c r="D220" i="2" s="1"/>
  <c r="D222" i="2" s="1"/>
  <c r="D224" i="2" s="1"/>
  <c r="D226" i="2" s="1"/>
  <c r="D228" i="2" s="1"/>
  <c r="D223" i="2"/>
  <c r="C223" i="2" s="1"/>
  <c r="E223" i="2" s="1"/>
  <c r="D221" i="2"/>
  <c r="C221" i="2" s="1"/>
  <c r="E83" i="15" l="1"/>
  <c r="F223" i="2"/>
  <c r="E221" i="2"/>
  <c r="C225" i="2"/>
  <c r="E225" i="2" s="1"/>
  <c r="E84" i="15" l="1"/>
  <c r="F225" i="2"/>
  <c r="E82" i="15"/>
  <c r="F221" i="2"/>
  <c r="E231" i="2"/>
  <c r="E88" i="15" l="1"/>
  <c r="F231"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<sst xmlns="http://schemas.openxmlformats.org/spreadsheetml/2006/main" count="51441" uniqueCount="5073">
  <si>
    <t>Instruction Sheet</t>
  </si>
  <si>
    <t>GM Project Name:</t>
  </si>
  <si>
    <t>Type of Project:</t>
  </si>
  <si>
    <t>Phase:</t>
  </si>
  <si>
    <t>Objective 1-3:</t>
  </si>
  <si>
    <t>Minimum Gain:</t>
  </si>
  <si>
    <t>Action Plan 1-3:</t>
  </si>
  <si>
    <t>Actual action:</t>
  </si>
  <si>
    <t>Type of Project</t>
  </si>
  <si>
    <t>Organizational Goal</t>
  </si>
  <si>
    <t>Preparation Phase</t>
  </si>
  <si>
    <t>Implementation Phase</t>
  </si>
  <si>
    <t>Development Phase</t>
  </si>
  <si>
    <t>Establishment Phase</t>
  </si>
  <si>
    <t>Accomplishment Phase</t>
  </si>
  <si>
    <t>1) Begin intentional prayer initiatives.</t>
  </si>
  <si>
    <t>2) Assess opportunities and map existing Adventist churches/institutions/presence.</t>
  </si>
  <si>
    <t>3) Identify the right worker.</t>
  </si>
  <si>
    <t>1) Conduct ongoing post-launch prayer/assessment and make recommendations for special initiatives.</t>
  </si>
  <si>
    <t>2) Disciple disciple-makers/leaders in how to start/lead new groups and multiple themselves.</t>
  </si>
  <si>
    <t>3) Plan with the Mission/Conference for accomplishment phase.</t>
  </si>
  <si>
    <t>2) Work with mission/conference to organize the group as a company or church.</t>
  </si>
  <si>
    <t>3) Work with mission/conference to plan project transition to full self-support from mission/conference and project.</t>
  </si>
  <si>
    <t>2) Start a weekly Discovery Bible Study care group on Sabbath.</t>
  </si>
  <si>
    <t>2) Engage in witness (mingle/establish presence, show sympathy/demonstrate God’s love, meet needs, win confidence/build friendships/trust, assess level of spiritual interest/find person(s) of peace).</t>
  </si>
  <si>
    <t>Organizational Goal:</t>
  </si>
  <si>
    <t>Action Step 1:</t>
  </si>
  <si>
    <t>Action Step 2:</t>
  </si>
  <si>
    <t>Action Step 3:</t>
  </si>
  <si>
    <t>Month</t>
  </si>
  <si>
    <t>January</t>
  </si>
  <si>
    <t>February</t>
  </si>
  <si>
    <t>March</t>
  </si>
  <si>
    <t>April</t>
  </si>
  <si>
    <t>May</t>
  </si>
  <si>
    <t>June</t>
  </si>
  <si>
    <t>July</t>
  </si>
  <si>
    <t>August</t>
  </si>
  <si>
    <t>September</t>
  </si>
  <si>
    <t>November</t>
  </si>
  <si>
    <t>December</t>
  </si>
  <si>
    <t>October</t>
  </si>
  <si>
    <t>Plan After Year 5</t>
  </si>
  <si>
    <t>Other</t>
  </si>
  <si>
    <t>Duration</t>
  </si>
  <si>
    <t>organized company (with multiple groups)</t>
  </si>
  <si>
    <t>organized church (with multiple groups and companies)</t>
  </si>
  <si>
    <t>3) Begin disciplemaking (including preparing disciples to join a home-based Discover Bible Study group using Bible stories).</t>
  </si>
  <si>
    <t>Muslim</t>
  </si>
  <si>
    <t>Buddhist</t>
  </si>
  <si>
    <t>Hindu</t>
  </si>
  <si>
    <t>Secular/Postmodern</t>
  </si>
  <si>
    <t>Ethnic/Animist</t>
  </si>
  <si>
    <t>Religion</t>
  </si>
  <si>
    <t>Countries</t>
  </si>
  <si>
    <t>Cambodia</t>
  </si>
  <si>
    <t>Thailand</t>
  </si>
  <si>
    <t>Bangladesh</t>
  </si>
  <si>
    <t>Brunei</t>
  </si>
  <si>
    <t>Indonesia</t>
  </si>
  <si>
    <t>Malaysia</t>
  </si>
  <si>
    <t>Myanmar</t>
  </si>
  <si>
    <t>Timor-Leste</t>
  </si>
  <si>
    <t>Vietnam</t>
  </si>
  <si>
    <t>Singapore</t>
  </si>
  <si>
    <t>Laos</t>
  </si>
  <si>
    <t>Pakistan</t>
  </si>
  <si>
    <t>Philippines</t>
  </si>
  <si>
    <t>Sri Lanka</t>
  </si>
  <si>
    <t>Please complete the following information. 
Once completed, move to the "Jordan Application" sheet to copy information to the Jordan database.</t>
  </si>
  <si>
    <t>BAUM</t>
  </si>
  <si>
    <t>New or Renewing</t>
  </si>
  <si>
    <t>ProjAge</t>
  </si>
  <si>
    <t>ProjID</t>
  </si>
  <si>
    <t>MissConf</t>
  </si>
  <si>
    <t>Union</t>
  </si>
  <si>
    <t>EIUC</t>
  </si>
  <si>
    <t>CPUC</t>
  </si>
  <si>
    <t>MYUM</t>
  </si>
  <si>
    <t>SAUM</t>
  </si>
  <si>
    <t>SPUC</t>
  </si>
  <si>
    <t>WIUM</t>
  </si>
  <si>
    <t>NPUC</t>
  </si>
  <si>
    <t>PKU</t>
  </si>
  <si>
    <t>Country</t>
  </si>
  <si>
    <t>ProjDuration</t>
  </si>
  <si>
    <t>Year</t>
  </si>
  <si>
    <t>Prov</t>
  </si>
  <si>
    <t>Zone</t>
  </si>
  <si>
    <t>PrimPGrp</t>
  </si>
  <si>
    <t>Project Location</t>
  </si>
  <si>
    <t>City</t>
  </si>
  <si>
    <t>GPS</t>
  </si>
  <si>
    <t>DirName</t>
  </si>
  <si>
    <t>DirEmail</t>
  </si>
  <si>
    <t>DirMobile</t>
  </si>
  <si>
    <t>Project Contact</t>
  </si>
  <si>
    <t>Project Year</t>
  </si>
  <si>
    <t>Project People Group</t>
  </si>
  <si>
    <t>PGrpPop</t>
  </si>
  <si>
    <t>SDABB</t>
  </si>
  <si>
    <t>What is the year for which you are applying for funds?</t>
  </si>
  <si>
    <t>Is this project new or have you applied for funding before?  (please select from the list below)</t>
  </si>
  <si>
    <t>A. If your project is NOT new, enter the project ID#? (this number can be found on Jordan)</t>
  </si>
  <si>
    <t>In what local region, mission or conference is the project located? (Please use the three letter acronymn)</t>
  </si>
  <si>
    <t>In what union mission or conference is the project located? (Please select from the list below)</t>
  </si>
  <si>
    <t>In what country is the project located? (please select from the list below)</t>
  </si>
  <si>
    <t>In what city or town is the project located?</t>
  </si>
  <si>
    <t>Please enter the GPS coordinates for the project site.</t>
  </si>
  <si>
    <t>What is the primary religion of those whom you will witness to and disciple?</t>
  </si>
  <si>
    <t>What is the primary people group of those whom you will witness to and disciple?</t>
  </si>
  <si>
    <t>AveAttend</t>
  </si>
  <si>
    <t>Baptism</t>
  </si>
  <si>
    <t>BapClass</t>
  </si>
  <si>
    <t>Please complete the following form to make your Global Mission project application.</t>
  </si>
  <si>
    <t>no regular Sabbath group meeting</t>
  </si>
  <si>
    <t>ProjPres</t>
  </si>
  <si>
    <t>unorganized group (with a regular Sabbath meeting)</t>
  </si>
  <si>
    <t>How many Global Mission Pioneers are assigned exclusively to this project?</t>
  </si>
  <si>
    <t>What is the first name of the project's lead Global Mission Pioneer?</t>
  </si>
  <si>
    <t>Project Phase</t>
  </si>
  <si>
    <t>EndPlan</t>
  </si>
  <si>
    <t>1GMPLast</t>
  </si>
  <si>
    <t>1GMPFirst</t>
  </si>
  <si>
    <t>1GMPEmail</t>
  </si>
  <si>
    <t>1GMPMobile</t>
  </si>
  <si>
    <t>2GMPFirst</t>
  </si>
  <si>
    <t>2GMPLast</t>
  </si>
  <si>
    <t>2GMPEmail</t>
  </si>
  <si>
    <t>2GMPMobile</t>
  </si>
  <si>
    <t>1GMPServ</t>
  </si>
  <si>
    <t>1GMPEd</t>
  </si>
  <si>
    <t>GMP Education Level</t>
  </si>
  <si>
    <t>Below Secondary School</t>
  </si>
  <si>
    <t>Secondary School Completed</t>
  </si>
  <si>
    <t>Mastor's/Doctorate Degree Completed</t>
  </si>
  <si>
    <t>Bachelor's Degree Completed</t>
  </si>
  <si>
    <t>Vocational Certificate Completed</t>
  </si>
  <si>
    <t>1GMPStatus</t>
  </si>
  <si>
    <t>GMP Work Status</t>
  </si>
  <si>
    <t>Regularized</t>
  </si>
  <si>
    <t>Contract/Irregular</t>
  </si>
  <si>
    <t>GMPNo</t>
  </si>
  <si>
    <t>2GMPServ</t>
  </si>
  <si>
    <t>2GMPEd</t>
  </si>
  <si>
    <t>2GMPStatus</t>
  </si>
  <si>
    <t>Global Mission Pioneers</t>
  </si>
  <si>
    <t>What type of project are you seeking to establish?</t>
  </si>
  <si>
    <t>ProjType</t>
  </si>
  <si>
    <t>ProjPhase</t>
  </si>
  <si>
    <t>ProjOrg</t>
  </si>
  <si>
    <t>Objective</t>
  </si>
  <si>
    <t>(starting)</t>
  </si>
  <si>
    <t>OPTIONAL: Objective</t>
  </si>
  <si>
    <t>3) Launch special initiatives to enhance witness (such as a ministry, community program, micro-Urban Center of Influence, tentmaker, medical missionary, Waldensian student, etc.).</t>
  </si>
  <si>
    <t xml:space="preserve">What are your action steps (specific, measurable, attainable, realistic, time-bound goals) for this objective? </t>
  </si>
  <si>
    <t>Min. Gain:</t>
  </si>
  <si>
    <t>PrimRelig</t>
  </si>
  <si>
    <t>What is the first name of the project's second Global Mission Pioneer?</t>
  </si>
  <si>
    <t>ROG3</t>
  </si>
  <si>
    <t>PeopleID3</t>
  </si>
  <si>
    <t>ROP3</t>
  </si>
  <si>
    <t>PeopNameAcrossCountries</t>
  </si>
  <si>
    <t>Population</t>
  </si>
  <si>
    <t>LeastReached</t>
  </si>
  <si>
    <t>ROL3.00</t>
  </si>
  <si>
    <t>BibleStatus</t>
  </si>
  <si>
    <t>RLG3</t>
  </si>
  <si>
    <t>PrimaryReligion</t>
  </si>
  <si>
    <t>PeopleID1</t>
  </si>
  <si>
    <t>ROP1</t>
  </si>
  <si>
    <t>AffinityBloc</t>
  </si>
  <si>
    <t>PeopleID2</t>
  </si>
  <si>
    <t>ROP2</t>
  </si>
  <si>
    <t>CountOfCountries</t>
  </si>
  <si>
    <t>RegionCode</t>
  </si>
  <si>
    <t>RegionName</t>
  </si>
  <si>
    <t>ROG2</t>
  </si>
  <si>
    <t>Continent</t>
  </si>
  <si>
    <t>10_40Window</t>
  </si>
  <si>
    <t>IndigenousCode</t>
  </si>
  <si>
    <t>WorkersNeeded</t>
  </si>
  <si>
    <t>Frontier</t>
  </si>
  <si>
    <t>Latitude</t>
  </si>
  <si>
    <t>Longitude</t>
  </si>
  <si>
    <t>ID</t>
  </si>
  <si>
    <t>Abai Sungai</t>
  </si>
  <si>
    <t>Y</t>
  </si>
  <si>
    <t>abf</t>
  </si>
  <si>
    <t>Islam</t>
  </si>
  <si>
    <t>A008</t>
  </si>
  <si>
    <t>Malay Peoples</t>
  </si>
  <si>
    <t>C0059</t>
  </si>
  <si>
    <t>Borneo-Kalimantan</t>
  </si>
  <si>
    <t>Asia, Southeast</t>
  </si>
  <si>
    <t>ASI</t>
  </si>
  <si>
    <t>Asia</t>
  </si>
  <si>
    <t>Abdul</t>
  </si>
  <si>
    <t>ben</t>
  </si>
  <si>
    <t>Bengali</t>
  </si>
  <si>
    <t>A012</t>
  </si>
  <si>
    <t>South Asian Peoples</t>
  </si>
  <si>
    <t>South Asia Muslim - other</t>
  </si>
  <si>
    <t>Asia, South</t>
  </si>
  <si>
    <t>Acehnese</t>
  </si>
  <si>
    <t>ace</t>
  </si>
  <si>
    <t>Aceh</t>
  </si>
  <si>
    <t>C0002</t>
  </si>
  <si>
    <t>Aceh of Sumatra</t>
  </si>
  <si>
    <t>N</t>
  </si>
  <si>
    <t>zlm</t>
  </si>
  <si>
    <t>Malay</t>
  </si>
  <si>
    <t>Afghan Pawinda</t>
  </si>
  <si>
    <t>pst</t>
  </si>
  <si>
    <t>Pashto, Central</t>
  </si>
  <si>
    <t>Agariya (Muslim traditions)</t>
  </si>
  <si>
    <t>urd</t>
  </si>
  <si>
    <t>Urdu</t>
  </si>
  <si>
    <t>Ager (Muslim traditions)</t>
  </si>
  <si>
    <t>snd</t>
  </si>
  <si>
    <t>Sindhi</t>
  </si>
  <si>
    <t>Ahmadi</t>
  </si>
  <si>
    <t>pnb</t>
  </si>
  <si>
    <t>Punjabi, Western</t>
  </si>
  <si>
    <t>CE</t>
  </si>
  <si>
    <t>Aimaq</t>
  </si>
  <si>
    <t>aiq</t>
  </si>
  <si>
    <t>A005</t>
  </si>
  <si>
    <t>Persian-Median</t>
  </si>
  <si>
    <t>C0179</t>
  </si>
  <si>
    <t>Persian</t>
  </si>
  <si>
    <t>PK</t>
  </si>
  <si>
    <t>Aji</t>
  </si>
  <si>
    <t>hji</t>
  </si>
  <si>
    <t>Haji</t>
  </si>
  <si>
    <t>C0137</t>
  </si>
  <si>
    <t>Melayu of Sumatra</t>
  </si>
  <si>
    <t>MY</t>
  </si>
  <si>
    <t>Akhandji</t>
  </si>
  <si>
    <t>RP</t>
  </si>
  <si>
    <t>Alas</t>
  </si>
  <si>
    <t>btz</t>
  </si>
  <si>
    <t>Batak Alas-Kluet</t>
  </si>
  <si>
    <t>Allu</t>
  </si>
  <si>
    <t>mdr</t>
  </si>
  <si>
    <t>Mandar</t>
  </si>
  <si>
    <t>C0056</t>
  </si>
  <si>
    <t>Bugi-Makassar of Sulawesi</t>
  </si>
  <si>
    <t>Alorese</t>
  </si>
  <si>
    <t>aol</t>
  </si>
  <si>
    <t>Alor</t>
  </si>
  <si>
    <t>C0075</t>
  </si>
  <si>
    <t>Flores-Sumba-Alor</t>
  </si>
  <si>
    <t>Amahei</t>
  </si>
  <si>
    <t>abs</t>
  </si>
  <si>
    <t>Malay, Ambonese</t>
  </si>
  <si>
    <t>C0130</t>
  </si>
  <si>
    <t>Maluku-Central</t>
  </si>
  <si>
    <t>Ambelau</t>
  </si>
  <si>
    <t>amv</t>
  </si>
  <si>
    <t>Andio</t>
  </si>
  <si>
    <t>Andio, Masama</t>
  </si>
  <si>
    <t>bzb</t>
  </si>
  <si>
    <t>C0103</t>
  </si>
  <si>
    <t>Kaili-Tomini of Sulawesi</t>
  </si>
  <si>
    <t>Aneuk Jamee</t>
  </si>
  <si>
    <t>min</t>
  </si>
  <si>
    <t>Minangkabau</t>
  </si>
  <si>
    <t>Ansari</t>
  </si>
  <si>
    <t>South Asia Muslim - Ansari</t>
  </si>
  <si>
    <t>Arab</t>
  </si>
  <si>
    <t>acm</t>
  </si>
  <si>
    <t>Arabic, Mesopotamian Spoken</t>
  </si>
  <si>
    <t>A001</t>
  </si>
  <si>
    <t>Arab World</t>
  </si>
  <si>
    <t>C0013</t>
  </si>
  <si>
    <t>Arab, Arabian</t>
  </si>
  <si>
    <t>apc</t>
  </si>
  <si>
    <t>Arabic, North Levantine Spoken</t>
  </si>
  <si>
    <t>Arab, Egyptian</t>
  </si>
  <si>
    <t>arz</t>
  </si>
  <si>
    <t>Arabic, Egyptian Spoken</t>
  </si>
  <si>
    <t>C0067</t>
  </si>
  <si>
    <t>Egyptian</t>
  </si>
  <si>
    <t>Arab, general</t>
  </si>
  <si>
    <t>C0237</t>
  </si>
  <si>
    <t>Arab World, general</t>
  </si>
  <si>
    <t>Arain (Muslim traditions)</t>
  </si>
  <si>
    <t>South Asia Muslim - Arain</t>
  </si>
  <si>
    <t>Aralle</t>
  </si>
  <si>
    <t>atq</t>
  </si>
  <si>
    <t>Aralle-Tabulahan</t>
  </si>
  <si>
    <t>Arghun</t>
  </si>
  <si>
    <t>bft</t>
  </si>
  <si>
    <t>Balti</t>
  </si>
  <si>
    <t>Arora (Muslim traditions)</t>
  </si>
  <si>
    <t>Asilulu</t>
  </si>
  <si>
    <t>asl</t>
  </si>
  <si>
    <t>Atishbaz</t>
  </si>
  <si>
    <t>Attar</t>
  </si>
  <si>
    <t>pbu</t>
  </si>
  <si>
    <t>Pashto, Northern</t>
  </si>
  <si>
    <t>Awan</t>
  </si>
  <si>
    <t>Azerbaijani</t>
  </si>
  <si>
    <t>Azeri</t>
  </si>
  <si>
    <t>azj</t>
  </si>
  <si>
    <t>Azerbaijani, North</t>
  </si>
  <si>
    <t>A015</t>
  </si>
  <si>
    <t>Turkic Peoples</t>
  </si>
  <si>
    <t>C0028</t>
  </si>
  <si>
    <t>Badhai (Muslim traditions)</t>
  </si>
  <si>
    <t>Badhi (Muslim traditions)</t>
  </si>
  <si>
    <t>Baduy</t>
  </si>
  <si>
    <t>bac</t>
  </si>
  <si>
    <t>Badui</t>
  </si>
  <si>
    <t>C0204</t>
  </si>
  <si>
    <t>Sunda-Betawi of Java</t>
  </si>
  <si>
    <t>Bafinda</t>
  </si>
  <si>
    <t>Bagdi (Muslim traditions)</t>
  </si>
  <si>
    <t>Baghban (Muslim traditions)</t>
  </si>
  <si>
    <t>Bahelia (Muslim traditions)</t>
  </si>
  <si>
    <t>Bahna (Muslim traditions)</t>
  </si>
  <si>
    <t>Bahonsuai</t>
  </si>
  <si>
    <t>bsu</t>
  </si>
  <si>
    <t>C0057</t>
  </si>
  <si>
    <t>Bungku-Bajau</t>
  </si>
  <si>
    <t>Baidya (Muslim traditions)</t>
  </si>
  <si>
    <t>Bairagi (Muslim traditions)</t>
  </si>
  <si>
    <t>Bajau</t>
  </si>
  <si>
    <t>bdl</t>
  </si>
  <si>
    <t>Bajau, Indonesian</t>
  </si>
  <si>
    <t>C0220</t>
  </si>
  <si>
    <t>Tukangbesi of Sulawesi</t>
  </si>
  <si>
    <t>Bajau Bukit</t>
  </si>
  <si>
    <t>Bajau Bukit, Papar</t>
  </si>
  <si>
    <t>Bajau, West Coast</t>
  </si>
  <si>
    <t>bdr</t>
  </si>
  <si>
    <t>Bajikar (Muslim traditions)</t>
  </si>
  <si>
    <t>Bakumpai</t>
  </si>
  <si>
    <t>bkr</t>
  </si>
  <si>
    <t>C0037</t>
  </si>
  <si>
    <t>Barito of Kalimantan</t>
  </si>
  <si>
    <t>Balaesan</t>
  </si>
  <si>
    <t>bls</t>
  </si>
  <si>
    <t>Balaesang</t>
  </si>
  <si>
    <t>Baloch</t>
  </si>
  <si>
    <t>bcc</t>
  </si>
  <si>
    <t>Balochi, Southern</t>
  </si>
  <si>
    <t>Baloch Ahmadani</t>
  </si>
  <si>
    <t>bgn</t>
  </si>
  <si>
    <t>Balochi, Western</t>
  </si>
  <si>
    <t>Baloch Bugti</t>
  </si>
  <si>
    <t>Baloch Buzdar</t>
  </si>
  <si>
    <t>Baloch Chandia</t>
  </si>
  <si>
    <t>bgp</t>
  </si>
  <si>
    <t>Balochi, Eastern</t>
  </si>
  <si>
    <t>Baloch Dashti</t>
  </si>
  <si>
    <t>Baloch Dombki</t>
  </si>
  <si>
    <t>Baloch Drishak</t>
  </si>
  <si>
    <t>Baloch Gabol</t>
  </si>
  <si>
    <t>Baloch Gichki</t>
  </si>
  <si>
    <t>Baloch Gopang</t>
  </si>
  <si>
    <t>Baloch Gurchani</t>
  </si>
  <si>
    <t>Baloch Gurmani</t>
  </si>
  <si>
    <t>Baloch Hot</t>
  </si>
  <si>
    <t>Baloch Jatoi</t>
  </si>
  <si>
    <t>Baloch Kaudai</t>
  </si>
  <si>
    <t>Baloch Khetran</t>
  </si>
  <si>
    <t>Baloch Korai</t>
  </si>
  <si>
    <t>Baloch Kulachi</t>
  </si>
  <si>
    <t>BX</t>
  </si>
  <si>
    <t>Baloch Laghari</t>
  </si>
  <si>
    <t>Baloch Lashari</t>
  </si>
  <si>
    <t>Baloch Lund</t>
  </si>
  <si>
    <t>Baloch Magasi</t>
  </si>
  <si>
    <t>Baloch Makrai</t>
  </si>
  <si>
    <t>Baloch Mari</t>
  </si>
  <si>
    <t>Baloch Marrani</t>
  </si>
  <si>
    <t>Baloch Mashori</t>
  </si>
  <si>
    <t>Baloch Mazari</t>
  </si>
  <si>
    <t>Baloch Nutkani</t>
  </si>
  <si>
    <t>Baloch Palafi</t>
  </si>
  <si>
    <t>Baloch Qasrani</t>
  </si>
  <si>
    <t>Baloch Rais</t>
  </si>
  <si>
    <t>Baloch Rakhshani</t>
  </si>
  <si>
    <t>Baloch Rind</t>
  </si>
  <si>
    <t>Baloch Rind Buledi</t>
  </si>
  <si>
    <t>Baloch Rind Jamali</t>
  </si>
  <si>
    <t>Baloch Rind Khosa</t>
  </si>
  <si>
    <t>Baloch Rind Lashari</t>
  </si>
  <si>
    <t>Baloch Sangur</t>
  </si>
  <si>
    <t>Baloch Sanjrani</t>
  </si>
  <si>
    <t>South Asia Tribal - other</t>
  </si>
  <si>
    <t>Banda, Eli-Elat</t>
  </si>
  <si>
    <t>bnd</t>
  </si>
  <si>
    <t>Banda</t>
  </si>
  <si>
    <t>C0217</t>
  </si>
  <si>
    <t>Timor</t>
  </si>
  <si>
    <t>Banggai</t>
  </si>
  <si>
    <t>bgz</t>
  </si>
  <si>
    <t>C0218</t>
  </si>
  <si>
    <t>Toraja of Sulawesi</t>
  </si>
  <si>
    <t>Bangka</t>
  </si>
  <si>
    <t>mfb</t>
  </si>
  <si>
    <t>Banjar</t>
  </si>
  <si>
    <t>bjn</t>
  </si>
  <si>
    <t>C0033</t>
  </si>
  <si>
    <t>Banjar of Kalimantan</t>
  </si>
  <si>
    <t>SN</t>
  </si>
  <si>
    <t>Banjara (Muslim traditions)</t>
  </si>
  <si>
    <t>South Asia Tribal - Banjara</t>
  </si>
  <si>
    <t>Banjarese, Banjar Malay</t>
  </si>
  <si>
    <t>Bansphor (Muslim traditions)</t>
  </si>
  <si>
    <t>Banten</t>
  </si>
  <si>
    <t>sun</t>
  </si>
  <si>
    <t>Sunda</t>
  </si>
  <si>
    <t>Barad (Muslim traditions)</t>
  </si>
  <si>
    <t>Barakai</t>
  </si>
  <si>
    <t>Barakai, Workai</t>
  </si>
  <si>
    <t>baj</t>
  </si>
  <si>
    <t>C0132</t>
  </si>
  <si>
    <t>Maluku-Southern</t>
  </si>
  <si>
    <t>Baras</t>
  </si>
  <si>
    <t>brs</t>
  </si>
  <si>
    <t>Baria (Muslim traditions)</t>
  </si>
  <si>
    <t>Barwala (Muslim traditions)</t>
  </si>
  <si>
    <t>Bashgali</t>
  </si>
  <si>
    <t>bsh</t>
  </si>
  <si>
    <t>Kati</t>
  </si>
  <si>
    <t>Bashkar</t>
  </si>
  <si>
    <t>Batak Angkola</t>
  </si>
  <si>
    <t>akb</t>
  </si>
  <si>
    <t>C0039</t>
  </si>
  <si>
    <t>Batak-Nias of Sumatra</t>
  </si>
  <si>
    <t>Bati</t>
  </si>
  <si>
    <t>bvt</t>
  </si>
  <si>
    <t>Batui</t>
  </si>
  <si>
    <t>zbt</t>
  </si>
  <si>
    <t>Batwal (Muslim traditions)</t>
  </si>
  <si>
    <t>Bawaria (Muslim traditions)</t>
  </si>
  <si>
    <t>Bawean</t>
  </si>
  <si>
    <t>mad</t>
  </si>
  <si>
    <t>Madura</t>
  </si>
  <si>
    <t>C0121</t>
  </si>
  <si>
    <t>Madura of Java</t>
  </si>
  <si>
    <t>Bawean, Madurese</t>
  </si>
  <si>
    <t>Bazaar Low Malay Creole</t>
  </si>
  <si>
    <t>C0123</t>
  </si>
  <si>
    <t>Bazigar (Muslim traditions)</t>
  </si>
  <si>
    <t>Bedar (Muslim traditions)</t>
  </si>
  <si>
    <t>Bedar Kashmir (Muslim traditions)</t>
  </si>
  <si>
    <t>Bedia (Muslim traditions)</t>
  </si>
  <si>
    <t>Beg</t>
  </si>
  <si>
    <t>Behara</t>
  </si>
  <si>
    <t>Belait, Lakiput</t>
  </si>
  <si>
    <t>beg</t>
  </si>
  <si>
    <t>Belait</t>
  </si>
  <si>
    <t>Beldar (Muslim traditions)</t>
  </si>
  <si>
    <t>Belide</t>
  </si>
  <si>
    <t>mui</t>
  </si>
  <si>
    <t>Musi</t>
  </si>
  <si>
    <t>C0149</t>
  </si>
  <si>
    <t>Musi of Sumatra</t>
  </si>
  <si>
    <t>Belitung</t>
  </si>
  <si>
    <t>Bengkulu</t>
  </si>
  <si>
    <t>pse</t>
  </si>
  <si>
    <t>Malay, Central</t>
  </si>
  <si>
    <t>C0141</t>
  </si>
  <si>
    <t>Minangkabau-Rejang of Sumatra</t>
  </si>
  <si>
    <t>Bentong</t>
  </si>
  <si>
    <t>bnu</t>
  </si>
  <si>
    <t>LA</t>
  </si>
  <si>
    <t>Berau</t>
  </si>
  <si>
    <t>bve</t>
  </si>
  <si>
    <t>Malay, Berau</t>
  </si>
  <si>
    <t>Besemah</t>
  </si>
  <si>
    <t>C0177</t>
  </si>
  <si>
    <t>Pasemah of Sumatra</t>
  </si>
  <si>
    <t>TH</t>
  </si>
  <si>
    <t>Besya (Muslim traditions)</t>
  </si>
  <si>
    <t>VM</t>
  </si>
  <si>
    <t>Betawi</t>
  </si>
  <si>
    <t>bew</t>
  </si>
  <si>
    <t>CB</t>
  </si>
  <si>
    <t>Bhabra (Muslim traditions)</t>
  </si>
  <si>
    <t>Bhand (Muslim traditions)</t>
  </si>
  <si>
    <t>BG</t>
  </si>
  <si>
    <t>Bhangi (Muslim traditions)</t>
  </si>
  <si>
    <t>Bharbhunja (Muslim traditions)</t>
  </si>
  <si>
    <t>Bhathiara (Muslim traditions)</t>
  </si>
  <si>
    <t>Bhatia (Muslim traditions)</t>
  </si>
  <si>
    <t>Bhil</t>
  </si>
  <si>
    <t>mve</t>
  </si>
  <si>
    <t>Marwari</t>
  </si>
  <si>
    <t>South Asia Tribal - Bhil</t>
  </si>
  <si>
    <t>Bhil Mavchi (Muslim traditions)</t>
  </si>
  <si>
    <t>Bhil Mavchi</t>
  </si>
  <si>
    <t>Bhirai</t>
  </si>
  <si>
    <t>Bhisti</t>
  </si>
  <si>
    <t>Bhoi (Muslim traditions)</t>
  </si>
  <si>
    <t>Bhut</t>
  </si>
  <si>
    <t>skr</t>
  </si>
  <si>
    <t>Saraiki</t>
  </si>
  <si>
    <t>South Asia - other</t>
  </si>
  <si>
    <t>Biar (Muslim traditions)</t>
  </si>
  <si>
    <t>Bihari (Muslim traditions)</t>
  </si>
  <si>
    <t>Bintauna</t>
  </si>
  <si>
    <t>bne</t>
  </si>
  <si>
    <t>C0140</t>
  </si>
  <si>
    <t>Minahasa-Sangir of Sulawesi</t>
  </si>
  <si>
    <t>Bisati</t>
  </si>
  <si>
    <t>Bisaya, Sabah</t>
  </si>
  <si>
    <t>bsy</t>
  </si>
  <si>
    <t>Bishnoi (Muslim traditions)</t>
  </si>
  <si>
    <t>Biswas (Muslim traditions)</t>
  </si>
  <si>
    <t>Boano</t>
  </si>
  <si>
    <t>bzn</t>
  </si>
  <si>
    <t>Bobongko</t>
  </si>
  <si>
    <t>bgb</t>
  </si>
  <si>
    <t>C0081</t>
  </si>
  <si>
    <t>Gorontalo of Sulawesi</t>
  </si>
  <si>
    <t>Bobot</t>
  </si>
  <si>
    <t>Bobot, Atiahu</t>
  </si>
  <si>
    <t>bty</t>
  </si>
  <si>
    <t>Bodla</t>
  </si>
  <si>
    <t>Bohra</t>
  </si>
  <si>
    <t>Bolango</t>
  </si>
  <si>
    <t>gor</t>
  </si>
  <si>
    <t>Gorontalo</t>
  </si>
  <si>
    <t>Bolano</t>
  </si>
  <si>
    <t>bzl</t>
  </si>
  <si>
    <t>Bonai</t>
  </si>
  <si>
    <t>jax</t>
  </si>
  <si>
    <t>Malay, Jambi</t>
  </si>
  <si>
    <t>Bonerate</t>
  </si>
  <si>
    <t>bna</t>
  </si>
  <si>
    <t>Brahui</t>
  </si>
  <si>
    <t>brh</t>
  </si>
  <si>
    <t>Brahui Bangulzai</t>
  </si>
  <si>
    <t>Brahui Jhalawan</t>
  </si>
  <si>
    <t>Brahui original nucleus</t>
  </si>
  <si>
    <t>Brahui Sarawan</t>
  </si>
  <si>
    <t>Brunei Malay, Kedayan</t>
  </si>
  <si>
    <t>Brunei Malay</t>
  </si>
  <si>
    <t>kxd</t>
  </si>
  <si>
    <t>Budhan (Muslim traditions)</t>
  </si>
  <si>
    <t>Budong-Budong, Tangkou</t>
  </si>
  <si>
    <t>bdx</t>
  </si>
  <si>
    <t>Budong-Budong</t>
  </si>
  <si>
    <t>Buginese</t>
  </si>
  <si>
    <t>bug</t>
  </si>
  <si>
    <t>Bugis</t>
  </si>
  <si>
    <t>Bulango</t>
  </si>
  <si>
    <t>Bulango, Bulanga-Uki</t>
  </si>
  <si>
    <t>bld</t>
  </si>
  <si>
    <t>Buli</t>
  </si>
  <si>
    <t>bzq</t>
  </si>
  <si>
    <t>C0131</t>
  </si>
  <si>
    <t>Maluku-Northern</t>
  </si>
  <si>
    <t>Buna (Muslim traditions)</t>
  </si>
  <si>
    <t>Bungku</t>
  </si>
  <si>
    <t>bkz</t>
  </si>
  <si>
    <t>Buol</t>
  </si>
  <si>
    <t>blf</t>
  </si>
  <si>
    <t>Burara</t>
  </si>
  <si>
    <t>Burusho</t>
  </si>
  <si>
    <t>bsk</t>
  </si>
  <si>
    <t>Burushaski</t>
  </si>
  <si>
    <t>Busoa</t>
  </si>
  <si>
    <t>bup</t>
  </si>
  <si>
    <t>Campalagian</t>
  </si>
  <si>
    <t>cml</t>
  </si>
  <si>
    <t>Cham, Western</t>
  </si>
  <si>
    <t>cja</t>
  </si>
  <si>
    <t>A011</t>
  </si>
  <si>
    <t>Southeast Asian Peoples</t>
  </si>
  <si>
    <t>C0064</t>
  </si>
  <si>
    <t>Cham</t>
  </si>
  <si>
    <t>Chamar (Muslim traditions)</t>
  </si>
  <si>
    <t>Changar</t>
  </si>
  <si>
    <t>Charan (Muslim traditions)</t>
  </si>
  <si>
    <t>Chhimba (Muslim traditions)</t>
  </si>
  <si>
    <t>Chhipa (Muslim traditions)</t>
  </si>
  <si>
    <t>Chitrali</t>
  </si>
  <si>
    <t>khw</t>
  </si>
  <si>
    <t>Khowar</t>
  </si>
  <si>
    <t>Chungar</t>
  </si>
  <si>
    <t>Cia-Cia</t>
  </si>
  <si>
    <t>Cia-Cia, South Butonese</t>
  </si>
  <si>
    <t>cia</t>
  </si>
  <si>
    <t>Coastal Konjo</t>
  </si>
  <si>
    <t>kjc</t>
  </si>
  <si>
    <t>Konjo, Coastal</t>
  </si>
  <si>
    <t>Cumbalacu</t>
  </si>
  <si>
    <t>Dabgar (Muslim traditions)</t>
  </si>
  <si>
    <t>Dagi (Muslim traditions)</t>
  </si>
  <si>
    <t>Dahiara</t>
  </si>
  <si>
    <t>Dahur (Muslim traditions)</t>
  </si>
  <si>
    <t>Dai (Muslim traditions)</t>
  </si>
  <si>
    <t>Dakka</t>
  </si>
  <si>
    <t>dkk</t>
  </si>
  <si>
    <t>Dalu</t>
  </si>
  <si>
    <t>Dampelas</t>
  </si>
  <si>
    <t>dms</t>
  </si>
  <si>
    <t>Dangarik</t>
  </si>
  <si>
    <t>phl</t>
  </si>
  <si>
    <t>Palula</t>
  </si>
  <si>
    <t>Daphtari</t>
  </si>
  <si>
    <t>Daro-Matu</t>
  </si>
  <si>
    <t>dro</t>
  </si>
  <si>
    <t>Melanau, Daro-Matu</t>
  </si>
  <si>
    <t>Daroga (Muslim traditions)</t>
  </si>
  <si>
    <t>Darzada</t>
  </si>
  <si>
    <t>Darzi (Muslim traditions)</t>
  </si>
  <si>
    <t>Daudpotra</t>
  </si>
  <si>
    <t>Daya</t>
  </si>
  <si>
    <t>ljp</t>
  </si>
  <si>
    <t>Lampung Api</t>
  </si>
  <si>
    <t>C0115</t>
  </si>
  <si>
    <t>Lampung of Sumatra</t>
  </si>
  <si>
    <t>Dayak Pasir</t>
  </si>
  <si>
    <t>lbx</t>
  </si>
  <si>
    <t>Lawangan</t>
  </si>
  <si>
    <t>Dayak, Lawangan</t>
  </si>
  <si>
    <t>Dayak, Malayic</t>
  </si>
  <si>
    <t>xdy</t>
  </si>
  <si>
    <t>Malayic Dayak</t>
  </si>
  <si>
    <t>Deaf</t>
  </si>
  <si>
    <t>pks</t>
  </si>
  <si>
    <t>Pakistan Sign Language</t>
  </si>
  <si>
    <t>A017</t>
  </si>
  <si>
    <t>C0252</t>
  </si>
  <si>
    <t>wbs</t>
  </si>
  <si>
    <t>West Bengal Sign Language</t>
  </si>
  <si>
    <t>xxx</t>
  </si>
  <si>
    <t>Language unknown</t>
  </si>
  <si>
    <t>xml</t>
  </si>
  <si>
    <t>Malaysian Sign Language</t>
  </si>
  <si>
    <t>inl</t>
  </si>
  <si>
    <t>Indonesian Sign Language</t>
  </si>
  <si>
    <t>Dehwar</t>
  </si>
  <si>
    <t>Deshwali (Muslim traditions)</t>
  </si>
  <si>
    <t>Dharhi (Muslim traditions)</t>
  </si>
  <si>
    <t>Dhobi (Muslim traditions)</t>
  </si>
  <si>
    <t>Dhodia</t>
  </si>
  <si>
    <t>Dholi (Muslim traditions)</t>
  </si>
  <si>
    <t>Dholi</t>
  </si>
  <si>
    <t>syl</t>
  </si>
  <si>
    <t>Sylheti</t>
  </si>
  <si>
    <t>Dhund</t>
  </si>
  <si>
    <t>hno</t>
  </si>
  <si>
    <t>Hindko, Northern</t>
  </si>
  <si>
    <t>Diuwe</t>
  </si>
  <si>
    <t>diy</t>
  </si>
  <si>
    <t>A010</t>
  </si>
  <si>
    <t>Pacific Islanders</t>
  </si>
  <si>
    <t>C0152</t>
  </si>
  <si>
    <t>New Guinea</t>
  </si>
  <si>
    <t>Diwan</t>
  </si>
  <si>
    <t>Dom (Muslim traditions)</t>
  </si>
  <si>
    <t>Domal</t>
  </si>
  <si>
    <t>Dondo</t>
  </si>
  <si>
    <t>dok</t>
  </si>
  <si>
    <t>Duano</t>
  </si>
  <si>
    <t>dup</t>
  </si>
  <si>
    <t>Duano, Orang Kuala</t>
  </si>
  <si>
    <t>Duri</t>
  </si>
  <si>
    <t>mvp</t>
  </si>
  <si>
    <t>Dusadh (Muslim traditions)</t>
  </si>
  <si>
    <t>Dusun, Kadazan</t>
  </si>
  <si>
    <t>East Makian</t>
  </si>
  <si>
    <t>mky</t>
  </si>
  <si>
    <t>Makian, East</t>
  </si>
  <si>
    <t>Enim</t>
  </si>
  <si>
    <t>C0160</t>
  </si>
  <si>
    <t>Ogan of Sumatra</t>
  </si>
  <si>
    <t>Enrekang</t>
  </si>
  <si>
    <t>ptt</t>
  </si>
  <si>
    <t>Faqir</t>
  </si>
  <si>
    <t>Farsiwan</t>
  </si>
  <si>
    <t>prs</t>
  </si>
  <si>
    <t>Dari</t>
  </si>
  <si>
    <t>Fordat</t>
  </si>
  <si>
    <t>frd</t>
  </si>
  <si>
    <t>Fordata</t>
  </si>
  <si>
    <t>Gabare</t>
  </si>
  <si>
    <t>hnd</t>
  </si>
  <si>
    <t>Hindko, Southern</t>
  </si>
  <si>
    <t>Gadaria (Muslim traditions)</t>
  </si>
  <si>
    <t>Gaddi (Muslim traditions)</t>
  </si>
  <si>
    <t>Gadra</t>
  </si>
  <si>
    <t>Gakkhar</t>
  </si>
  <si>
    <t>Galela</t>
  </si>
  <si>
    <t>gbi</t>
  </si>
  <si>
    <t>Galleban</t>
  </si>
  <si>
    <t>Gamkonora</t>
  </si>
  <si>
    <t>gak</t>
  </si>
  <si>
    <t>Ganak</t>
  </si>
  <si>
    <t>Gandhi (Muslim traditions)</t>
  </si>
  <si>
    <t>Gane</t>
  </si>
  <si>
    <t>gzn</t>
  </si>
  <si>
    <t>Gardi (Muslim traditions)</t>
  </si>
  <si>
    <t>Gayo</t>
  </si>
  <si>
    <t>gay</t>
  </si>
  <si>
    <t>Gebe</t>
  </si>
  <si>
    <t>Gebe, Umera</t>
  </si>
  <si>
    <t>gei</t>
  </si>
  <si>
    <t>Geser-Gorom</t>
  </si>
  <si>
    <t>ges</t>
  </si>
  <si>
    <t>Ghallu</t>
  </si>
  <si>
    <t>Ghazi</t>
  </si>
  <si>
    <t>Ghosi (Muslim traditions)</t>
  </si>
  <si>
    <t>Ghulam</t>
  </si>
  <si>
    <t>ctg</t>
  </si>
  <si>
    <t>Chittagonian</t>
  </si>
  <si>
    <t>Gidri</t>
  </si>
  <si>
    <t>Goriya (Muslim traditions)</t>
  </si>
  <si>
    <t>Gujar (Muslim traditions)</t>
  </si>
  <si>
    <t>Gujarati</t>
  </si>
  <si>
    <t>guj</t>
  </si>
  <si>
    <t>South Asia Hindu - other</t>
  </si>
  <si>
    <t>Gujjar (Muslim traditions)</t>
  </si>
  <si>
    <t>Hajam</t>
  </si>
  <si>
    <t>Halwai (Muslim traditions)</t>
  </si>
  <si>
    <t>Harni</t>
  </si>
  <si>
    <t>Haruku</t>
  </si>
  <si>
    <t>hrk</t>
  </si>
  <si>
    <t>Hazara</t>
  </si>
  <si>
    <t>haz</t>
  </si>
  <si>
    <t>Hazaragi</t>
  </si>
  <si>
    <t>Hazra (Muslim traditions)</t>
  </si>
  <si>
    <t>Highland Konjo</t>
  </si>
  <si>
    <t>kjk</t>
  </si>
  <si>
    <t>Konjo, Highland</t>
  </si>
  <si>
    <t>Hitu</t>
  </si>
  <si>
    <t>htu</t>
  </si>
  <si>
    <t>Hui, Muslim Chinese</t>
  </si>
  <si>
    <t>Hui</t>
  </si>
  <si>
    <t>cmn</t>
  </si>
  <si>
    <t>Chinese, Mandarin</t>
  </si>
  <si>
    <t>A002</t>
  </si>
  <si>
    <t>East Asian Peoples</t>
  </si>
  <si>
    <t>C0066</t>
  </si>
  <si>
    <t>Hui, Dungan</t>
  </si>
  <si>
    <t>Ile Ape</t>
  </si>
  <si>
    <t>ila</t>
  </si>
  <si>
    <t>Indonesian</t>
  </si>
  <si>
    <t>ind</t>
  </si>
  <si>
    <t>Iranun</t>
  </si>
  <si>
    <t>ilp</t>
  </si>
  <si>
    <t>C0071</t>
  </si>
  <si>
    <t>Filipino, Muslim</t>
  </si>
  <si>
    <t>Iranun, Sabah</t>
  </si>
  <si>
    <t>ilm</t>
  </si>
  <si>
    <t>Jama Mapun, Bajau Kagayan</t>
  </si>
  <si>
    <t>sjm</t>
  </si>
  <si>
    <t>Mapun</t>
  </si>
  <si>
    <t>Jama Mapun, Sama Mapun</t>
  </si>
  <si>
    <t>Jamadar</t>
  </si>
  <si>
    <t>Jambi</t>
  </si>
  <si>
    <t>Jangam (Muslim traditions)</t>
  </si>
  <si>
    <t>Jaraj (Muslim traditions)</t>
  </si>
  <si>
    <t>Jat (Muslim traditions)</t>
  </si>
  <si>
    <t>South Asia Muslim - Jat</t>
  </si>
  <si>
    <t>Jat Atra</t>
  </si>
  <si>
    <t>Jat Aulak</t>
  </si>
  <si>
    <t>Jat Autrah</t>
  </si>
  <si>
    <t>Jat Bains (Muslim traditions)</t>
  </si>
  <si>
    <t>Jat Bajwa (Muslim traditions)</t>
  </si>
  <si>
    <t>Jat Barh</t>
  </si>
  <si>
    <t>Jat Barra</t>
  </si>
  <si>
    <t>Jat Basi</t>
  </si>
  <si>
    <t>Jat Bhatti</t>
  </si>
  <si>
    <t>Jat Bhutta (Muslim traditions)</t>
  </si>
  <si>
    <t>Jat Bhuttar</t>
  </si>
  <si>
    <t>Jat Chachar</t>
  </si>
  <si>
    <t>Jat Chahil (Muslim traditions)</t>
  </si>
  <si>
    <t>Jat Chelar</t>
  </si>
  <si>
    <t>Jat Chhadar (Muslim traditions)</t>
  </si>
  <si>
    <t>Jat Chhaddar (Muslim traditions)</t>
  </si>
  <si>
    <t>Jat Chhina (Muslim traditions)</t>
  </si>
  <si>
    <t>Jat Chima (Muslim traditions)</t>
  </si>
  <si>
    <t>Jat Dagar</t>
  </si>
  <si>
    <t>Jat Dalal</t>
  </si>
  <si>
    <t>Jat Dehia (Muslim traditions)</t>
  </si>
  <si>
    <t>Jat Dhariwal (Muslim traditions)</t>
  </si>
  <si>
    <t>Jat Dhillon (Muslim traditions)</t>
  </si>
  <si>
    <t>Jat Gahlot (Muslim traditions)</t>
  </si>
  <si>
    <t>Jat Ghallu</t>
  </si>
  <si>
    <t>Jat Ghatwal (Muslim traditions)</t>
  </si>
  <si>
    <t>Jat Ghumman (Muslim traditions)</t>
  </si>
  <si>
    <t>Jat Gil (Muslim traditions)</t>
  </si>
  <si>
    <t>Jat Goraia (Muslim traditions)</t>
  </si>
  <si>
    <t>Jat Harral</t>
  </si>
  <si>
    <t>Jat Her</t>
  </si>
  <si>
    <t>Jat Hinjra</t>
  </si>
  <si>
    <t>Jat Jakhar (Muslim traditions)</t>
  </si>
  <si>
    <t>Jat Janjua</t>
  </si>
  <si>
    <t>Jat Jhawari</t>
  </si>
  <si>
    <t>Jat Jodra</t>
  </si>
  <si>
    <t>Jat Joia</t>
  </si>
  <si>
    <t>Jat Kahlon (Muslim traditions)</t>
  </si>
  <si>
    <t>Jat Kalial</t>
  </si>
  <si>
    <t>Jat Kalru</t>
  </si>
  <si>
    <t>Jat Kang</t>
  </si>
  <si>
    <t>Jat Khaira</t>
  </si>
  <si>
    <t>Jat Khakhi</t>
  </si>
  <si>
    <t>Jat Kharral (Muslim traditions)</t>
  </si>
  <si>
    <t>Jat Khokhar</t>
  </si>
  <si>
    <t>Jat Lak</t>
  </si>
  <si>
    <t>Jat Langah</t>
  </si>
  <si>
    <t>Jat Langrial</t>
  </si>
  <si>
    <t>Jat Mann (Muslim traditions)</t>
  </si>
  <si>
    <t>Jat Mulana</t>
  </si>
  <si>
    <t>Jat Pachhade</t>
  </si>
  <si>
    <t>Jat Parhar</t>
  </si>
  <si>
    <t>Jat Phor</t>
  </si>
  <si>
    <t>Jat Ponwar</t>
  </si>
  <si>
    <t>Jat Randhawa</t>
  </si>
  <si>
    <t>Jat Rathi</t>
  </si>
  <si>
    <t>Jat Sahi (Muslim traditions)</t>
  </si>
  <si>
    <t>Jat Sahola</t>
  </si>
  <si>
    <t>Jat Sahrawat</t>
  </si>
  <si>
    <t>Jat Sahu</t>
  </si>
  <si>
    <t>Jat Sandhel</t>
  </si>
  <si>
    <t>Jat Sangwan (Muslim traditions)</t>
  </si>
  <si>
    <t>Jat Sangwan</t>
  </si>
  <si>
    <t>Jat Sarai (Muslim traditions)</t>
  </si>
  <si>
    <t>Jat Sial</t>
  </si>
  <si>
    <t>Jat Sidhu (Muslim traditions)</t>
  </si>
  <si>
    <t>Jat Sindhu (Muslim traditions)</t>
  </si>
  <si>
    <t>Jat Sipra (Muslim traditions)</t>
  </si>
  <si>
    <t>Jat Sumra (Muslim traditions)</t>
  </si>
  <si>
    <t>Jat Tahim</t>
  </si>
  <si>
    <t>Jat Tarar</t>
  </si>
  <si>
    <t>Jat Varaich (Muslim traditions)</t>
  </si>
  <si>
    <t>Jat Virk (Muslim traditions)</t>
  </si>
  <si>
    <t>Jatal</t>
  </si>
  <si>
    <t>Jatt (Muslim traditions)</t>
  </si>
  <si>
    <t>Java Banten</t>
  </si>
  <si>
    <t>jav</t>
  </si>
  <si>
    <t>Javanese</t>
  </si>
  <si>
    <t>C0101</t>
  </si>
  <si>
    <t>Java</t>
  </si>
  <si>
    <t>Java Banyumasan</t>
  </si>
  <si>
    <t>Java Mancanegari</t>
  </si>
  <si>
    <t>Java Negarigung</t>
  </si>
  <si>
    <t>Java Pesisir Kulon</t>
  </si>
  <si>
    <t>Java Pesisir Lor</t>
  </si>
  <si>
    <t>Java Serang</t>
  </si>
  <si>
    <t>Javanese, Orang Jawa</t>
  </si>
  <si>
    <t>Jharudar</t>
  </si>
  <si>
    <t>Jhinwar (Muslim traditions)</t>
  </si>
  <si>
    <t>Jhojha (Muslim traditions)</t>
  </si>
  <si>
    <t>Jogi (Muslim traditions)</t>
  </si>
  <si>
    <t>Jotdar</t>
  </si>
  <si>
    <t>Kachhia (Muslim traditions)</t>
  </si>
  <si>
    <t>Kaghazi</t>
  </si>
  <si>
    <t>Kahar (Muslim traditions)</t>
  </si>
  <si>
    <t>Kaidipang</t>
  </si>
  <si>
    <t>kzp</t>
  </si>
  <si>
    <t>Kaili Ledo</t>
  </si>
  <si>
    <t>lew</t>
  </si>
  <si>
    <t>Kaili, Ledo</t>
  </si>
  <si>
    <t>Kaili Unde</t>
  </si>
  <si>
    <t>unz</t>
  </si>
  <si>
    <t>Kaili, Unde</t>
  </si>
  <si>
    <t>Kaili Unde, Daa</t>
  </si>
  <si>
    <t>kzf</t>
  </si>
  <si>
    <t>Kaili, Da'a</t>
  </si>
  <si>
    <t>Kaimbulawa</t>
  </si>
  <si>
    <t>zka</t>
  </si>
  <si>
    <t>Kaiwai</t>
  </si>
  <si>
    <t>Kaiwai, Adi</t>
  </si>
  <si>
    <t>kwh</t>
  </si>
  <si>
    <t>Kowiai</t>
  </si>
  <si>
    <t>Kalagan</t>
  </si>
  <si>
    <t>kqe</t>
  </si>
  <si>
    <t>Kalal (Muslim traditions)</t>
  </si>
  <si>
    <t>Kalao</t>
  </si>
  <si>
    <t>kly</t>
  </si>
  <si>
    <t>Kalu</t>
  </si>
  <si>
    <t>Kalwar (Muslim traditions)</t>
  </si>
  <si>
    <t>Kalwar Iraqi (Muslim traditions)</t>
  </si>
  <si>
    <t>Kamaru</t>
  </si>
  <si>
    <t>kgx</t>
  </si>
  <si>
    <t>Kamboh (Muslim traditions)</t>
  </si>
  <si>
    <t>Kanchan (Muslim traditions)</t>
  </si>
  <si>
    <t>Kanera</t>
  </si>
  <si>
    <t>Kangean</t>
  </si>
  <si>
    <t>kkv</t>
  </si>
  <si>
    <t>Kanjar (Muslim traditions)</t>
  </si>
  <si>
    <t>Karadar</t>
  </si>
  <si>
    <t>Karal (Muslim traditions)</t>
  </si>
  <si>
    <t>Kasar (Muslim traditions)</t>
  </si>
  <si>
    <t>Kashmiri (Muslim traditions)</t>
  </si>
  <si>
    <t>kas</t>
  </si>
  <si>
    <t>Kashmiri</t>
  </si>
  <si>
    <t>Kau</t>
  </si>
  <si>
    <t>kax</t>
  </si>
  <si>
    <t>Kao</t>
  </si>
  <si>
    <t>Kaur</t>
  </si>
  <si>
    <t>vkk</t>
  </si>
  <si>
    <t>Kayu Agung</t>
  </si>
  <si>
    <t>kge</t>
  </si>
  <si>
    <t>Komering</t>
  </si>
  <si>
    <t>Kehu</t>
  </si>
  <si>
    <t>khh</t>
  </si>
  <si>
    <t>Kenyah, Sibop</t>
  </si>
  <si>
    <t>sib</t>
  </si>
  <si>
    <t>Sebop</t>
  </si>
  <si>
    <t>Keo</t>
  </si>
  <si>
    <t>xxk</t>
  </si>
  <si>
    <t>Ke'o</t>
  </si>
  <si>
    <t>Kepo'</t>
  </si>
  <si>
    <t>kuk</t>
  </si>
  <si>
    <t>Kerinci</t>
  </si>
  <si>
    <t>kvr</t>
  </si>
  <si>
    <t>Khaskeli</t>
  </si>
  <si>
    <t>Khati (Muslim traditions)</t>
  </si>
  <si>
    <t>Khati</t>
  </si>
  <si>
    <t>Khatik (Muslim traditions)</t>
  </si>
  <si>
    <t>Khatri (Muslim traditions)</t>
  </si>
  <si>
    <t>Khattar</t>
  </si>
  <si>
    <t>Khoja</t>
  </si>
  <si>
    <t>Khosha</t>
  </si>
  <si>
    <t>Khumra (Muslim traditions)</t>
  </si>
  <si>
    <t>Kikim</t>
  </si>
  <si>
    <t>Kioko-Kambowa</t>
  </si>
  <si>
    <t>ues</t>
  </si>
  <si>
    <t>Kioko</t>
  </si>
  <si>
    <t>Kluet</t>
  </si>
  <si>
    <t>Koba</t>
  </si>
  <si>
    <t>kpd</t>
  </si>
  <si>
    <t>Kodeoha</t>
  </si>
  <si>
    <t>vko</t>
  </si>
  <si>
    <t>Kohistani</t>
  </si>
  <si>
    <t>mvy</t>
  </si>
  <si>
    <t>Kohistani, Indus</t>
  </si>
  <si>
    <t>Koiri (Muslim traditions)</t>
  </si>
  <si>
    <t>Kola</t>
  </si>
  <si>
    <t>kvv</t>
  </si>
  <si>
    <t>Koli (Muslim traditions)</t>
  </si>
  <si>
    <t>Koli of Sind (Muslim traditions)</t>
  </si>
  <si>
    <t>Komfana</t>
  </si>
  <si>
    <t>kvp</t>
  </si>
  <si>
    <t>Kompane</t>
  </si>
  <si>
    <t>Komodo</t>
  </si>
  <si>
    <t>kvh</t>
  </si>
  <si>
    <t>Koroni</t>
  </si>
  <si>
    <t>xkq</t>
  </si>
  <si>
    <t>Kota Bangun Kutai</t>
  </si>
  <si>
    <t>mqg</t>
  </si>
  <si>
    <t>Malay, Kota Bangun Kutai</t>
  </si>
  <si>
    <t>Kulisusu</t>
  </si>
  <si>
    <t>vkl</t>
  </si>
  <si>
    <t>Kumangar</t>
  </si>
  <si>
    <t>Kumberaha</t>
  </si>
  <si>
    <t>xks</t>
  </si>
  <si>
    <t>Kumbewaha</t>
  </si>
  <si>
    <t>Kumhar (Muslim traditions)</t>
  </si>
  <si>
    <t>Kumhiar (Muslim traditions)</t>
  </si>
  <si>
    <t>Kur</t>
  </si>
  <si>
    <t>kuv</t>
  </si>
  <si>
    <t>Kutai</t>
  </si>
  <si>
    <t>vkt</t>
  </si>
  <si>
    <t>Malay, Tenggarong Kutai</t>
  </si>
  <si>
    <t>Labana (Muslim traditions)</t>
  </si>
  <si>
    <t>Laheri (Muslim traditions)</t>
  </si>
  <si>
    <t>Laiyola</t>
  </si>
  <si>
    <t>Laiyola, Barang-Barang</t>
  </si>
  <si>
    <t>lji</t>
  </si>
  <si>
    <t>Laiyolo</t>
  </si>
  <si>
    <t>Lampung Abung</t>
  </si>
  <si>
    <t>abl</t>
  </si>
  <si>
    <t>Lampung Nyo</t>
  </si>
  <si>
    <t>Lampung Pesisir</t>
  </si>
  <si>
    <t>Lampung Pubian</t>
  </si>
  <si>
    <t>Lampung Sungkai</t>
  </si>
  <si>
    <t>Lampung Way Kanan</t>
  </si>
  <si>
    <t>Larike-Wakasihu</t>
  </si>
  <si>
    <t>alo</t>
  </si>
  <si>
    <t>Lasalimu</t>
  </si>
  <si>
    <t>llm</t>
  </si>
  <si>
    <t>Lassi</t>
  </si>
  <si>
    <t>lss</t>
  </si>
  <si>
    <t>Lasi</t>
  </si>
  <si>
    <t>Latu</t>
  </si>
  <si>
    <t>ltu</t>
  </si>
  <si>
    <t>Laudje</t>
  </si>
  <si>
    <t>law</t>
  </si>
  <si>
    <t>Lauje</t>
  </si>
  <si>
    <t>Legenyem</t>
  </si>
  <si>
    <t>lcc</t>
  </si>
  <si>
    <t>Lematang</t>
  </si>
  <si>
    <t>Lembak</t>
  </si>
  <si>
    <t>liw</t>
  </si>
  <si>
    <t>Col</t>
  </si>
  <si>
    <t>Lemolang</t>
  </si>
  <si>
    <t>ley</t>
  </si>
  <si>
    <t>Limola</t>
  </si>
  <si>
    <t>Liabuku</t>
  </si>
  <si>
    <t>lix</t>
  </si>
  <si>
    <t>Lintang</t>
  </si>
  <si>
    <t>Lisabata-Nuniali</t>
  </si>
  <si>
    <t>lcs</t>
  </si>
  <si>
    <t>Lisela</t>
  </si>
  <si>
    <t>lcl</t>
  </si>
  <si>
    <t>Lodha (Muslim traditions)</t>
  </si>
  <si>
    <t>Lohar (Muslim traditions)</t>
  </si>
  <si>
    <t>Lola, Warabal</t>
  </si>
  <si>
    <t>lcd</t>
  </si>
  <si>
    <t>Lola</t>
  </si>
  <si>
    <t>Lolak</t>
  </si>
  <si>
    <t>Loloan-Malay Bali</t>
  </si>
  <si>
    <t>mhp</t>
  </si>
  <si>
    <t>Malay, Balinese</t>
  </si>
  <si>
    <t>C0030</t>
  </si>
  <si>
    <t>Bali-Sasak</t>
  </si>
  <si>
    <t>Lom</t>
  </si>
  <si>
    <t>Lom, Maporese</t>
  </si>
  <si>
    <t>Lonchong</t>
  </si>
  <si>
    <t>Lonchong, Orang Laut</t>
  </si>
  <si>
    <t>lce</t>
  </si>
  <si>
    <t>Sekak</t>
  </si>
  <si>
    <t>Lori</t>
  </si>
  <si>
    <t>Lubu</t>
  </si>
  <si>
    <t>lcf</t>
  </si>
  <si>
    <t>Luhu</t>
  </si>
  <si>
    <t>lcq</t>
  </si>
  <si>
    <t>Luwu</t>
  </si>
  <si>
    <t>rob</t>
  </si>
  <si>
    <t>Tae'</t>
  </si>
  <si>
    <t>Maba</t>
  </si>
  <si>
    <t>mqa</t>
  </si>
  <si>
    <t>Machhi (Muslim traditions)</t>
  </si>
  <si>
    <t>Madari (Muslim traditions)</t>
  </si>
  <si>
    <t>Maguindanao</t>
  </si>
  <si>
    <t>mdh</t>
  </si>
  <si>
    <t>Maguindanaon</t>
  </si>
  <si>
    <t>Mahaldar</t>
  </si>
  <si>
    <t>ory</t>
  </si>
  <si>
    <t>Odia</t>
  </si>
  <si>
    <t>Mahtam (Muslim traditions)</t>
  </si>
  <si>
    <t>Mairiri</t>
  </si>
  <si>
    <t>mqi</t>
  </si>
  <si>
    <t>Mariri</t>
  </si>
  <si>
    <t>Maiwa</t>
  </si>
  <si>
    <t>wmm</t>
  </si>
  <si>
    <t>Makassar</t>
  </si>
  <si>
    <t>mak</t>
  </si>
  <si>
    <t>Makasar</t>
  </si>
  <si>
    <t>Makh</t>
  </si>
  <si>
    <t>Makhmi</t>
  </si>
  <si>
    <t>Makrani (Muslim traditions)</t>
  </si>
  <si>
    <t>Mal (Muslim traditions)</t>
  </si>
  <si>
    <t>Malaysians, English-Speaking</t>
  </si>
  <si>
    <t>Malay-Indonesian, English-Speaking</t>
  </si>
  <si>
    <t>eng</t>
  </si>
  <si>
    <t>English</t>
  </si>
  <si>
    <t>Malay, Bacanese</t>
  </si>
  <si>
    <t>btj</t>
  </si>
  <si>
    <t>Malay, Banda</t>
  </si>
  <si>
    <t>bpq</t>
  </si>
  <si>
    <t>Malay, Cocos Islands</t>
  </si>
  <si>
    <t>Malay, Kedah</t>
  </si>
  <si>
    <t>meo</t>
  </si>
  <si>
    <t>Malay, Ketapang</t>
  </si>
  <si>
    <t>Malay, Larantuka</t>
  </si>
  <si>
    <t>lrt</t>
  </si>
  <si>
    <t>Malay, North Moluccan</t>
  </si>
  <si>
    <t>max</t>
  </si>
  <si>
    <t>Malay, Papuan</t>
  </si>
  <si>
    <t>pmy</t>
  </si>
  <si>
    <t>Malay, Pattani</t>
  </si>
  <si>
    <t>mfa</t>
  </si>
  <si>
    <t>Malay, Pontianak</t>
  </si>
  <si>
    <t>Malay, Riau</t>
  </si>
  <si>
    <t>Malay, Sambas</t>
  </si>
  <si>
    <t>Malay, Singkil</t>
  </si>
  <si>
    <t>btx</t>
  </si>
  <si>
    <t>Batak Karo</t>
  </si>
  <si>
    <t>Malay, Sumatera North</t>
  </si>
  <si>
    <t>Malayali</t>
  </si>
  <si>
    <t>Malayali, Malayalam</t>
  </si>
  <si>
    <t>Mali (Muslim traditions)</t>
  </si>
  <si>
    <t>Malimpung</t>
  </si>
  <si>
    <t>mli</t>
  </si>
  <si>
    <t>Mallah (Muslim traditions)</t>
  </si>
  <si>
    <t>Mallah Dhawa (Muslim traditions)</t>
  </si>
  <si>
    <t>Mallah Kewat (Muslim traditions)</t>
  </si>
  <si>
    <t>Mallik (Muslim traditions)</t>
  </si>
  <si>
    <t>scl</t>
  </si>
  <si>
    <t>Shina</t>
  </si>
  <si>
    <t>Mamak, Talang</t>
  </si>
  <si>
    <t>Mamasa, Pattae'</t>
  </si>
  <si>
    <t>mqj</t>
  </si>
  <si>
    <t>Mamasa</t>
  </si>
  <si>
    <t>Mamuju</t>
  </si>
  <si>
    <t>mqx</t>
  </si>
  <si>
    <t>Mandailing</t>
  </si>
  <si>
    <t>btm</t>
  </si>
  <si>
    <t>Batak Mandailing</t>
  </si>
  <si>
    <t>Mandala (Muslim traditions)</t>
  </si>
  <si>
    <t>Mangole</t>
  </si>
  <si>
    <t>mqc</t>
  </si>
  <si>
    <t>Manihar</t>
  </si>
  <si>
    <t>Manipa, Soow Huhelia</t>
  </si>
  <si>
    <t>mqp</t>
  </si>
  <si>
    <t>Manipa</t>
  </si>
  <si>
    <t>Maranao</t>
  </si>
  <si>
    <t>Maranao, Lanao</t>
  </si>
  <si>
    <t>mrw</t>
  </si>
  <si>
    <t>Marija (Muslim traditions)</t>
  </si>
  <si>
    <t>Maroangin-Bungin</t>
  </si>
  <si>
    <t>Masalchi</t>
  </si>
  <si>
    <t>Maulangi</t>
  </si>
  <si>
    <t>Mbojo</t>
  </si>
  <si>
    <t>bhp</t>
  </si>
  <si>
    <t>Bima</t>
  </si>
  <si>
    <t>Med</t>
  </si>
  <si>
    <t>Megh (Muslim traditions)</t>
  </si>
  <si>
    <t>Melanau</t>
  </si>
  <si>
    <t>mel</t>
  </si>
  <si>
    <t>Melanau, Central</t>
  </si>
  <si>
    <t>Memon</t>
  </si>
  <si>
    <t>Merat (Muslim traditions)</t>
  </si>
  <si>
    <t>Mewati (Muslim traditions)</t>
  </si>
  <si>
    <t>Minangkabau, Orang Negeri</t>
  </si>
  <si>
    <t>Mir</t>
  </si>
  <si>
    <t>Mirasi (Muslim traditions)</t>
  </si>
  <si>
    <t>Mirdhas (Muslim traditions)</t>
  </si>
  <si>
    <t>Mirzakhani</t>
  </si>
  <si>
    <t>Mochi (Muslim traditions)</t>
  </si>
  <si>
    <t>Moghal</t>
  </si>
  <si>
    <t>Molbog</t>
  </si>
  <si>
    <t>pwm</t>
  </si>
  <si>
    <t>Momna</t>
  </si>
  <si>
    <t>Moronene</t>
  </si>
  <si>
    <t>mqn</t>
  </si>
  <si>
    <t>Muko Muko</t>
  </si>
  <si>
    <t>Muna</t>
  </si>
  <si>
    <t>mnb</t>
  </si>
  <si>
    <t>Munshi</t>
  </si>
  <si>
    <t>Murao (Muslim traditions)</t>
  </si>
  <si>
    <t>Murkim</t>
  </si>
  <si>
    <t>rmh</t>
  </si>
  <si>
    <t>Murut, Paluan</t>
  </si>
  <si>
    <t>plz</t>
  </si>
  <si>
    <t>Musahar (Muslim traditions)</t>
  </si>
  <si>
    <t>Mussali</t>
  </si>
  <si>
    <t>Nagarchi (Muslim traditions)</t>
  </si>
  <si>
    <t>Nakib</t>
  </si>
  <si>
    <t>Nalband</t>
  </si>
  <si>
    <t>Naliya (Muslim traditions)</t>
  </si>
  <si>
    <t>Namassej (Muslim traditions)</t>
  </si>
  <si>
    <t>Nanbai</t>
  </si>
  <si>
    <t>Narom</t>
  </si>
  <si>
    <t>nrm</t>
  </si>
  <si>
    <t>Nasal</t>
  </si>
  <si>
    <t>nsy</t>
  </si>
  <si>
    <t>Nat (Muslim traditions)</t>
  </si>
  <si>
    <t>Nikari (Muslim traditions)</t>
  </si>
  <si>
    <t>Nilabi</t>
  </si>
  <si>
    <t>Nuaulu, North</t>
  </si>
  <si>
    <t>nni</t>
  </si>
  <si>
    <t>Nungar</t>
  </si>
  <si>
    <t>Nuristani Narisati</t>
  </si>
  <si>
    <t>C0159</t>
  </si>
  <si>
    <t>Nuristan</t>
  </si>
  <si>
    <t>Ogan</t>
  </si>
  <si>
    <t>Osing</t>
  </si>
  <si>
    <t>osi</t>
  </si>
  <si>
    <t>Pakhiwara</t>
  </si>
  <si>
    <t>Pakpak Boang</t>
  </si>
  <si>
    <t>btd</t>
  </si>
  <si>
    <t>Batak Dairi</t>
  </si>
  <si>
    <t>Palembang</t>
  </si>
  <si>
    <t>Pancana</t>
  </si>
  <si>
    <t>pnp</t>
  </si>
  <si>
    <t>Pannei</t>
  </si>
  <si>
    <t>pnc</t>
  </si>
  <si>
    <t>Pashtun, Northern</t>
  </si>
  <si>
    <t>Pashtun</t>
  </si>
  <si>
    <t>South Asia Muslim - Pashtun</t>
  </si>
  <si>
    <t>Pashtun Dilakzai</t>
  </si>
  <si>
    <t>Pashtun Maliar</t>
  </si>
  <si>
    <t>Pashtun, Pathan</t>
  </si>
  <si>
    <t>Pasi (Muslim traditions)</t>
  </si>
  <si>
    <t>South Asia Dalit - Pasi</t>
  </si>
  <si>
    <t>Patani</t>
  </si>
  <si>
    <t>ptn</t>
  </si>
  <si>
    <t>Patni (Muslim traditions)</t>
  </si>
  <si>
    <t>Patwa (Muslim traditions)</t>
  </si>
  <si>
    <t>Pawaria (Muslim traditions)</t>
  </si>
  <si>
    <t>Pegagan</t>
  </si>
  <si>
    <t>Pekal</t>
  </si>
  <si>
    <t>pel</t>
  </si>
  <si>
    <t>Pendau</t>
  </si>
  <si>
    <t>Pendau, Umalasa</t>
  </si>
  <si>
    <t>ums</t>
  </si>
  <si>
    <t>Penesak</t>
  </si>
  <si>
    <t>Penghulu</t>
  </si>
  <si>
    <t>Perna (Muslim traditions)</t>
  </si>
  <si>
    <t>pes</t>
  </si>
  <si>
    <t>Persian, Iranian</t>
  </si>
  <si>
    <t>Peshakar</t>
  </si>
  <si>
    <t>Pherera (Muslim traditions)</t>
  </si>
  <si>
    <t>Pindara</t>
  </si>
  <si>
    <t>Pinjara</t>
  </si>
  <si>
    <t>Qalandar</t>
  </si>
  <si>
    <t>Qarol</t>
  </si>
  <si>
    <t>Qassab</t>
  </si>
  <si>
    <t>Qazi</t>
  </si>
  <si>
    <t>Qizilbash</t>
  </si>
  <si>
    <t>Qazilbash</t>
  </si>
  <si>
    <t>C0221</t>
  </si>
  <si>
    <t>Turkish</t>
  </si>
  <si>
    <t>Rabari (Muslim traditions)</t>
  </si>
  <si>
    <t>Rahambuu</t>
  </si>
  <si>
    <t>raz</t>
  </si>
  <si>
    <t>Rahmani (Muslim traditions)</t>
  </si>
  <si>
    <t>Rajbansi (Muslim traditions)</t>
  </si>
  <si>
    <t>Rajong</t>
  </si>
  <si>
    <t>rjg</t>
  </si>
  <si>
    <t>Rajput (Muslim traditions)</t>
  </si>
  <si>
    <t>South Asia Muslim - Rajput</t>
  </si>
  <si>
    <t>Rajput Alpial</t>
  </si>
  <si>
    <t>Rajput Awan</t>
  </si>
  <si>
    <t>Rajput Baghel (Muslim traditions)</t>
  </si>
  <si>
    <t>Rajput Bais (Muslim traditions)</t>
  </si>
  <si>
    <t>Rajput Bargujar (Muslim traditions)</t>
  </si>
  <si>
    <t>Rajput Baria (Muslim traditions)</t>
  </si>
  <si>
    <t>Rajput Bhale Sultan (Muslim traditions)</t>
  </si>
  <si>
    <t>Rajput Bhatti (Muslim traditions)</t>
  </si>
  <si>
    <t>Rajput Bisen (Muslim traditions)</t>
  </si>
  <si>
    <t>Rajput Chauhan (Muslim traditions)</t>
  </si>
  <si>
    <t>Rajput Chib</t>
  </si>
  <si>
    <t>Rajput Dhamial</t>
  </si>
  <si>
    <t>Rajput Dhanial</t>
  </si>
  <si>
    <t>Rajput Dhudhi</t>
  </si>
  <si>
    <t>Rajput Gaharwal</t>
  </si>
  <si>
    <t>Rajput Gakkhar</t>
  </si>
  <si>
    <t>Rajput Garewal (Muslim traditions)</t>
  </si>
  <si>
    <t>Rajput Gautam</t>
  </si>
  <si>
    <t>Rajput Gondal</t>
  </si>
  <si>
    <t>Rajput Janjua (Muslim traditions)</t>
  </si>
  <si>
    <t>Rajput Jatu</t>
  </si>
  <si>
    <t>Rajput Jhabel</t>
  </si>
  <si>
    <t>Rajput Jodra</t>
  </si>
  <si>
    <t>Rajput Joia (Muslim traditions)</t>
  </si>
  <si>
    <t>Rajput Kahut</t>
  </si>
  <si>
    <t>Rajput Kanial</t>
  </si>
  <si>
    <t>Rajput Katil</t>
  </si>
  <si>
    <t>Rajput Ketwal</t>
  </si>
  <si>
    <t>Rajput Khaimkani</t>
  </si>
  <si>
    <t>Rajput Khakkha</t>
  </si>
  <si>
    <t>Rajput Khichi</t>
  </si>
  <si>
    <t>Rajput Khoja</t>
  </si>
  <si>
    <t>Rajput Khokhar</t>
  </si>
  <si>
    <t>Rajput Mair</t>
  </si>
  <si>
    <t>Rajput Mandahar (Muslim traditions)</t>
  </si>
  <si>
    <t>Rajput Mandial</t>
  </si>
  <si>
    <t>Rajput Mangral</t>
  </si>
  <si>
    <t>Rajput Manihas (Muslim traditions)</t>
  </si>
  <si>
    <t>Rajput Manj</t>
  </si>
  <si>
    <t>Rajput Manu</t>
  </si>
  <si>
    <t>Rajput Maru</t>
  </si>
  <si>
    <t>Rajput Mekan</t>
  </si>
  <si>
    <t>Rajput Nagial</t>
  </si>
  <si>
    <t>Rajput Naru</t>
  </si>
  <si>
    <t>Rajput Nun</t>
  </si>
  <si>
    <t>Rajput Ponwar (Muslim traditions)</t>
  </si>
  <si>
    <t>Rajput Pundir (Muslim traditions)</t>
  </si>
  <si>
    <t>Rajput Ragbansi</t>
  </si>
  <si>
    <t>Rajput Rajbansi</t>
  </si>
  <si>
    <t>Rajput Ranghar</t>
  </si>
  <si>
    <t>Rajput Ranjha</t>
  </si>
  <si>
    <t>Rajput Ratal</t>
  </si>
  <si>
    <t>Rajput Rathor</t>
  </si>
  <si>
    <t>Rajput Sakarwar</t>
  </si>
  <si>
    <t>Rajput Salehria (Muslim traditions)</t>
  </si>
  <si>
    <t>Rajput Satti</t>
  </si>
  <si>
    <t>Rajput Sial</t>
  </si>
  <si>
    <t>Rajput Sombansi</t>
  </si>
  <si>
    <t>Rajput Taon (Muslim traditions)</t>
  </si>
  <si>
    <t>Rajput Tathial</t>
  </si>
  <si>
    <t>Rajput Tonwar (Muslim traditions)</t>
  </si>
  <si>
    <t>Rajput Wattu</t>
  </si>
  <si>
    <t>Rambang</t>
  </si>
  <si>
    <t>Ramdasia (Muslim traditions)</t>
  </si>
  <si>
    <t>Ranau</t>
  </si>
  <si>
    <t>Rangrez (Muslim traditions)</t>
  </si>
  <si>
    <t>Rasua</t>
  </si>
  <si>
    <t>Rawal (Muslim traditions)</t>
  </si>
  <si>
    <t>Rawas</t>
  </si>
  <si>
    <t>Rayeen (Muslim traditions)</t>
  </si>
  <si>
    <t>Rejang</t>
  </si>
  <si>
    <t>rej</t>
  </si>
  <si>
    <t>Retta</t>
  </si>
  <si>
    <t>ret</t>
  </si>
  <si>
    <t>Reta</t>
  </si>
  <si>
    <t>Riung</t>
  </si>
  <si>
    <t>riu</t>
  </si>
  <si>
    <t>Rohingya</t>
  </si>
  <si>
    <t>rhg</t>
  </si>
  <si>
    <t>Rohingya Zerbadi</t>
  </si>
  <si>
    <t>Romani, Vlax</t>
  </si>
  <si>
    <t>rmy</t>
  </si>
  <si>
    <t>A003</t>
  </si>
  <si>
    <t>Eurasian Peoples</t>
  </si>
  <si>
    <t>C0279</t>
  </si>
  <si>
    <t>Romani</t>
  </si>
  <si>
    <t>Rongga</t>
  </si>
  <si>
    <t>ror</t>
  </si>
  <si>
    <t>Saini (Muslim traditions)</t>
  </si>
  <si>
    <t>Saleman, Hatue</t>
  </si>
  <si>
    <t>sau</t>
  </si>
  <si>
    <t>Saleman</t>
  </si>
  <si>
    <t>Saluan, Coastal</t>
  </si>
  <si>
    <t>loe</t>
  </si>
  <si>
    <t>Saluan</t>
  </si>
  <si>
    <t>Saluan, Kahumamaqon</t>
  </si>
  <si>
    <t>Sama Bangingi, Northern Sama</t>
  </si>
  <si>
    <t>sse</t>
  </si>
  <si>
    <t>Sama, Balangingih</t>
  </si>
  <si>
    <t>Sama Pangutaran</t>
  </si>
  <si>
    <t>slm</t>
  </si>
  <si>
    <t>Sama, Pangutaran</t>
  </si>
  <si>
    <t>Sama, Southern</t>
  </si>
  <si>
    <t>ssb</t>
  </si>
  <si>
    <t>Sanggau-Sekadau</t>
  </si>
  <si>
    <t>scg</t>
  </si>
  <si>
    <t>Sanggau</t>
  </si>
  <si>
    <t>Sangil</t>
  </si>
  <si>
    <t>snl</t>
  </si>
  <si>
    <t>Sangtarash (Muslim traditions)</t>
  </si>
  <si>
    <t>Sansi</t>
  </si>
  <si>
    <t>ssi</t>
  </si>
  <si>
    <t>Sansi (Muslim traditions)</t>
  </si>
  <si>
    <t>Sansi, tribe</t>
  </si>
  <si>
    <t>Santia (Muslim traditions)</t>
  </si>
  <si>
    <t>Sapiada</t>
  </si>
  <si>
    <t>Sardar (Muslim traditions)</t>
  </si>
  <si>
    <t>Sarudu</t>
  </si>
  <si>
    <t>sdu</t>
  </si>
  <si>
    <t>Saryara (Muslim traditions)</t>
  </si>
  <si>
    <t>Sasak</t>
  </si>
  <si>
    <t>sas</t>
  </si>
  <si>
    <t>Saun</t>
  </si>
  <si>
    <t>Sawai</t>
  </si>
  <si>
    <t>szw</t>
  </si>
  <si>
    <t>Sayyid</t>
  </si>
  <si>
    <t>South Asia Muslim - Sayyid</t>
  </si>
  <si>
    <t>Sayyid Husaini</t>
  </si>
  <si>
    <t>Seit Kaitetu</t>
  </si>
  <si>
    <t>hik</t>
  </si>
  <si>
    <t>Seit-Kaitetu</t>
  </si>
  <si>
    <t>Selayar</t>
  </si>
  <si>
    <t>sly</t>
  </si>
  <si>
    <t>Semendo</t>
  </si>
  <si>
    <t>Serawai</t>
  </si>
  <si>
    <t>Shaikh</t>
  </si>
  <si>
    <t>South Asia Muslim - Shaikh</t>
  </si>
  <si>
    <t>Shaikh Qureshi</t>
  </si>
  <si>
    <t>Shaikh Siddiqi</t>
  </si>
  <si>
    <t>Shanan</t>
  </si>
  <si>
    <t>Shin</t>
  </si>
  <si>
    <t>Shorgar (Muslim traditions)</t>
  </si>
  <si>
    <t>Siduan</t>
  </si>
  <si>
    <t>sdx</t>
  </si>
  <si>
    <t>Melanau, Sibu</t>
  </si>
  <si>
    <t>Sikligar (Muslim traditions)</t>
  </si>
  <si>
    <t>Sikule</t>
  </si>
  <si>
    <t>skh</t>
  </si>
  <si>
    <t>Simeulue</t>
  </si>
  <si>
    <t>smr</t>
  </si>
  <si>
    <t>Sindang Kelingi</t>
  </si>
  <si>
    <t>Sindhi (Muslim traditions)</t>
  </si>
  <si>
    <t>Sindhi Khaikheli</t>
  </si>
  <si>
    <t>Sindhi Mohana</t>
  </si>
  <si>
    <t>Sindhi Sama</t>
  </si>
  <si>
    <t>Sindhi Samon</t>
  </si>
  <si>
    <t>Sindhi Sumra</t>
  </si>
  <si>
    <t>Siyalgir (Muslim traditions)</t>
  </si>
  <si>
    <t>Sonar (Muslim traditions)</t>
  </si>
  <si>
    <t>Sorozai</t>
  </si>
  <si>
    <t>South Asian, Bengali-Speaking</t>
  </si>
  <si>
    <t>Subanon, Kolibugan</t>
  </si>
  <si>
    <t>skn</t>
  </si>
  <si>
    <t>C0070</t>
  </si>
  <si>
    <t>Filipino, Central</t>
  </si>
  <si>
    <t>Sudhan</t>
  </si>
  <si>
    <t>Sula</t>
  </si>
  <si>
    <t>szn</t>
  </si>
  <si>
    <t>Sumbawa</t>
  </si>
  <si>
    <t>smw</t>
  </si>
  <si>
    <t>Sutradhar (Muslim traditions)</t>
  </si>
  <si>
    <t>Suwawa</t>
  </si>
  <si>
    <t>swu</t>
  </si>
  <si>
    <t>Taga (Muslim traditions)</t>
  </si>
  <si>
    <t>Taje</t>
  </si>
  <si>
    <t>Taje, Petapa</t>
  </si>
  <si>
    <t>Tajik</t>
  </si>
  <si>
    <t>tgk</t>
  </si>
  <si>
    <t>C0211</t>
  </si>
  <si>
    <t>Tajio</t>
  </si>
  <si>
    <t>Tajio, Kasimbar</t>
  </si>
  <si>
    <t>tdj</t>
  </si>
  <si>
    <t>Taloki</t>
  </si>
  <si>
    <t>tlk</t>
  </si>
  <si>
    <t>Tambanua</t>
  </si>
  <si>
    <t>Tambanua, Paitan</t>
  </si>
  <si>
    <t>txa</t>
  </si>
  <si>
    <t>Tombonuo</t>
  </si>
  <si>
    <t>Tamboli (Muslim traditions)</t>
  </si>
  <si>
    <t>Tamiang</t>
  </si>
  <si>
    <t>Tamilouw</t>
  </si>
  <si>
    <t>Tamilouw, Sepa</t>
  </si>
  <si>
    <t>spb</t>
  </si>
  <si>
    <t>Sepa</t>
  </si>
  <si>
    <t>Tanaoli</t>
  </si>
  <si>
    <t>Tanti (Muslim traditions)</t>
  </si>
  <si>
    <t>Tarafdar</t>
  </si>
  <si>
    <t>Tarakhehas</t>
  </si>
  <si>
    <t>Tarkhan (Muslim traditions)</t>
  </si>
  <si>
    <t>Tausug</t>
  </si>
  <si>
    <t>Tausug, Joloano Sulu</t>
  </si>
  <si>
    <t>tsg</t>
  </si>
  <si>
    <t>Tausug, Moro Joloano</t>
  </si>
  <si>
    <t>Tausug, Sulu</t>
  </si>
  <si>
    <t>Tawaif (Muslim traditions)</t>
  </si>
  <si>
    <t>Teli (Muslim traditions)</t>
  </si>
  <si>
    <t>Teluti</t>
  </si>
  <si>
    <t>Teluti, Silen</t>
  </si>
  <si>
    <t>tlt</t>
  </si>
  <si>
    <t>Sou Nama</t>
  </si>
  <si>
    <t>Teor</t>
  </si>
  <si>
    <t>tev</t>
  </si>
  <si>
    <t>Ternate</t>
  </si>
  <si>
    <t>tft</t>
  </si>
  <si>
    <t>Thai Islam</t>
  </si>
  <si>
    <t>tha</t>
  </si>
  <si>
    <t>Thai</t>
  </si>
  <si>
    <t>C0215</t>
  </si>
  <si>
    <t>Thathera (Muslim traditions)</t>
  </si>
  <si>
    <t>Thori (Muslim traditions)</t>
  </si>
  <si>
    <t>Tidore</t>
  </si>
  <si>
    <t>tvo</t>
  </si>
  <si>
    <t>Tirgar (Muslim traditions)</t>
  </si>
  <si>
    <t>Toba</t>
  </si>
  <si>
    <t>Tolaki</t>
  </si>
  <si>
    <t>lbw</t>
  </si>
  <si>
    <t>Tolaki, Asera</t>
  </si>
  <si>
    <t>Tolaki, Laiwui</t>
  </si>
  <si>
    <t>Tolaki, Mekongga</t>
  </si>
  <si>
    <t>Tolaki, Wiwirano</t>
  </si>
  <si>
    <t>Toli-Toli</t>
  </si>
  <si>
    <t>txe</t>
  </si>
  <si>
    <t>Totoli</t>
  </si>
  <si>
    <t>Tomadino</t>
  </si>
  <si>
    <t>tdi</t>
  </si>
  <si>
    <t>Tombelala</t>
  </si>
  <si>
    <t>ttp</t>
  </si>
  <si>
    <t>Tomini</t>
  </si>
  <si>
    <t>txm</t>
  </si>
  <si>
    <t>Topoiyo</t>
  </si>
  <si>
    <t>toy</t>
  </si>
  <si>
    <t>Tulehu</t>
  </si>
  <si>
    <t>Tulehu, Northeast Ambonese</t>
  </si>
  <si>
    <t>tlu</t>
  </si>
  <si>
    <t>Turi (Muslim traditions)</t>
  </si>
  <si>
    <t>Turk</t>
  </si>
  <si>
    <t>tur</t>
  </si>
  <si>
    <t>Turkmen</t>
  </si>
  <si>
    <t>tuk</t>
  </si>
  <si>
    <t>C0222</t>
  </si>
  <si>
    <t>Tutong, Bisayan</t>
  </si>
  <si>
    <t>bsb</t>
  </si>
  <si>
    <t>Bisaya, Brunei</t>
  </si>
  <si>
    <t>Tutung</t>
  </si>
  <si>
    <t>ttg</t>
  </si>
  <si>
    <t>Tutong</t>
  </si>
  <si>
    <t>Ujir</t>
  </si>
  <si>
    <t>udj</t>
  </si>
  <si>
    <t>Ulema (Muslim traditions)</t>
  </si>
  <si>
    <t>Ulumanda</t>
  </si>
  <si>
    <t>ulm</t>
  </si>
  <si>
    <t>Ulumanda'</t>
  </si>
  <si>
    <t>Uzbek, Northern</t>
  </si>
  <si>
    <t>Uzbek</t>
  </si>
  <si>
    <t>uzn</t>
  </si>
  <si>
    <t>C0226</t>
  </si>
  <si>
    <t>Vaddar (Muslim traditions)</t>
  </si>
  <si>
    <t>Vaghri (Muslim traditions)</t>
  </si>
  <si>
    <t>vgr</t>
  </si>
  <si>
    <t>Vaghri</t>
  </si>
  <si>
    <t>Wakatobi</t>
  </si>
  <si>
    <t>bhq</t>
  </si>
  <si>
    <t>Tukang Besi South</t>
  </si>
  <si>
    <t>Wakatobi, Kaledupa</t>
  </si>
  <si>
    <t>khc</t>
  </si>
  <si>
    <t>Tukang Besi North</t>
  </si>
  <si>
    <t>Wakhi</t>
  </si>
  <si>
    <t>wbl</t>
  </si>
  <si>
    <t>Waru</t>
  </si>
  <si>
    <t>wru</t>
  </si>
  <si>
    <t>Wattal (Muslim traditions)</t>
  </si>
  <si>
    <t>Watubela</t>
  </si>
  <si>
    <t>Watubela, Wesi</t>
  </si>
  <si>
    <t>wah</t>
  </si>
  <si>
    <t>Watulai</t>
  </si>
  <si>
    <t>Watulai, Batuley</t>
  </si>
  <si>
    <t>bay</t>
  </si>
  <si>
    <t>Batuley</t>
  </si>
  <si>
    <t>Wawonii</t>
  </si>
  <si>
    <t>wow</t>
  </si>
  <si>
    <t>West Makian</t>
  </si>
  <si>
    <t>mqs</t>
  </si>
  <si>
    <t>Makian, West</t>
  </si>
  <si>
    <t>Wolio</t>
  </si>
  <si>
    <t>wlo</t>
  </si>
  <si>
    <t>Wotu</t>
  </si>
  <si>
    <t>wtw</t>
  </si>
  <si>
    <t>Yadav (Muslim traditions)</t>
  </si>
  <si>
    <t>Yadav Ghosi</t>
  </si>
  <si>
    <t>Yakan</t>
  </si>
  <si>
    <t>yka</t>
  </si>
  <si>
    <t>Yashkun</t>
  </si>
  <si>
    <t>Yidghal</t>
  </si>
  <si>
    <t>ydg</t>
  </si>
  <si>
    <t>Yadgha</t>
  </si>
  <si>
    <t>Zargar (Muslim traditions)</t>
  </si>
  <si>
    <t>Joshua Project - SSD Territory - All People Groups By Country (March 24, 2020 export)</t>
  </si>
  <si>
    <t>Ctry</t>
  </si>
  <si>
    <t>PeopNameInCountry</t>
  </si>
  <si>
    <t>JPScale</t>
  </si>
  <si>
    <t>PrimaryLanguageName</t>
  </si>
  <si>
    <t>PercentAdherents</t>
  </si>
  <si>
    <t>PercentEvangelical</t>
  </si>
  <si>
    <t>PeopleCluster</t>
  </si>
  <si>
    <t>Mander, Foya</t>
  </si>
  <si>
    <t>bkl</t>
  </si>
  <si>
    <t>Berik</t>
  </si>
  <si>
    <t>Christianity</t>
  </si>
  <si>
    <t>Penan</t>
  </si>
  <si>
    <t>pez</t>
  </si>
  <si>
    <t>Penan, Eastern</t>
  </si>
  <si>
    <t>Ethnic Religions</t>
  </si>
  <si>
    <t>TT</t>
  </si>
  <si>
    <t>Maku'a</t>
  </si>
  <si>
    <t>ddg</t>
  </si>
  <si>
    <t>Fataluku</t>
  </si>
  <si>
    <t>Loun</t>
  </si>
  <si>
    <t>Marengge</t>
  </si>
  <si>
    <t>mrx</t>
  </si>
  <si>
    <t>Dineor</t>
  </si>
  <si>
    <t>Sian</t>
  </si>
  <si>
    <t>spg</t>
  </si>
  <si>
    <t>Sihan</t>
  </si>
  <si>
    <t>Iresim</t>
  </si>
  <si>
    <t>ire</t>
  </si>
  <si>
    <t>Yeresiam</t>
  </si>
  <si>
    <t>Mor</t>
  </si>
  <si>
    <t>bdw</t>
  </si>
  <si>
    <t>Baham</t>
  </si>
  <si>
    <t>Agta, Alabat Island</t>
  </si>
  <si>
    <t>tgl</t>
  </si>
  <si>
    <t>Tagalog</t>
  </si>
  <si>
    <t>C0072</t>
  </si>
  <si>
    <t>Filipino, Tribal</t>
  </si>
  <si>
    <t>Paulohi</t>
  </si>
  <si>
    <t>Salas</t>
  </si>
  <si>
    <t>Salas, Liambata</t>
  </si>
  <si>
    <t>bnf</t>
  </si>
  <si>
    <t>Masiwang</t>
  </si>
  <si>
    <t>Nikari (Hindu traditions)</t>
  </si>
  <si>
    <t>Hinduism</t>
  </si>
  <si>
    <t>Kanum, Smarky</t>
  </si>
  <si>
    <t>kxq</t>
  </si>
  <si>
    <t>Kanum, Sota</t>
  </si>
  <si>
    <t>krz</t>
  </si>
  <si>
    <t>Kofei</t>
  </si>
  <si>
    <t>kpi</t>
  </si>
  <si>
    <t>Kwerisa</t>
  </si>
  <si>
    <t>Kwerisa, Taogwe</t>
  </si>
  <si>
    <t>tcq</t>
  </si>
  <si>
    <t>Kaiy</t>
  </si>
  <si>
    <t>Massep</t>
  </si>
  <si>
    <t>srl</t>
  </si>
  <si>
    <t>Isirawa</t>
  </si>
  <si>
    <t>Mer</t>
  </si>
  <si>
    <t>mnu</t>
  </si>
  <si>
    <t>Ninggerum</t>
  </si>
  <si>
    <t>Ninggerum, Kativa</t>
  </si>
  <si>
    <t>nxr</t>
  </si>
  <si>
    <t>Pyu</t>
  </si>
  <si>
    <t>pby</t>
  </si>
  <si>
    <t>Tangko</t>
  </si>
  <si>
    <t>tkx</t>
  </si>
  <si>
    <t>Tefaro</t>
  </si>
  <si>
    <t>tfo</t>
  </si>
  <si>
    <t>Usku</t>
  </si>
  <si>
    <t>ulf</t>
  </si>
  <si>
    <t>Yotafa</t>
  </si>
  <si>
    <t>Yotafa, Tobati</t>
  </si>
  <si>
    <t>Kongsat</t>
  </si>
  <si>
    <t>kjg</t>
  </si>
  <si>
    <t>Khmu</t>
  </si>
  <si>
    <t>C0116</t>
  </si>
  <si>
    <t>Lao</t>
  </si>
  <si>
    <t>Kintaq</t>
  </si>
  <si>
    <t>knq</t>
  </si>
  <si>
    <t>C0230</t>
  </si>
  <si>
    <t>West Malaysia Indigenous</t>
  </si>
  <si>
    <t>Tonga</t>
  </si>
  <si>
    <t>tnz</t>
  </si>
  <si>
    <t>Ten'edn</t>
  </si>
  <si>
    <t>C0147</t>
  </si>
  <si>
    <t>Mon-Khmer</t>
  </si>
  <si>
    <t>BM</t>
  </si>
  <si>
    <t>Ranglong</t>
  </si>
  <si>
    <t>rnl</t>
  </si>
  <si>
    <t>A014</t>
  </si>
  <si>
    <t>Tibetan-Himalayan Peoples</t>
  </si>
  <si>
    <t>C0113</t>
  </si>
  <si>
    <t>Kuki-Chin-Lushai</t>
  </si>
  <si>
    <t>Jew, Tagalog Speaking</t>
  </si>
  <si>
    <t>A006</t>
  </si>
  <si>
    <t>Jews</t>
  </si>
  <si>
    <t>C0102</t>
  </si>
  <si>
    <t>Arem</t>
  </si>
  <si>
    <t>vie</t>
  </si>
  <si>
    <t>Vietnamese</t>
  </si>
  <si>
    <t>Bhaskar</t>
  </si>
  <si>
    <t>Chaudhari, caste</t>
  </si>
  <si>
    <t>South Asia Dalit - other</t>
  </si>
  <si>
    <t>Hazra (Hindu traditions)</t>
  </si>
  <si>
    <t>Kotal</t>
  </si>
  <si>
    <t>Mallik (Hindu traditions)</t>
  </si>
  <si>
    <t>Arguni</t>
  </si>
  <si>
    <t>agf</t>
  </si>
  <si>
    <t>Awera</t>
  </si>
  <si>
    <t>awr</t>
  </si>
  <si>
    <t>Bedoanas</t>
  </si>
  <si>
    <t>bed</t>
  </si>
  <si>
    <t>Bonerif</t>
  </si>
  <si>
    <t>bnv</t>
  </si>
  <si>
    <t>Beneraf</t>
  </si>
  <si>
    <t>Burate</t>
  </si>
  <si>
    <t>bti</t>
  </si>
  <si>
    <t>Duriankere</t>
  </si>
  <si>
    <t>dbn</t>
  </si>
  <si>
    <t>Ibu</t>
  </si>
  <si>
    <t>ibu</t>
  </si>
  <si>
    <t>Itik</t>
  </si>
  <si>
    <t>Itik, Borto</t>
  </si>
  <si>
    <t>itx</t>
  </si>
  <si>
    <t>Jew, Indonesian Speaking</t>
  </si>
  <si>
    <t>Jew, Indonesian</t>
  </si>
  <si>
    <t>Jofotek-Bromnya</t>
  </si>
  <si>
    <t>jbr</t>
  </si>
  <si>
    <t>Kanum, Enkelembu</t>
  </si>
  <si>
    <t>kcd</t>
  </si>
  <si>
    <t>Kanum, Ngkalmpw</t>
  </si>
  <si>
    <t>Kapauri</t>
  </si>
  <si>
    <t>khp</t>
  </si>
  <si>
    <t>Kware</t>
  </si>
  <si>
    <t>kwr</t>
  </si>
  <si>
    <t>Kwer</t>
  </si>
  <si>
    <t>Lorang</t>
  </si>
  <si>
    <t>lrn</t>
  </si>
  <si>
    <t>Maklew</t>
  </si>
  <si>
    <t>mgf</t>
  </si>
  <si>
    <t>Obokuitai</t>
  </si>
  <si>
    <t>afz</t>
  </si>
  <si>
    <t>Pauwi, Yoke</t>
  </si>
  <si>
    <t>yki</t>
  </si>
  <si>
    <t>Yoke</t>
  </si>
  <si>
    <t>Podena</t>
  </si>
  <si>
    <t>pdn</t>
  </si>
  <si>
    <t>Fedan</t>
  </si>
  <si>
    <t>Punan Merah</t>
  </si>
  <si>
    <t>puf</t>
  </si>
  <si>
    <t>Sauri</t>
  </si>
  <si>
    <t>srt</t>
  </si>
  <si>
    <t>Towei</t>
  </si>
  <si>
    <t>ttn</t>
  </si>
  <si>
    <t>Tutunohan, Aputai</t>
  </si>
  <si>
    <t>gal</t>
  </si>
  <si>
    <t>Galolen</t>
  </si>
  <si>
    <t>Weretai</t>
  </si>
  <si>
    <t>Weretai, Wari</t>
  </si>
  <si>
    <t>wbe</t>
  </si>
  <si>
    <t>Waritai</t>
  </si>
  <si>
    <t>Chut-Ruc</t>
  </si>
  <si>
    <t>scb</t>
  </si>
  <si>
    <t>Chut</t>
  </si>
  <si>
    <t>Chut-Sach</t>
  </si>
  <si>
    <t>Tay Khang</t>
  </si>
  <si>
    <t>tnu</t>
  </si>
  <si>
    <t>Tai Khang</t>
  </si>
  <si>
    <t>C0207</t>
  </si>
  <si>
    <t>Tai</t>
  </si>
  <si>
    <t>Mendriq</t>
  </si>
  <si>
    <t>mnq</t>
  </si>
  <si>
    <t>Minriq</t>
  </si>
  <si>
    <t>Mintil</t>
  </si>
  <si>
    <t>mzt</t>
  </si>
  <si>
    <t>Orang Kanaq</t>
  </si>
  <si>
    <t>Derung</t>
  </si>
  <si>
    <t>duu</t>
  </si>
  <si>
    <t>Drung</t>
  </si>
  <si>
    <t>C0229</t>
  </si>
  <si>
    <t>Tibeto-Burman, other</t>
  </si>
  <si>
    <t>Brahmin Christian</t>
  </si>
  <si>
    <t>South Asia Forward Caste - Brahmin</t>
  </si>
  <si>
    <t>Changpa</t>
  </si>
  <si>
    <t>Buddhism</t>
  </si>
  <si>
    <t>Jatt (Hindu traditions)</t>
  </si>
  <si>
    <t>Lama</t>
  </si>
  <si>
    <t>Marija (Hindu traditions)</t>
  </si>
  <si>
    <t>Arta</t>
  </si>
  <si>
    <t>dgc</t>
  </si>
  <si>
    <t>Agta, Casiguran Dumagat</t>
  </si>
  <si>
    <t>Ayta, Sorsogon</t>
  </si>
  <si>
    <t>Jehai</t>
  </si>
  <si>
    <t>jhi</t>
  </si>
  <si>
    <t>Jew, Thai Speaking</t>
  </si>
  <si>
    <t>Lamet</t>
  </si>
  <si>
    <t>lbn</t>
  </si>
  <si>
    <t>Rmeet</t>
  </si>
  <si>
    <t>Lao Ti</t>
  </si>
  <si>
    <t>Nyeu</t>
  </si>
  <si>
    <t>Nyeu, Yeu</t>
  </si>
  <si>
    <t>nyl</t>
  </si>
  <si>
    <t>En</t>
  </si>
  <si>
    <t>enc</t>
  </si>
  <si>
    <t>Gelao, Red</t>
  </si>
  <si>
    <t>C0209</t>
  </si>
  <si>
    <t>Kadai</t>
  </si>
  <si>
    <t>Gelao, White</t>
  </si>
  <si>
    <t>giw</t>
  </si>
  <si>
    <t>Duoluo</t>
  </si>
  <si>
    <t>Thu Lao</t>
  </si>
  <si>
    <t>tyl</t>
  </si>
  <si>
    <t>Birjia</t>
  </si>
  <si>
    <t>Kamar</t>
  </si>
  <si>
    <t>Tirendaj</t>
  </si>
  <si>
    <t>Samre</t>
  </si>
  <si>
    <t>khm</t>
  </si>
  <si>
    <t>Khmer</t>
  </si>
  <si>
    <t>Bayono</t>
  </si>
  <si>
    <t>byl</t>
  </si>
  <si>
    <t>Dubu</t>
  </si>
  <si>
    <t>dmu</t>
  </si>
  <si>
    <t>Tebi</t>
  </si>
  <si>
    <t>Emplawas</t>
  </si>
  <si>
    <t>Erokwanas</t>
  </si>
  <si>
    <t>erw</t>
  </si>
  <si>
    <t>Kaptiau</t>
  </si>
  <si>
    <t>kbi</t>
  </si>
  <si>
    <t>Liki</t>
  </si>
  <si>
    <t>lio</t>
  </si>
  <si>
    <t>Momina</t>
  </si>
  <si>
    <t>mmb</t>
  </si>
  <si>
    <t>Morari</t>
  </si>
  <si>
    <t>Punan Merap</t>
  </si>
  <si>
    <t>puc</t>
  </si>
  <si>
    <t>Rasawa</t>
  </si>
  <si>
    <t>rac</t>
  </si>
  <si>
    <t>Senggi</t>
  </si>
  <si>
    <t>snu</t>
  </si>
  <si>
    <t>Viid</t>
  </si>
  <si>
    <t>Sowanda</t>
  </si>
  <si>
    <t>Sowanda, Wanja</t>
  </si>
  <si>
    <t>sow</t>
  </si>
  <si>
    <t>Taori-Kei, Kaiy</t>
  </si>
  <si>
    <t>Taurap</t>
  </si>
  <si>
    <t>Taurap, Burmeso</t>
  </si>
  <si>
    <t>bzu</t>
  </si>
  <si>
    <t>Burmeso</t>
  </si>
  <si>
    <t>Tofanma</t>
  </si>
  <si>
    <t>tlg</t>
  </si>
  <si>
    <t>Wares</t>
  </si>
  <si>
    <t>wai</t>
  </si>
  <si>
    <t>Wutung</t>
  </si>
  <si>
    <t>Wutung, Sangke</t>
  </si>
  <si>
    <t>wut</t>
  </si>
  <si>
    <t>Yafi</t>
  </si>
  <si>
    <t>Yafi, Jafi Wagarindem</t>
  </si>
  <si>
    <t>wfg</t>
  </si>
  <si>
    <t>Zorop</t>
  </si>
  <si>
    <t>Yarsun</t>
  </si>
  <si>
    <t>yrs</t>
  </si>
  <si>
    <t>Pouhoy</t>
  </si>
  <si>
    <t>C0171</t>
  </si>
  <si>
    <t>Southeast Asian, other</t>
  </si>
  <si>
    <t>Tai Doi</t>
  </si>
  <si>
    <t>tlq</t>
  </si>
  <si>
    <t>Tai Loi</t>
  </si>
  <si>
    <t>Dusun, Kuala Monsok</t>
  </si>
  <si>
    <t>dtp</t>
  </si>
  <si>
    <t>Kadazan Dusun</t>
  </si>
  <si>
    <t>Kensiu</t>
  </si>
  <si>
    <t>kns</t>
  </si>
  <si>
    <t>Ukit</t>
  </si>
  <si>
    <t>umi</t>
  </si>
  <si>
    <t>Bhabra (Hindu traditions)</t>
  </si>
  <si>
    <t>Jat Bajwa (Hindu traditions)</t>
  </si>
  <si>
    <t>Jat Bajwa</t>
  </si>
  <si>
    <t>South Asia Hindu - Jat</t>
  </si>
  <si>
    <t>Karal (Hindu traditions)</t>
  </si>
  <si>
    <t>Vedda</t>
  </si>
  <si>
    <t>ved</t>
  </si>
  <si>
    <t>Veddah</t>
  </si>
  <si>
    <t>Kuli</t>
  </si>
  <si>
    <t>Khaonh</t>
  </si>
  <si>
    <t>hkn</t>
  </si>
  <si>
    <t>Mel-Khaonh</t>
  </si>
  <si>
    <t>Anus</t>
  </si>
  <si>
    <t>auq</t>
  </si>
  <si>
    <t>As</t>
  </si>
  <si>
    <t>asz</t>
  </si>
  <si>
    <t>Baso</t>
  </si>
  <si>
    <t>bsa</t>
  </si>
  <si>
    <t>Abinomn</t>
  </si>
  <si>
    <t>Biga</t>
  </si>
  <si>
    <t>bhc</t>
  </si>
  <si>
    <t>Biksi</t>
  </si>
  <si>
    <t>yet</t>
  </si>
  <si>
    <t>Yetfa</t>
  </si>
  <si>
    <t>Biritai</t>
  </si>
  <si>
    <t>bqq</t>
  </si>
  <si>
    <t>Citak, Tamnin</t>
  </si>
  <si>
    <t>tml</t>
  </si>
  <si>
    <t>Citak, Tamnim</t>
  </si>
  <si>
    <t>Dao</t>
  </si>
  <si>
    <t>daz</t>
  </si>
  <si>
    <t>Fuau</t>
  </si>
  <si>
    <t>flh</t>
  </si>
  <si>
    <t>Foau</t>
  </si>
  <si>
    <t>Karas</t>
  </si>
  <si>
    <t>kgv</t>
  </si>
  <si>
    <t>Keder</t>
  </si>
  <si>
    <t>kdy</t>
  </si>
  <si>
    <t>Keijar</t>
  </si>
  <si>
    <t>Komyandaret</t>
  </si>
  <si>
    <t>kzv</t>
  </si>
  <si>
    <t>Kosare, Kosadle</t>
  </si>
  <si>
    <t>kiq</t>
  </si>
  <si>
    <t>Kosare</t>
  </si>
  <si>
    <t>Kwansu</t>
  </si>
  <si>
    <t>Meoswar</t>
  </si>
  <si>
    <t>mvx</t>
  </si>
  <si>
    <t>Molof</t>
  </si>
  <si>
    <t>msl</t>
  </si>
  <si>
    <t>Mombum</t>
  </si>
  <si>
    <t>mso</t>
  </si>
  <si>
    <t>Morwap</t>
  </si>
  <si>
    <t>mrf</t>
  </si>
  <si>
    <t>Elseng</t>
  </si>
  <si>
    <t>Nobuk</t>
  </si>
  <si>
    <t>xwr</t>
  </si>
  <si>
    <t>Kwerba Mamberamo</t>
  </si>
  <si>
    <t>Perai</t>
  </si>
  <si>
    <t>wet</t>
  </si>
  <si>
    <t>Sasawa</t>
  </si>
  <si>
    <t>kwe</t>
  </si>
  <si>
    <t>Kwerba</t>
  </si>
  <si>
    <t>Sause</t>
  </si>
  <si>
    <t>sao</t>
  </si>
  <si>
    <t>Saweru</t>
  </si>
  <si>
    <t>swr</t>
  </si>
  <si>
    <t>Taworta, Dabra</t>
  </si>
  <si>
    <t>tbp</t>
  </si>
  <si>
    <t>Diebroud</t>
  </si>
  <si>
    <t>Trimuris</t>
  </si>
  <si>
    <t>tip</t>
  </si>
  <si>
    <t>Warkay-Bipim</t>
  </si>
  <si>
    <t>bgv</t>
  </si>
  <si>
    <t>Wauyai</t>
  </si>
  <si>
    <t>wuy</t>
  </si>
  <si>
    <t>Chut-May</t>
  </si>
  <si>
    <t>Tahang</t>
  </si>
  <si>
    <t>Tai Sam</t>
  </si>
  <si>
    <t>Tayten</t>
  </si>
  <si>
    <t>lao</t>
  </si>
  <si>
    <t>Tchaho</t>
  </si>
  <si>
    <t>Beketan</t>
  </si>
  <si>
    <t>Beketan, Manketa</t>
  </si>
  <si>
    <t>bkn</t>
  </si>
  <si>
    <t>Bukitan</t>
  </si>
  <si>
    <t>Lanoh</t>
  </si>
  <si>
    <t>lnh</t>
  </si>
  <si>
    <t>Beda</t>
  </si>
  <si>
    <t>Akeu</t>
  </si>
  <si>
    <t>aeu</t>
  </si>
  <si>
    <t>Mlabri</t>
  </si>
  <si>
    <t>mra</t>
  </si>
  <si>
    <t>Brao</t>
  </si>
  <si>
    <t>brb</t>
  </si>
  <si>
    <t>Lave</t>
  </si>
  <si>
    <t>Laghuu</t>
  </si>
  <si>
    <t>lgh</t>
  </si>
  <si>
    <t>O-Du</t>
  </si>
  <si>
    <t>tyh</t>
  </si>
  <si>
    <t>O'du</t>
  </si>
  <si>
    <t>Pa Di</t>
  </si>
  <si>
    <t>pdi</t>
  </si>
  <si>
    <t>Tai Do</t>
  </si>
  <si>
    <t>tyj</t>
  </si>
  <si>
    <t>Tai Yo</t>
  </si>
  <si>
    <t>Tay Sa Pa</t>
  </si>
  <si>
    <t>tys</t>
  </si>
  <si>
    <t>Brahmin Bhat</t>
  </si>
  <si>
    <t>Khairwar</t>
  </si>
  <si>
    <t>Kunbi (Hindu traditions)</t>
  </si>
  <si>
    <t>South Asia Hindu - Kunbi</t>
  </si>
  <si>
    <t>Sa'och</t>
  </si>
  <si>
    <t>Auye</t>
  </si>
  <si>
    <t>auu</t>
  </si>
  <si>
    <t>Awbono</t>
  </si>
  <si>
    <t>awh</t>
  </si>
  <si>
    <t>Awyi</t>
  </si>
  <si>
    <t>auw</t>
  </si>
  <si>
    <t>Bagusa</t>
  </si>
  <si>
    <t>bqb</t>
  </si>
  <si>
    <t>Dabe</t>
  </si>
  <si>
    <t>dbe</t>
  </si>
  <si>
    <t>Huaulu</t>
  </si>
  <si>
    <t>hud</t>
  </si>
  <si>
    <t>Kirira</t>
  </si>
  <si>
    <t>kiy</t>
  </si>
  <si>
    <t>Kirikiri</t>
  </si>
  <si>
    <t>Taori-So</t>
  </si>
  <si>
    <t>Taori-So, Doutai</t>
  </si>
  <si>
    <t>tds</t>
  </si>
  <si>
    <t>Doutai</t>
  </si>
  <si>
    <t>Tause</t>
  </si>
  <si>
    <t>tad</t>
  </si>
  <si>
    <t>Tokuni</t>
  </si>
  <si>
    <t>opk</t>
  </si>
  <si>
    <t>Kopkaka</t>
  </si>
  <si>
    <t>Uruangnirin</t>
  </si>
  <si>
    <t>urn</t>
  </si>
  <si>
    <t>Yeretuar</t>
  </si>
  <si>
    <t>gop</t>
  </si>
  <si>
    <t>Phana</t>
  </si>
  <si>
    <t>phq</t>
  </si>
  <si>
    <t>Phana'</t>
  </si>
  <si>
    <t>C0089</t>
  </si>
  <si>
    <t>Hani</t>
  </si>
  <si>
    <t>Tai Gapong</t>
  </si>
  <si>
    <t>pht</t>
  </si>
  <si>
    <t>Phu Thai</t>
  </si>
  <si>
    <t>Tai Peung</t>
  </si>
  <si>
    <t>Che Wong</t>
  </si>
  <si>
    <t>Che Wong, Siwang</t>
  </si>
  <si>
    <t>cwg</t>
  </si>
  <si>
    <t>Cheq Wong</t>
  </si>
  <si>
    <t>Kanowit</t>
  </si>
  <si>
    <t>kxn</t>
  </si>
  <si>
    <t>Melanau, Kanowit-Tanjong</t>
  </si>
  <si>
    <t>Barua</t>
  </si>
  <si>
    <t>Barua, Maramagyi</t>
  </si>
  <si>
    <t>rki</t>
  </si>
  <si>
    <t>Rakhine</t>
  </si>
  <si>
    <t>South Asia Buddhist</t>
  </si>
  <si>
    <t>Chin, Paite</t>
  </si>
  <si>
    <t>pck</t>
  </si>
  <si>
    <t>Enn</t>
  </si>
  <si>
    <t>prk</t>
  </si>
  <si>
    <t>Wa, Parauk</t>
  </si>
  <si>
    <t>Nai (Christian traditions)</t>
  </si>
  <si>
    <t>South Asia Christian</t>
  </si>
  <si>
    <t>Tarkhan (Sikh traditions)</t>
  </si>
  <si>
    <t>Other / Small</t>
  </si>
  <si>
    <t>South Asia Sikh - other</t>
  </si>
  <si>
    <t>Agta, Mount Iraya</t>
  </si>
  <si>
    <t>Agta, Mt. Iraya</t>
  </si>
  <si>
    <t>atl</t>
  </si>
  <si>
    <t>Tau't Batu</t>
  </si>
  <si>
    <t>plc</t>
  </si>
  <si>
    <t>Palawano, Central</t>
  </si>
  <si>
    <t>Armenian</t>
  </si>
  <si>
    <t>hye</t>
  </si>
  <si>
    <t>C0021</t>
  </si>
  <si>
    <t>Kuravan (Christian traditions)</t>
  </si>
  <si>
    <t>tam</t>
  </si>
  <si>
    <t>Tamil</t>
  </si>
  <si>
    <t>Namassej (Hindu traditions)</t>
  </si>
  <si>
    <t>South Asia Dalit - Namassej</t>
  </si>
  <si>
    <t>Siviyar</t>
  </si>
  <si>
    <t>Dawei, Tavoyan</t>
  </si>
  <si>
    <t>tvn</t>
  </si>
  <si>
    <t>Tavoyan</t>
  </si>
  <si>
    <t>C0058</t>
  </si>
  <si>
    <t>Burmese</t>
  </si>
  <si>
    <t>Ugong</t>
  </si>
  <si>
    <t>ugo</t>
  </si>
  <si>
    <t>Bih</t>
  </si>
  <si>
    <t>rad</t>
  </si>
  <si>
    <t>Rade</t>
  </si>
  <si>
    <t>Romam</t>
  </si>
  <si>
    <t>rmx</t>
  </si>
  <si>
    <t>Brahmin Bhumihar</t>
  </si>
  <si>
    <t>Gorait</t>
  </si>
  <si>
    <t>Rautia</t>
  </si>
  <si>
    <t>sdr</t>
  </si>
  <si>
    <t>Sadri, Oraon</t>
  </si>
  <si>
    <t>Korean</t>
  </si>
  <si>
    <t>kor</t>
  </si>
  <si>
    <t>C0111</t>
  </si>
  <si>
    <t>Lundayeh, Lun Bawang</t>
  </si>
  <si>
    <t>lnd</t>
  </si>
  <si>
    <t>Lundayeh</t>
  </si>
  <si>
    <t>Bengoi, Isal</t>
  </si>
  <si>
    <t>bgy</t>
  </si>
  <si>
    <t>Benggoi</t>
  </si>
  <si>
    <t>Kaure</t>
  </si>
  <si>
    <t>bpp</t>
  </si>
  <si>
    <t>Kauwerawec</t>
  </si>
  <si>
    <t>xau</t>
  </si>
  <si>
    <t>Kauwera</t>
  </si>
  <si>
    <t>Kwinsu</t>
  </si>
  <si>
    <t>kuc</t>
  </si>
  <si>
    <t>Punan Keriau</t>
  </si>
  <si>
    <t>Punan Keriau, Kereho-Uheng</t>
  </si>
  <si>
    <t>xke</t>
  </si>
  <si>
    <t>Kereho</t>
  </si>
  <si>
    <t>Serili</t>
  </si>
  <si>
    <t>sve</t>
  </si>
  <si>
    <t>Sukubatong</t>
  </si>
  <si>
    <t>Sukubatong, Kimki</t>
  </si>
  <si>
    <t>sbt</t>
  </si>
  <si>
    <t>Kimki</t>
  </si>
  <si>
    <t>Wakde</t>
  </si>
  <si>
    <t>wkd</t>
  </si>
  <si>
    <t>Mo</t>
  </si>
  <si>
    <t>Aheu Luang</t>
  </si>
  <si>
    <t>thm</t>
  </si>
  <si>
    <t>Aheu</t>
  </si>
  <si>
    <t>mya</t>
  </si>
  <si>
    <t>Maleng</t>
  </si>
  <si>
    <t>pkt</t>
  </si>
  <si>
    <t>Taket</t>
  </si>
  <si>
    <t>Baha'i</t>
  </si>
  <si>
    <t>Jat Gahlot (Hindu traditions)</t>
  </si>
  <si>
    <t>Jat Gahlot</t>
  </si>
  <si>
    <t>Kaibartta</t>
  </si>
  <si>
    <t>Kutana</t>
  </si>
  <si>
    <t>Teli (Hindu traditions)</t>
  </si>
  <si>
    <t>South Asia Hindu - Teli</t>
  </si>
  <si>
    <t>Yadav Gola</t>
  </si>
  <si>
    <t>South Asia Hindu - Yadav</t>
  </si>
  <si>
    <t>Alta, Northern</t>
  </si>
  <si>
    <t>aqn</t>
  </si>
  <si>
    <t>Isneg, Dibagat-Kabugao</t>
  </si>
  <si>
    <t>isd</t>
  </si>
  <si>
    <t>Isnag</t>
  </si>
  <si>
    <t>Bharathar (Hindu traditions)</t>
  </si>
  <si>
    <t>Mahishya</t>
  </si>
  <si>
    <t>South Asia Hindu - Mahishya</t>
  </si>
  <si>
    <t>Huay</t>
  </si>
  <si>
    <t>Bania Rauniar</t>
  </si>
  <si>
    <t>South Asia Forward Caste - Bania</t>
  </si>
  <si>
    <t>Birhor</t>
  </si>
  <si>
    <t>Kalwar Sunri</t>
  </si>
  <si>
    <t>Mahanta</t>
  </si>
  <si>
    <t>Parsee</t>
  </si>
  <si>
    <t>prp</t>
  </si>
  <si>
    <t>Parsi</t>
  </si>
  <si>
    <t>Sardar (Hindu traditions)</t>
  </si>
  <si>
    <t>Sarki</t>
  </si>
  <si>
    <t>npi</t>
  </si>
  <si>
    <t>Nepali</t>
  </si>
  <si>
    <t>T'moan</t>
  </si>
  <si>
    <t>rka</t>
  </si>
  <si>
    <t>Kraol</t>
  </si>
  <si>
    <t>Portuguese</t>
  </si>
  <si>
    <t>por</t>
  </si>
  <si>
    <t>C0182</t>
  </si>
  <si>
    <t>Portuguese, European</t>
  </si>
  <si>
    <t>Baburiwa</t>
  </si>
  <si>
    <t>ert</t>
  </si>
  <si>
    <t>Eritai</t>
  </si>
  <si>
    <t>Betaf</t>
  </si>
  <si>
    <t>bfe</t>
  </si>
  <si>
    <t>Bukat</t>
  </si>
  <si>
    <t>bvk</t>
  </si>
  <si>
    <t>Demisa</t>
  </si>
  <si>
    <t>dei</t>
  </si>
  <si>
    <t>Imroing</t>
  </si>
  <si>
    <t>imr</t>
  </si>
  <si>
    <t>kzd</t>
  </si>
  <si>
    <t>Karey</t>
  </si>
  <si>
    <t>kyd</t>
  </si>
  <si>
    <t>Kayupulau</t>
  </si>
  <si>
    <t>kzu</t>
  </si>
  <si>
    <t>Onin</t>
  </si>
  <si>
    <t>Onin, Sepa</t>
  </si>
  <si>
    <t>oni</t>
  </si>
  <si>
    <t>Papasena</t>
  </si>
  <si>
    <t>pas</t>
  </si>
  <si>
    <t>Punan Aput</t>
  </si>
  <si>
    <t>pud</t>
  </si>
  <si>
    <t>Samarkena</t>
  </si>
  <si>
    <t>Samarkena, Tamaja</t>
  </si>
  <si>
    <t>tmj</t>
  </si>
  <si>
    <t>Samarokena</t>
  </si>
  <si>
    <t>Tunggare</t>
  </si>
  <si>
    <t>trt</t>
  </si>
  <si>
    <t>Yahadian</t>
  </si>
  <si>
    <t>Yahadian, Nerigo</t>
  </si>
  <si>
    <t>ner</t>
  </si>
  <si>
    <t>Yamna</t>
  </si>
  <si>
    <t>ymn</t>
  </si>
  <si>
    <t>Sunum</t>
  </si>
  <si>
    <t>Yaur</t>
  </si>
  <si>
    <t>jau</t>
  </si>
  <si>
    <t>hni</t>
  </si>
  <si>
    <t>Tai Laan</t>
  </si>
  <si>
    <t>Tamoy</t>
  </si>
  <si>
    <t>Tring</t>
  </si>
  <si>
    <t>tgq</t>
  </si>
  <si>
    <t>Chin, Bawm</t>
  </si>
  <si>
    <t>bgr</t>
  </si>
  <si>
    <t>Kawa, Vo</t>
  </si>
  <si>
    <t>wbm</t>
  </si>
  <si>
    <t>Wa, Vo</t>
  </si>
  <si>
    <t>Bawa Dedh</t>
  </si>
  <si>
    <t>Chinese, general</t>
  </si>
  <si>
    <t>Unknown</t>
  </si>
  <si>
    <t>C0065</t>
  </si>
  <si>
    <t>Chinese</t>
  </si>
  <si>
    <t>mal</t>
  </si>
  <si>
    <t>Malayalam</t>
  </si>
  <si>
    <t>Mangala</t>
  </si>
  <si>
    <t>tel</t>
  </si>
  <si>
    <t>Telugu</t>
  </si>
  <si>
    <t>Syrian Christian</t>
  </si>
  <si>
    <t>Velakkithalanayan</t>
  </si>
  <si>
    <t>Anglo-New Zealander</t>
  </si>
  <si>
    <t>C0012</t>
  </si>
  <si>
    <t>Anglo-Celt</t>
  </si>
  <si>
    <t>Bisu</t>
  </si>
  <si>
    <t>bzi</t>
  </si>
  <si>
    <t>Mok</t>
  </si>
  <si>
    <t>mqt</t>
  </si>
  <si>
    <t>Gurung</t>
  </si>
  <si>
    <t>gvr</t>
  </si>
  <si>
    <t>Kanjar (Hindu traditions)</t>
  </si>
  <si>
    <t>Koli (Hindu traditions)</t>
  </si>
  <si>
    <t>Tamang</t>
  </si>
  <si>
    <t>taj</t>
  </si>
  <si>
    <t>Tamang, Eastern</t>
  </si>
  <si>
    <t>Han Chinese, Hakka</t>
  </si>
  <si>
    <t>hak</t>
  </si>
  <si>
    <t>Chinese, Hakka</t>
  </si>
  <si>
    <t>Bonefa</t>
  </si>
  <si>
    <t>Bonefa, Nisa</t>
  </si>
  <si>
    <t>njs</t>
  </si>
  <si>
    <t>Nisa</t>
  </si>
  <si>
    <t>Kawe</t>
  </si>
  <si>
    <t>kgb</t>
  </si>
  <si>
    <t>Kelabit</t>
  </si>
  <si>
    <t>kzi</t>
  </si>
  <si>
    <t>Kenyah, Upper Baram</t>
  </si>
  <si>
    <t>xkl</t>
  </si>
  <si>
    <t>Kenyah, Mainstream</t>
  </si>
  <si>
    <t>Konda</t>
  </si>
  <si>
    <t>knd</t>
  </si>
  <si>
    <t>Lepki</t>
  </si>
  <si>
    <t>lpe</t>
  </si>
  <si>
    <t>Maden</t>
  </si>
  <si>
    <t>Maden, Sapran</t>
  </si>
  <si>
    <t>xmx</t>
  </si>
  <si>
    <t>Manem</t>
  </si>
  <si>
    <t>Manem, Jeti</t>
  </si>
  <si>
    <t>jet</t>
  </si>
  <si>
    <t>Ormu</t>
  </si>
  <si>
    <t>orz</t>
  </si>
  <si>
    <t>Tarpia</t>
  </si>
  <si>
    <t>tpf</t>
  </si>
  <si>
    <t>Tumawo</t>
  </si>
  <si>
    <t>Tumawo, Sko</t>
  </si>
  <si>
    <t>skv</t>
  </si>
  <si>
    <t>Skou</t>
  </si>
  <si>
    <t>Turu, Urundi</t>
  </si>
  <si>
    <t>tmu</t>
  </si>
  <si>
    <t>Iau</t>
  </si>
  <si>
    <t>Vitou</t>
  </si>
  <si>
    <t>vto</t>
  </si>
  <si>
    <t>Warembori</t>
  </si>
  <si>
    <t>wsa</t>
  </si>
  <si>
    <t>Yelmek</t>
  </si>
  <si>
    <t>Yelmek, Jab</t>
  </si>
  <si>
    <t>jel</t>
  </si>
  <si>
    <t>bru</t>
  </si>
  <si>
    <t>Bru, Eastern</t>
  </si>
  <si>
    <t>Chatong</t>
  </si>
  <si>
    <t>Nguon</t>
  </si>
  <si>
    <t>nuo</t>
  </si>
  <si>
    <t>Tai Khun</t>
  </si>
  <si>
    <t>kkh</t>
  </si>
  <si>
    <t>Khun</t>
  </si>
  <si>
    <t>Dusun, Segama</t>
  </si>
  <si>
    <t>dmg</t>
  </si>
  <si>
    <t>Kinabatangan, Upper</t>
  </si>
  <si>
    <t>Lahanan</t>
  </si>
  <si>
    <t>lhn</t>
  </si>
  <si>
    <t>Temoq</t>
  </si>
  <si>
    <t>Pyen</t>
  </si>
  <si>
    <t>pyy</t>
  </si>
  <si>
    <t>Anglo</t>
  </si>
  <si>
    <t>Bodh (Buddhist traditions)</t>
  </si>
  <si>
    <t>Chamar (Sikh traditions)</t>
  </si>
  <si>
    <t>South Asia Dalit - Chamar (Bhambi)</t>
  </si>
  <si>
    <t>Khati (Hindu traditions)</t>
  </si>
  <si>
    <t>Mali (Hindu traditions)</t>
  </si>
  <si>
    <t>South Asia Hindu - Mali</t>
  </si>
  <si>
    <t>Talavia</t>
  </si>
  <si>
    <t>Atta, Southern</t>
  </si>
  <si>
    <t>azt</t>
  </si>
  <si>
    <t>Atta, Faire</t>
  </si>
  <si>
    <t>Adi Andhra</t>
  </si>
  <si>
    <t>Banjara (Hindu traditions)</t>
  </si>
  <si>
    <t>hin</t>
  </si>
  <si>
    <t>Hindi</t>
  </si>
  <si>
    <t>Madappalli</t>
  </si>
  <si>
    <t>Pa-O</t>
  </si>
  <si>
    <t>blk</t>
  </si>
  <si>
    <t>Pa'o</t>
  </si>
  <si>
    <t>C0106</t>
  </si>
  <si>
    <t>Karen</t>
  </si>
  <si>
    <t>Tai Dam</t>
  </si>
  <si>
    <t>blt</t>
  </si>
  <si>
    <t>Qabiao, Pubiao</t>
  </si>
  <si>
    <t>Qabiao</t>
  </si>
  <si>
    <t>laq</t>
  </si>
  <si>
    <t>Sila</t>
  </si>
  <si>
    <t>slt</t>
  </si>
  <si>
    <t>Arleng</t>
  </si>
  <si>
    <t>mjw</t>
  </si>
  <si>
    <t>Karbi</t>
  </si>
  <si>
    <t>Bhuinhar</t>
  </si>
  <si>
    <t>Mallah Chain (Hindu traditions)</t>
  </si>
  <si>
    <t>Mech</t>
  </si>
  <si>
    <t>Bonggo</t>
  </si>
  <si>
    <t>Bonggo, Armopa</t>
  </si>
  <si>
    <t>bpg</t>
  </si>
  <si>
    <t>Kaibubu</t>
  </si>
  <si>
    <t>Kayan, Wahau</t>
  </si>
  <si>
    <t>whu</t>
  </si>
  <si>
    <t>Kotogut</t>
  </si>
  <si>
    <t>kvz</t>
  </si>
  <si>
    <t>Tsaukambo</t>
  </si>
  <si>
    <t>Masela, Central</t>
  </si>
  <si>
    <t>mxz</t>
  </si>
  <si>
    <t>Murut, Selungai</t>
  </si>
  <si>
    <t>slg</t>
  </si>
  <si>
    <t>Nabi</t>
  </si>
  <si>
    <t>nbn</t>
  </si>
  <si>
    <t>Kuri</t>
  </si>
  <si>
    <t>Nakai</t>
  </si>
  <si>
    <t>nkj</t>
  </si>
  <si>
    <t>Panasuan</t>
  </si>
  <si>
    <t>psn</t>
  </si>
  <si>
    <t>Sekar</t>
  </si>
  <si>
    <t>skz</t>
  </si>
  <si>
    <t>Vanimo</t>
  </si>
  <si>
    <t>vam</t>
  </si>
  <si>
    <t>Kanay</t>
  </si>
  <si>
    <t>pac</t>
  </si>
  <si>
    <t>Pacoh</t>
  </si>
  <si>
    <t>Kuan</t>
  </si>
  <si>
    <t>uan</t>
  </si>
  <si>
    <t>Sedang</t>
  </si>
  <si>
    <t>sed</t>
  </si>
  <si>
    <t>Sinabu</t>
  </si>
  <si>
    <t>Barwala (Hindu traditions)</t>
  </si>
  <si>
    <t>Gujar (Hindu traditions)</t>
  </si>
  <si>
    <t>Gujar</t>
  </si>
  <si>
    <t>Jat Gil (Hindu traditions)</t>
  </si>
  <si>
    <t>Jat Sidhu (Hindu traditions)</t>
  </si>
  <si>
    <t>Jew, South Asian</t>
  </si>
  <si>
    <t>Sansi (Hindu traditions)</t>
  </si>
  <si>
    <t>Agta, Kabaloan</t>
  </si>
  <si>
    <t>Kabulowan Dumagat</t>
  </si>
  <si>
    <t>agy</t>
  </si>
  <si>
    <t>Alta, Southern</t>
  </si>
  <si>
    <t>Arayan</t>
  </si>
  <si>
    <t>Lohar (Hindu traditions)</t>
  </si>
  <si>
    <t>Hung</t>
  </si>
  <si>
    <t>hnu</t>
  </si>
  <si>
    <t>Aguri</t>
  </si>
  <si>
    <t>Badaik</t>
  </si>
  <si>
    <t>Mallah Kewat (Hindu traditions)</t>
  </si>
  <si>
    <t>Rai</t>
  </si>
  <si>
    <t>Aiso, Kais</t>
  </si>
  <si>
    <t>kzm</t>
  </si>
  <si>
    <t>Kais</t>
  </si>
  <si>
    <t>Amber</t>
  </si>
  <si>
    <t>Amber, Waigeo</t>
  </si>
  <si>
    <t>wgo</t>
  </si>
  <si>
    <t>Ambel</t>
  </si>
  <si>
    <t>Busami</t>
  </si>
  <si>
    <t>bsm</t>
  </si>
  <si>
    <t>Dai</t>
  </si>
  <si>
    <t>dij</t>
  </si>
  <si>
    <t>Kaburi</t>
  </si>
  <si>
    <t>uka</t>
  </si>
  <si>
    <t>Masela, East</t>
  </si>
  <si>
    <t>vme</t>
  </si>
  <si>
    <t>Masela, West</t>
  </si>
  <si>
    <t>mss</t>
  </si>
  <si>
    <t>Mawes</t>
  </si>
  <si>
    <t>mgk</t>
  </si>
  <si>
    <t>Puragi</t>
  </si>
  <si>
    <t>pru</t>
  </si>
  <si>
    <t>Sedoa</t>
  </si>
  <si>
    <t>Sedoa, Tawaelia</t>
  </si>
  <si>
    <t>tvw</t>
  </si>
  <si>
    <t>Tanahmerah</t>
  </si>
  <si>
    <t>Tanahmerah, Sumeri</t>
  </si>
  <si>
    <t>tcm</t>
  </si>
  <si>
    <t>Murut, Serudung</t>
  </si>
  <si>
    <t>srk</t>
  </si>
  <si>
    <t>Semnam</t>
  </si>
  <si>
    <t>ssm</t>
  </si>
  <si>
    <t>Tringgus</t>
  </si>
  <si>
    <t>trx</t>
  </si>
  <si>
    <t>Bidayuh, Tringgus-Sembaan</t>
  </si>
  <si>
    <t>Chin, Tawr</t>
  </si>
  <si>
    <t>tcp</t>
  </si>
  <si>
    <t>Brahmin Audich</t>
  </si>
  <si>
    <t>Jat Sindhu (Hindu traditions)</t>
  </si>
  <si>
    <t>Yadav Gualbans (Hindu traditions)</t>
  </si>
  <si>
    <t>Atta, Pudtol</t>
  </si>
  <si>
    <t>atp</t>
  </si>
  <si>
    <t>Kadaiyan</t>
  </si>
  <si>
    <t>Thurumber</t>
  </si>
  <si>
    <t>Tai Ya</t>
  </si>
  <si>
    <t>cuu</t>
  </si>
  <si>
    <t>Arora (Sikh traditions)</t>
  </si>
  <si>
    <t>Bhuiya Ghatwar</t>
  </si>
  <si>
    <t>Bhunjia</t>
  </si>
  <si>
    <t>Gosain</t>
  </si>
  <si>
    <t>British</t>
  </si>
  <si>
    <t>Aikwakai</t>
  </si>
  <si>
    <t>Aikwakai, Sikaritai</t>
  </si>
  <si>
    <t>tty</t>
  </si>
  <si>
    <t>Sikaritai</t>
  </si>
  <si>
    <t>Mor, Mor Islands</t>
  </si>
  <si>
    <t>mhz</t>
  </si>
  <si>
    <t>Papuma</t>
  </si>
  <si>
    <t>ppm</t>
  </si>
  <si>
    <t>Sa'ban</t>
  </si>
  <si>
    <t>snv</t>
  </si>
  <si>
    <t>Taikat</t>
  </si>
  <si>
    <t>aos</t>
  </si>
  <si>
    <t>Tereweng</t>
  </si>
  <si>
    <t>twg</t>
  </si>
  <si>
    <t>Wano</t>
  </si>
  <si>
    <t>wno</t>
  </si>
  <si>
    <t>Kri</t>
  </si>
  <si>
    <t>Berawan, West</t>
  </si>
  <si>
    <t>zbw</t>
  </si>
  <si>
    <t>Kayaman</t>
  </si>
  <si>
    <t>kag</t>
  </si>
  <si>
    <t>Kajaman</t>
  </si>
  <si>
    <t>Chin, Kaang</t>
  </si>
  <si>
    <t>ckn</t>
  </si>
  <si>
    <t>Naga Lao</t>
  </si>
  <si>
    <t>nlq</t>
  </si>
  <si>
    <t>Naga, Lao</t>
  </si>
  <si>
    <t>Darzi (Hindu traditions)</t>
  </si>
  <si>
    <t>Gara</t>
  </si>
  <si>
    <t>Mahyavanshi</t>
  </si>
  <si>
    <t>Patelia</t>
  </si>
  <si>
    <t>Agta, Central Cagayan</t>
  </si>
  <si>
    <t>agt</t>
  </si>
  <si>
    <t>Agta, Isarog</t>
  </si>
  <si>
    <t>bcl</t>
  </si>
  <si>
    <t>Bikol, Central</t>
  </si>
  <si>
    <t>Ayta, Bataan</t>
  </si>
  <si>
    <t>ayt</t>
  </si>
  <si>
    <t>Ayta, Magbukun</t>
  </si>
  <si>
    <t>Han Chinese, Mandarin</t>
  </si>
  <si>
    <t>Non-Religious</t>
  </si>
  <si>
    <t>Batak, Toba</t>
  </si>
  <si>
    <t>bbc</t>
  </si>
  <si>
    <t>Batak Toba</t>
  </si>
  <si>
    <t>Koviyar</t>
  </si>
  <si>
    <t>Mukkuvan (Hindu traditions)</t>
  </si>
  <si>
    <t>Semman</t>
  </si>
  <si>
    <t>Semman, Sempadawar</t>
  </si>
  <si>
    <t>Asur</t>
  </si>
  <si>
    <t>Gandpal</t>
  </si>
  <si>
    <t>Kalal (Hindu traditions)</t>
  </si>
  <si>
    <t>Lohait Kuri</t>
  </si>
  <si>
    <t>Saora</t>
  </si>
  <si>
    <t>srb</t>
  </si>
  <si>
    <t>Sora</t>
  </si>
  <si>
    <t>Teli Gangauta (Hindu traditions)</t>
  </si>
  <si>
    <t>Sinhalese</t>
  </si>
  <si>
    <t>sin</t>
  </si>
  <si>
    <t>Sinhala</t>
  </si>
  <si>
    <t>Babar, North</t>
  </si>
  <si>
    <t>bcd</t>
  </si>
  <si>
    <t>Duvele</t>
  </si>
  <si>
    <t>duv</t>
  </si>
  <si>
    <t>Duvle</t>
  </si>
  <si>
    <t>Gilika</t>
  </si>
  <si>
    <t>kkl</t>
  </si>
  <si>
    <t>Yale, Kosarek</t>
  </si>
  <si>
    <t>Ketum</t>
  </si>
  <si>
    <t>ktt</t>
  </si>
  <si>
    <t>Lawi</t>
  </si>
  <si>
    <t>lvi</t>
  </si>
  <si>
    <t>Lavi</t>
  </si>
  <si>
    <t>Bateq</t>
  </si>
  <si>
    <t>btq</t>
  </si>
  <si>
    <t>Batek</t>
  </si>
  <si>
    <t>Batu Punan</t>
  </si>
  <si>
    <t>Berawan, East</t>
  </si>
  <si>
    <t>zbe</t>
  </si>
  <si>
    <t>Kenyah, Wahau</t>
  </si>
  <si>
    <t>whk</t>
  </si>
  <si>
    <t>Punan Bah-Biau</t>
  </si>
  <si>
    <t>pna</t>
  </si>
  <si>
    <t>Penan, Bah-Biau</t>
  </si>
  <si>
    <t>Sabum</t>
  </si>
  <si>
    <t>Chin, Thaiphum</t>
  </si>
  <si>
    <t>cth</t>
  </si>
  <si>
    <t>Naga Akyaung Ari</t>
  </si>
  <si>
    <t>nqy</t>
  </si>
  <si>
    <t>Naga, Akyaung Ari</t>
  </si>
  <si>
    <t>Mon</t>
  </si>
  <si>
    <t>Orang Seletar</t>
  </si>
  <si>
    <t>ors</t>
  </si>
  <si>
    <t>Hakki Pikki</t>
  </si>
  <si>
    <t>Vellidura</t>
  </si>
  <si>
    <t>Besya (Hindu traditions)</t>
  </si>
  <si>
    <t>Ghasiya (Hindu traditions)</t>
  </si>
  <si>
    <t>Kuki Chin Chinbon</t>
  </si>
  <si>
    <t>cnb</t>
  </si>
  <si>
    <t>Chin, Uppu</t>
  </si>
  <si>
    <t>South Asia Tribal - Kuki Chin</t>
  </si>
  <si>
    <t>Newah</t>
  </si>
  <si>
    <t>Rajput (Sikh traditions)</t>
  </si>
  <si>
    <t>Raute</t>
  </si>
  <si>
    <t>Asienara, Buruwai</t>
  </si>
  <si>
    <t xml:space="preserve">Asienara, Buruwai </t>
  </si>
  <si>
    <t>asi</t>
  </si>
  <si>
    <t>Buruwai</t>
  </si>
  <si>
    <t>Talondo</t>
  </si>
  <si>
    <t>tln</t>
  </si>
  <si>
    <t>Talondo'</t>
  </si>
  <si>
    <t>Bedar (Hindu traditions)</t>
  </si>
  <si>
    <t>Kharva (Hindu traditions)</t>
  </si>
  <si>
    <t>Mahtam (Hindu traditions)</t>
  </si>
  <si>
    <t>Bania Mahajan</t>
  </si>
  <si>
    <t>Kapu</t>
  </si>
  <si>
    <t>South Asia Hindu - Kapu</t>
  </si>
  <si>
    <t>Mantsi</t>
  </si>
  <si>
    <t>nty</t>
  </si>
  <si>
    <t>Na-Meo</t>
  </si>
  <si>
    <t>neo</t>
  </si>
  <si>
    <t>C0138</t>
  </si>
  <si>
    <t>Miao / Hmong</t>
  </si>
  <si>
    <t>Bania Bais</t>
  </si>
  <si>
    <t>Karenga</t>
  </si>
  <si>
    <t>Murasing</t>
  </si>
  <si>
    <t>aml</t>
  </si>
  <si>
    <t>War-Jaintia</t>
  </si>
  <si>
    <t>Asmat, Northern</t>
  </si>
  <si>
    <t>nks</t>
  </si>
  <si>
    <t>Asmat, North</t>
  </si>
  <si>
    <t>Damar, West</t>
  </si>
  <si>
    <t xml:space="preserve">Damar, West </t>
  </si>
  <si>
    <t>drn</t>
  </si>
  <si>
    <t>Gorap</t>
  </si>
  <si>
    <t>goq</t>
  </si>
  <si>
    <t>Munggui</t>
  </si>
  <si>
    <t>mth</t>
  </si>
  <si>
    <t>Semimi</t>
  </si>
  <si>
    <t>Semimi, Etna Bay</t>
  </si>
  <si>
    <t>etz</t>
  </si>
  <si>
    <t>Tela-Masbuar</t>
  </si>
  <si>
    <t>tvm</t>
  </si>
  <si>
    <t>Nung</t>
  </si>
  <si>
    <t>nut</t>
  </si>
  <si>
    <t>C0235</t>
  </si>
  <si>
    <t>Zhuang</t>
  </si>
  <si>
    <t>Poumong</t>
  </si>
  <si>
    <t>Dusun, Minokok</t>
  </si>
  <si>
    <t>mqq</t>
  </si>
  <si>
    <t>Minokok</t>
  </si>
  <si>
    <t>Samban</t>
  </si>
  <si>
    <t>Bulang</t>
  </si>
  <si>
    <t>blr</t>
  </si>
  <si>
    <t>Blang</t>
  </si>
  <si>
    <t>Mizo Lushai</t>
  </si>
  <si>
    <t>lus</t>
  </si>
  <si>
    <t>Mizo</t>
  </si>
  <si>
    <t>Airoran</t>
  </si>
  <si>
    <t>Airoran, Adora</t>
  </si>
  <si>
    <t>air</t>
  </si>
  <si>
    <t>Bonfia</t>
  </si>
  <si>
    <t>Bonfia, Masiwang</t>
  </si>
  <si>
    <t>Davelor</t>
  </si>
  <si>
    <t>ddw</t>
  </si>
  <si>
    <t>Dawera-Daweloor</t>
  </si>
  <si>
    <t>Fayu</t>
  </si>
  <si>
    <t>fau</t>
  </si>
  <si>
    <t>Ndom</t>
  </si>
  <si>
    <t>nqm</t>
  </si>
  <si>
    <t>Wanggom</t>
  </si>
  <si>
    <t>wng</t>
  </si>
  <si>
    <t>Waris</t>
  </si>
  <si>
    <t>wrs</t>
  </si>
  <si>
    <t>Welaun</t>
  </si>
  <si>
    <t>wlh</t>
  </si>
  <si>
    <t>Nu</t>
  </si>
  <si>
    <t>nuf</t>
  </si>
  <si>
    <t>Nusu</t>
  </si>
  <si>
    <t>Tarkhan (Hindu traditions)</t>
  </si>
  <si>
    <t>Aggay</t>
  </si>
  <si>
    <t>att</t>
  </si>
  <si>
    <t>Atta, Pamplona</t>
  </si>
  <si>
    <t>Tawbuid, Eastern</t>
  </si>
  <si>
    <t>bnj</t>
  </si>
  <si>
    <t>Bangon</t>
  </si>
  <si>
    <t>Malayan, caste</t>
  </si>
  <si>
    <t>Tondagattan</t>
  </si>
  <si>
    <t>Mpi</t>
  </si>
  <si>
    <t>mpz</t>
  </si>
  <si>
    <t>Kol</t>
  </si>
  <si>
    <t>Kuki Chin Lai</t>
  </si>
  <si>
    <t>cnh</t>
  </si>
  <si>
    <t>Chin, Hakha</t>
  </si>
  <si>
    <t>Magar</t>
  </si>
  <si>
    <t>Nepalese</t>
  </si>
  <si>
    <t>Nepalese, Gurkha</t>
  </si>
  <si>
    <t>Chong</t>
  </si>
  <si>
    <t>cog</t>
  </si>
  <si>
    <t>French</t>
  </si>
  <si>
    <t>fra</t>
  </si>
  <si>
    <t>C0076</t>
  </si>
  <si>
    <t>Suoy</t>
  </si>
  <si>
    <t>syo</t>
  </si>
  <si>
    <t>Su’ung</t>
  </si>
  <si>
    <t>Arandai</t>
  </si>
  <si>
    <t>Arandai, Jaban</t>
  </si>
  <si>
    <t>jbj</t>
  </si>
  <si>
    <t>Kamberataro</t>
  </si>
  <si>
    <t>Kamberataro, Dera</t>
  </si>
  <si>
    <t>kbv</t>
  </si>
  <si>
    <t>Dera</t>
  </si>
  <si>
    <t>Kaugat</t>
  </si>
  <si>
    <t>Kaugat, Atohwaim</t>
  </si>
  <si>
    <t>aqm</t>
  </si>
  <si>
    <t>Atohwaim</t>
  </si>
  <si>
    <t>Koneraw</t>
  </si>
  <si>
    <t>kdw</t>
  </si>
  <si>
    <t>Matbat</t>
  </si>
  <si>
    <t>xmt</t>
  </si>
  <si>
    <t>Punan Bungan</t>
  </si>
  <si>
    <t>Punan Bungan, Hovongan</t>
  </si>
  <si>
    <t>hov</t>
  </si>
  <si>
    <t>Hovongan</t>
  </si>
  <si>
    <t>Roon</t>
  </si>
  <si>
    <t>rnn</t>
  </si>
  <si>
    <t>Sempan</t>
  </si>
  <si>
    <t>xse</t>
  </si>
  <si>
    <t>Serui-Laut</t>
  </si>
  <si>
    <t>seu</t>
  </si>
  <si>
    <t>Kasseng</t>
  </si>
  <si>
    <t>tdf</t>
  </si>
  <si>
    <t>Talieng</t>
  </si>
  <si>
    <t>Kenyah, Tutoh, Lugat</t>
  </si>
  <si>
    <t>Kenyah, Tutoh</t>
  </si>
  <si>
    <t>ttw</t>
  </si>
  <si>
    <t>Long Wat</t>
  </si>
  <si>
    <t>Naga Para</t>
  </si>
  <si>
    <t>pzn</t>
  </si>
  <si>
    <t>Naga, Jejara</t>
  </si>
  <si>
    <t>Phun</t>
  </si>
  <si>
    <t>Phun, Hpon</t>
  </si>
  <si>
    <t>Bhansala</t>
  </si>
  <si>
    <t>Ghanchi (Hindu traditions)</t>
  </si>
  <si>
    <t>Ravalia</t>
  </si>
  <si>
    <t>Rigzong</t>
  </si>
  <si>
    <t>German</t>
  </si>
  <si>
    <t>deu</t>
  </si>
  <si>
    <t>German, Standard</t>
  </si>
  <si>
    <t>C0079</t>
  </si>
  <si>
    <t>Germanic</t>
  </si>
  <si>
    <t>Jat (Hindu traditions)</t>
  </si>
  <si>
    <t>pan</t>
  </si>
  <si>
    <t>Punjabi, Eastern</t>
  </si>
  <si>
    <t>Nyahkur</t>
  </si>
  <si>
    <t>cbn</t>
  </si>
  <si>
    <t>Ngai</t>
  </si>
  <si>
    <t>yue</t>
  </si>
  <si>
    <t>Chinese, Yue</t>
  </si>
  <si>
    <t>Dhanuk</t>
  </si>
  <si>
    <t>Khandait</t>
  </si>
  <si>
    <t>South Asia Forward Caste - other</t>
  </si>
  <si>
    <t>Kuki Chin Asho</t>
  </si>
  <si>
    <t>csh</t>
  </si>
  <si>
    <t>Chin, Asho</t>
  </si>
  <si>
    <t>South Asian, general</t>
  </si>
  <si>
    <t>Dem</t>
  </si>
  <si>
    <t>dem</t>
  </si>
  <si>
    <t>Demta</t>
  </si>
  <si>
    <t>dmy</t>
  </si>
  <si>
    <t>Sowari</t>
  </si>
  <si>
    <t>Dou, Edopi</t>
  </si>
  <si>
    <t>dbf</t>
  </si>
  <si>
    <t>Edopi</t>
  </si>
  <si>
    <t>Hamap</t>
  </si>
  <si>
    <t>hmu</t>
  </si>
  <si>
    <t>Moraid</t>
  </si>
  <si>
    <t>msg</t>
  </si>
  <si>
    <t>Berawan, Central</t>
  </si>
  <si>
    <t>zbc</t>
  </si>
  <si>
    <t>Ibatan, Babuyan Island</t>
  </si>
  <si>
    <t>ivb</t>
  </si>
  <si>
    <t>Ibatan</t>
  </si>
  <si>
    <t>Handi</t>
  </si>
  <si>
    <t>Radayo</t>
  </si>
  <si>
    <t>Bhat (Hindu traditions)</t>
  </si>
  <si>
    <t>Baham, Patimuni</t>
  </si>
  <si>
    <t>Kafoa</t>
  </si>
  <si>
    <t>kpu</t>
  </si>
  <si>
    <t>Kenyah, Western</t>
  </si>
  <si>
    <t>xky</t>
  </si>
  <si>
    <t>Uma' Lasan</t>
  </si>
  <si>
    <t>Nedebang</t>
  </si>
  <si>
    <t>nec</t>
  </si>
  <si>
    <t>Te'un</t>
  </si>
  <si>
    <t>Tugun</t>
  </si>
  <si>
    <t>tzn</t>
  </si>
  <si>
    <t>Hmong Bua</t>
  </si>
  <si>
    <t>cqd</t>
  </si>
  <si>
    <t>Miao, Chuanqiandian Cluster</t>
  </si>
  <si>
    <t>Tai Pao</t>
  </si>
  <si>
    <t>tpo</t>
  </si>
  <si>
    <t>Murut, Pandewan</t>
  </si>
  <si>
    <t>Jhinwar (Hindu traditions)</t>
  </si>
  <si>
    <t>Agta, Dupaninan</t>
  </si>
  <si>
    <t>duo</t>
  </si>
  <si>
    <t>Bania Porwal</t>
  </si>
  <si>
    <t>rwr</t>
  </si>
  <si>
    <t>Paravan (Hindu traditions)</t>
  </si>
  <si>
    <t>Asho Khyang</t>
  </si>
  <si>
    <t>Rajbhar</t>
  </si>
  <si>
    <t>Pear</t>
  </si>
  <si>
    <t>pcb</t>
  </si>
  <si>
    <t>Jahalatan</t>
  </si>
  <si>
    <t>jal</t>
  </si>
  <si>
    <t>Yalahatan</t>
  </si>
  <si>
    <t>Kenyah, Kelinyau</t>
  </si>
  <si>
    <t>Mekwei</t>
  </si>
  <si>
    <t>Mekwei, Menggwei</t>
  </si>
  <si>
    <t>msf</t>
  </si>
  <si>
    <t>Seget</t>
  </si>
  <si>
    <t>sbg</t>
  </si>
  <si>
    <t>Chak</t>
  </si>
  <si>
    <t>Chak, Thet</t>
  </si>
  <si>
    <t>ckh</t>
  </si>
  <si>
    <t>Jat (Sikh traditions)</t>
  </si>
  <si>
    <t>South Asia Sikh - Jat</t>
  </si>
  <si>
    <t>Bania Mahesri</t>
  </si>
  <si>
    <t>Divehi</t>
  </si>
  <si>
    <t>div</t>
  </si>
  <si>
    <t>Maldivian</t>
  </si>
  <si>
    <t>Konta Durayi</t>
  </si>
  <si>
    <t>Gelao, Green</t>
  </si>
  <si>
    <t>giq</t>
  </si>
  <si>
    <t>Brahmin Joshi</t>
  </si>
  <si>
    <t>Bru</t>
  </si>
  <si>
    <t>ria</t>
  </si>
  <si>
    <t>Riang</t>
  </si>
  <si>
    <t>Halam</t>
  </si>
  <si>
    <t>cfm</t>
  </si>
  <si>
    <t>Chin, Falam</t>
  </si>
  <si>
    <t>Valmiki, Balmiki Lal Begi  (Hindu traditions)</t>
  </si>
  <si>
    <t>South Asia Dalit - Valmiki</t>
  </si>
  <si>
    <t>Engganese</t>
  </si>
  <si>
    <t>eno</t>
  </si>
  <si>
    <t>Enggano</t>
  </si>
  <si>
    <t>Gerai</t>
  </si>
  <si>
    <t>gef</t>
  </si>
  <si>
    <t>Oirata</t>
  </si>
  <si>
    <t>oia</t>
  </si>
  <si>
    <t>Woi</t>
  </si>
  <si>
    <t>wbw</t>
  </si>
  <si>
    <t>Sekapan</t>
  </si>
  <si>
    <t>skp</t>
  </si>
  <si>
    <t>Agta, Pahanan</t>
  </si>
  <si>
    <t>apf</t>
  </si>
  <si>
    <t>Mishri</t>
  </si>
  <si>
    <t>Turaiha</t>
  </si>
  <si>
    <t>Kayan, Busang</t>
  </si>
  <si>
    <t>bfg</t>
  </si>
  <si>
    <t>Hahutan</t>
  </si>
  <si>
    <t>Hahutan, Iliun</t>
  </si>
  <si>
    <t>ilu</t>
  </si>
  <si>
    <t>Iliuun</t>
  </si>
  <si>
    <t>Kayan, Mahakam</t>
  </si>
  <si>
    <t>xay</t>
  </si>
  <si>
    <t>Kayan Mahakam</t>
  </si>
  <si>
    <t>Murut, Tagal</t>
  </si>
  <si>
    <t>mvv</t>
  </si>
  <si>
    <t>Murut, Tahol</t>
  </si>
  <si>
    <t>Nuaulu, South</t>
  </si>
  <si>
    <t>nxl</t>
  </si>
  <si>
    <t>Tai Long</t>
  </si>
  <si>
    <t>thi</t>
  </si>
  <si>
    <t>Dusun, Keningau</t>
  </si>
  <si>
    <t xml:space="preserve">Dusun, Keningau </t>
  </si>
  <si>
    <t>gnq</t>
  </si>
  <si>
    <t>Gana</t>
  </si>
  <si>
    <t>Kadazan, Klias River</t>
  </si>
  <si>
    <t>kqt</t>
  </si>
  <si>
    <t>Naga Long Phuri</t>
  </si>
  <si>
    <t>lpn</t>
  </si>
  <si>
    <t>Naga, Long Phuri</t>
  </si>
  <si>
    <t>Lao Ga</t>
  </si>
  <si>
    <t>Moken, Salon</t>
  </si>
  <si>
    <t>mwt</t>
  </si>
  <si>
    <t>Moken</t>
  </si>
  <si>
    <t>Bahelia (Hindu traditions)</t>
  </si>
  <si>
    <t>Bauzi</t>
  </si>
  <si>
    <t>bvz</t>
  </si>
  <si>
    <t>Iria</t>
  </si>
  <si>
    <t>irx</t>
  </si>
  <si>
    <t>Kamberau</t>
  </si>
  <si>
    <t>Riantana</t>
  </si>
  <si>
    <t>ran</t>
  </si>
  <si>
    <t>Yair</t>
  </si>
  <si>
    <t>yir</t>
  </si>
  <si>
    <t>Awyu, North</t>
  </si>
  <si>
    <t>Con</t>
  </si>
  <si>
    <t>cno</t>
  </si>
  <si>
    <t>Konyak</t>
  </si>
  <si>
    <t>nbe</t>
  </si>
  <si>
    <t>Naga, Konyak</t>
  </si>
  <si>
    <t>Ratagnon</t>
  </si>
  <si>
    <t>Bharathar (Christian traditions)</t>
  </si>
  <si>
    <t>Goanese</t>
  </si>
  <si>
    <t>knn</t>
  </si>
  <si>
    <t>Konkani</t>
  </si>
  <si>
    <t>Palliwilli</t>
  </si>
  <si>
    <t>Rajput (Hindu traditions)</t>
  </si>
  <si>
    <t>South Asia Forward Caste - Rajput</t>
  </si>
  <si>
    <t>Anglo-Australian</t>
  </si>
  <si>
    <t>Karen, Bghai</t>
  </si>
  <si>
    <t>bwe</t>
  </si>
  <si>
    <t>Karen, Bwe</t>
  </si>
  <si>
    <t>Bania Agarwal</t>
  </si>
  <si>
    <t>Khadala</t>
  </si>
  <si>
    <t>Korku</t>
  </si>
  <si>
    <t>English-Speaking, general</t>
  </si>
  <si>
    <t>C0239</t>
  </si>
  <si>
    <t>Caucasian Peoples, general</t>
  </si>
  <si>
    <t>Lao Phuan</t>
  </si>
  <si>
    <t>phu</t>
  </si>
  <si>
    <t>Phuan</t>
  </si>
  <si>
    <t>Murut, Okolod</t>
  </si>
  <si>
    <t>kqv</t>
  </si>
  <si>
    <t>Okolod</t>
  </si>
  <si>
    <t>Semoq Beri</t>
  </si>
  <si>
    <t>szc</t>
  </si>
  <si>
    <t>Semaq Beri</t>
  </si>
  <si>
    <t>Naga, Kokak</t>
  </si>
  <si>
    <t>nxk</t>
  </si>
  <si>
    <t>Karao</t>
  </si>
  <si>
    <t>kyj</t>
  </si>
  <si>
    <t>Manobo, Blit</t>
  </si>
  <si>
    <t>mta</t>
  </si>
  <si>
    <t>Manobo, Cotabato</t>
  </si>
  <si>
    <t>Japanese</t>
  </si>
  <si>
    <t>jpn</t>
  </si>
  <si>
    <t>C0099</t>
  </si>
  <si>
    <t>Lachi, White</t>
  </si>
  <si>
    <t>lwh</t>
  </si>
  <si>
    <t>Korwa</t>
  </si>
  <si>
    <t>Kuki Chin Yindi</t>
  </si>
  <si>
    <t>cnk</t>
  </si>
  <si>
    <t>Chin, Khumi</t>
  </si>
  <si>
    <t>Isirawa, Saberi</t>
  </si>
  <si>
    <t>Kemberano</t>
  </si>
  <si>
    <t>bzp</t>
  </si>
  <si>
    <t>Sobei</t>
  </si>
  <si>
    <t>Sobei, Biga</t>
  </si>
  <si>
    <t>sob</t>
  </si>
  <si>
    <t>Bit</t>
  </si>
  <si>
    <t>bgk</t>
  </si>
  <si>
    <t>Chepya</t>
  </si>
  <si>
    <t>ycp</t>
  </si>
  <si>
    <t>Thanakavar</t>
  </si>
  <si>
    <t>Coong</t>
  </si>
  <si>
    <t>cnc</t>
  </si>
  <si>
    <t>Hmong Shua, Sinicized</t>
  </si>
  <si>
    <t>hmz</t>
  </si>
  <si>
    <t>Sinicized Miao</t>
  </si>
  <si>
    <t>Kadar</t>
  </si>
  <si>
    <t>Emumu</t>
  </si>
  <si>
    <t>enr</t>
  </si>
  <si>
    <t>Emem</t>
  </si>
  <si>
    <t>Roma</t>
  </si>
  <si>
    <t>rmm</t>
  </si>
  <si>
    <t>Wabo</t>
  </si>
  <si>
    <t>Wabo, Woriasi</t>
  </si>
  <si>
    <t>wbb</t>
  </si>
  <si>
    <t>Tungara</t>
  </si>
  <si>
    <t>bnb</t>
  </si>
  <si>
    <t>Murut, Bookan</t>
  </si>
  <si>
    <t>Brahmin Sakaldwipi</t>
  </si>
  <si>
    <t>Gadaria (Hindu traditions)</t>
  </si>
  <si>
    <t>Inanwatan</t>
  </si>
  <si>
    <t>Inanwatan, Suabo</t>
  </si>
  <si>
    <t>szp</t>
  </si>
  <si>
    <t>Suabo</t>
  </si>
  <si>
    <t>Somahai</t>
  </si>
  <si>
    <t>mqf</t>
  </si>
  <si>
    <t>Momuna</t>
  </si>
  <si>
    <t>Garo, Kimaragang</t>
  </si>
  <si>
    <t>grm</t>
  </si>
  <si>
    <t>Kota Marudu Talantang</t>
  </si>
  <si>
    <t>Doai</t>
  </si>
  <si>
    <t>Kayan, Mendalam</t>
  </si>
  <si>
    <t>xkd</t>
  </si>
  <si>
    <t>Kui, Kui-Kramang</t>
  </si>
  <si>
    <t>kvd</t>
  </si>
  <si>
    <t>Kui</t>
  </si>
  <si>
    <t>Marau</t>
  </si>
  <si>
    <t>mvr</t>
  </si>
  <si>
    <t>Uria</t>
  </si>
  <si>
    <t>Uria, Warpu</t>
  </si>
  <si>
    <t>ury</t>
  </si>
  <si>
    <t>Orya</t>
  </si>
  <si>
    <t>Poussang</t>
  </si>
  <si>
    <t>Chin, Bualkhaw</t>
  </si>
  <si>
    <t>cbl</t>
  </si>
  <si>
    <t>Kalinga, Madukayang</t>
  </si>
  <si>
    <t>kmd</t>
  </si>
  <si>
    <t>Kalinga, Majukayang</t>
  </si>
  <si>
    <t>Biswas (Hindu traditions)</t>
  </si>
  <si>
    <t>Brahmin Acharaj</t>
  </si>
  <si>
    <t>Land Dayak</t>
  </si>
  <si>
    <t>Kayan, Padaung</t>
  </si>
  <si>
    <t>pdu</t>
  </si>
  <si>
    <t>Kayan</t>
  </si>
  <si>
    <t>Awyu, Jair</t>
  </si>
  <si>
    <t>awv</t>
  </si>
  <si>
    <t>Bapu</t>
  </si>
  <si>
    <t>bpo</t>
  </si>
  <si>
    <t>Anasi</t>
  </si>
  <si>
    <t>Nila</t>
  </si>
  <si>
    <t>Kota Marudu Tinagas</t>
  </si>
  <si>
    <t>Murut, Sembakung</t>
  </si>
  <si>
    <t>sbr</t>
  </si>
  <si>
    <t>Alangan</t>
  </si>
  <si>
    <t>alj</t>
  </si>
  <si>
    <t>Baiga</t>
  </si>
  <si>
    <t>Karmali</t>
  </si>
  <si>
    <t>Parhaiya</t>
  </si>
  <si>
    <t>Asmat, Yaosakor</t>
  </si>
  <si>
    <t>asy</t>
  </si>
  <si>
    <t>Lindu</t>
  </si>
  <si>
    <t>klw</t>
  </si>
  <si>
    <t>Tado</t>
  </si>
  <si>
    <t>Serua</t>
  </si>
  <si>
    <t>Wanam, Kosarek</t>
  </si>
  <si>
    <t>Lakiput</t>
  </si>
  <si>
    <t>kyi</t>
  </si>
  <si>
    <t>Kiput</t>
  </si>
  <si>
    <t>Murik Kayan</t>
  </si>
  <si>
    <t>mxr</t>
  </si>
  <si>
    <t>Murik</t>
  </si>
  <si>
    <t>Naga Makuri</t>
  </si>
  <si>
    <t>jmn</t>
  </si>
  <si>
    <t>Naga, Makuri</t>
  </si>
  <si>
    <t>Bontoc, Southwestern</t>
  </si>
  <si>
    <t>vbk</t>
  </si>
  <si>
    <t>Bontok, Southwestern</t>
  </si>
  <si>
    <t>Valluvan</t>
  </si>
  <si>
    <t>Vettar</t>
  </si>
  <si>
    <t>Kalwar (Hindu traditions)</t>
  </si>
  <si>
    <t>E-de, Rade</t>
  </si>
  <si>
    <t>Habu</t>
  </si>
  <si>
    <t>hbu</t>
  </si>
  <si>
    <t>Habun</t>
  </si>
  <si>
    <t>Adang</t>
  </si>
  <si>
    <t>adn</t>
  </si>
  <si>
    <t>Kurudu</t>
  </si>
  <si>
    <t>kjr</t>
  </si>
  <si>
    <t>Loloda</t>
  </si>
  <si>
    <t>lau</t>
  </si>
  <si>
    <t>Laba</t>
  </si>
  <si>
    <t>Yei</t>
  </si>
  <si>
    <t>jei</t>
  </si>
  <si>
    <t>Halang Doan</t>
  </si>
  <si>
    <t>hld</t>
  </si>
  <si>
    <t>Dayak Tidung</t>
  </si>
  <si>
    <t>Tidung, Southern</t>
  </si>
  <si>
    <t>itd</t>
  </si>
  <si>
    <t>Meo (Hindu traditions)</t>
  </si>
  <si>
    <t>Thacher</t>
  </si>
  <si>
    <t>Urak Lawoi</t>
  </si>
  <si>
    <t>urk</t>
  </si>
  <si>
    <t>Urak Lawoi'</t>
  </si>
  <si>
    <t>Kawar</t>
  </si>
  <si>
    <t>Kwesten</t>
  </si>
  <si>
    <t>kwt</t>
  </si>
  <si>
    <t>Pom</t>
  </si>
  <si>
    <t>pmo</t>
  </si>
  <si>
    <t>Sou</t>
  </si>
  <si>
    <t>sqq</t>
  </si>
  <si>
    <t>Tai Kaleun</t>
  </si>
  <si>
    <t>tts</t>
  </si>
  <si>
    <t>Thai, Northeastern</t>
  </si>
  <si>
    <t>Murut, Kalabakan</t>
  </si>
  <si>
    <t>kve</t>
  </si>
  <si>
    <t>Ayta, Ambala</t>
  </si>
  <si>
    <t>abc</t>
  </si>
  <si>
    <t>Lahu Nyi</t>
  </si>
  <si>
    <t>lhu</t>
  </si>
  <si>
    <t>Lahu</t>
  </si>
  <si>
    <t>Nafri</t>
  </si>
  <si>
    <t>nxx</t>
  </si>
  <si>
    <t>Bontoc, Southern</t>
  </si>
  <si>
    <t>obk</t>
  </si>
  <si>
    <t>Bontok, Southern</t>
  </si>
  <si>
    <t>Eskayan</t>
  </si>
  <si>
    <t>ceb</t>
  </si>
  <si>
    <t>Cebuano</t>
  </si>
  <si>
    <t>Kasar (Hindu traditions)</t>
  </si>
  <si>
    <t>Sali</t>
  </si>
  <si>
    <t>Sali, Seriyar</t>
  </si>
  <si>
    <t>Silpi</t>
  </si>
  <si>
    <t>Mel</t>
  </si>
  <si>
    <t>Bantik</t>
  </si>
  <si>
    <t>bnq</t>
  </si>
  <si>
    <t>Kwerba, Airmati</t>
  </si>
  <si>
    <t>Nusa Laut</t>
  </si>
  <si>
    <t>Seluwasan</t>
  </si>
  <si>
    <t>sws</t>
  </si>
  <si>
    <t>Tugutil</t>
  </si>
  <si>
    <t>Tugutil, Teluk Lili</t>
  </si>
  <si>
    <t>tuj</t>
  </si>
  <si>
    <t>Wae Rana</t>
  </si>
  <si>
    <t>wrx</t>
  </si>
  <si>
    <t>Samtao</t>
  </si>
  <si>
    <t>stu</t>
  </si>
  <si>
    <t>Dhobi (Hindu traditions)</t>
  </si>
  <si>
    <t>Barapasi</t>
  </si>
  <si>
    <t>brp</t>
  </si>
  <si>
    <t>Madole</t>
  </si>
  <si>
    <t>mqo</t>
  </si>
  <si>
    <t>Modole</t>
  </si>
  <si>
    <t>Seko Tengah</t>
  </si>
  <si>
    <t>Seko Tengah, Pewanean</t>
  </si>
  <si>
    <t>sko</t>
  </si>
  <si>
    <t>Agta, Mount Iriga</t>
  </si>
  <si>
    <t>Agta, Mt. Iriga</t>
  </si>
  <si>
    <t>agz</t>
  </si>
  <si>
    <t>Tadyawan</t>
  </si>
  <si>
    <t>tdy</t>
  </si>
  <si>
    <t>Kayan, Kayan River</t>
  </si>
  <si>
    <t>xkn</t>
  </si>
  <si>
    <t>Nipsan</t>
  </si>
  <si>
    <t>nps</t>
  </si>
  <si>
    <t>Segai</t>
  </si>
  <si>
    <t>sge</t>
  </si>
  <si>
    <t>Lahu Shi</t>
  </si>
  <si>
    <t>lhi</t>
  </si>
  <si>
    <t>Agta, Remontado</t>
  </si>
  <si>
    <t>agv</t>
  </si>
  <si>
    <t>Dumagat, Remontado</t>
  </si>
  <si>
    <t>Negrito, Palawan Batak</t>
  </si>
  <si>
    <t>bya</t>
  </si>
  <si>
    <t>Batak</t>
  </si>
  <si>
    <t>Vannan (Christian traditions)</t>
  </si>
  <si>
    <t>Puoc, Xinh Mun</t>
  </si>
  <si>
    <t>Puoc</t>
  </si>
  <si>
    <t>puo</t>
  </si>
  <si>
    <t>Roglai, Cacgia</t>
  </si>
  <si>
    <t xml:space="preserve">Roglai, Cacgia </t>
  </si>
  <si>
    <t>roc</t>
  </si>
  <si>
    <t>Pan</t>
  </si>
  <si>
    <t>Marind, Bian</t>
  </si>
  <si>
    <t>bpv</t>
  </si>
  <si>
    <t>Punan Tubu</t>
  </si>
  <si>
    <t>puj</t>
  </si>
  <si>
    <t>Umalung</t>
  </si>
  <si>
    <t>ulu</t>
  </si>
  <si>
    <t>Uma' Lung</t>
  </si>
  <si>
    <t>Lahu Phu</t>
  </si>
  <si>
    <t>Baria (Hindu traditions)</t>
  </si>
  <si>
    <t>Gamit</t>
  </si>
  <si>
    <t>Kisan</t>
  </si>
  <si>
    <t>Kusiari</t>
  </si>
  <si>
    <t>Lakalei</t>
  </si>
  <si>
    <t>lka</t>
  </si>
  <si>
    <t>Wemale, South</t>
  </si>
  <si>
    <t xml:space="preserve">Wemale, South </t>
  </si>
  <si>
    <t>weo</t>
  </si>
  <si>
    <t>Wemale</t>
  </si>
  <si>
    <t>Mauritian</t>
  </si>
  <si>
    <t>mfe</t>
  </si>
  <si>
    <t>Morisyen</t>
  </si>
  <si>
    <t>Alu</t>
  </si>
  <si>
    <t>nos</t>
  </si>
  <si>
    <t>Nisu, Eastern</t>
  </si>
  <si>
    <t>Pankhu</t>
  </si>
  <si>
    <t>Pankhu, Panko</t>
  </si>
  <si>
    <t>pkh</t>
  </si>
  <si>
    <t>Pangkhua</t>
  </si>
  <si>
    <t>Saek</t>
  </si>
  <si>
    <t>skb</t>
  </si>
  <si>
    <t>Brahmin Utkal</t>
  </si>
  <si>
    <t>Gresi</t>
  </si>
  <si>
    <t>grs</t>
  </si>
  <si>
    <t>Kemtuik</t>
  </si>
  <si>
    <t>kmt</t>
  </si>
  <si>
    <t>Bo</t>
  </si>
  <si>
    <t>bgl</t>
  </si>
  <si>
    <t>Tai He</t>
  </si>
  <si>
    <t>Mah Meri, Besisi</t>
  </si>
  <si>
    <t>mhe</t>
  </si>
  <si>
    <t>Mah Meri</t>
  </si>
  <si>
    <t>Tagbanwa, Central</t>
  </si>
  <si>
    <t>cyo</t>
  </si>
  <si>
    <t>Cuyonon</t>
  </si>
  <si>
    <t>Kuravan (Hindu traditions)</t>
  </si>
  <si>
    <t>Nair</t>
  </si>
  <si>
    <t>South Asia Forward Caste - Nair</t>
  </si>
  <si>
    <t>Kaco</t>
  </si>
  <si>
    <t>Kaco, Kachok</t>
  </si>
  <si>
    <t>xkk</t>
  </si>
  <si>
    <t>Kaco'</t>
  </si>
  <si>
    <t>Kimyal, Korapun</t>
  </si>
  <si>
    <t>kpq</t>
  </si>
  <si>
    <t>Korupun-Sela</t>
  </si>
  <si>
    <t>Sawila</t>
  </si>
  <si>
    <t>swt</t>
  </si>
  <si>
    <t>Dumpas</t>
  </si>
  <si>
    <t>dmv</t>
  </si>
  <si>
    <t>Penan-Nibong</t>
  </si>
  <si>
    <t>pne</t>
  </si>
  <si>
    <t>Penan, Western</t>
  </si>
  <si>
    <t>Tampias Lobu</t>
  </si>
  <si>
    <t>low</t>
  </si>
  <si>
    <t>Lobu, Tampias</t>
  </si>
  <si>
    <t>Thai, Southern</t>
  </si>
  <si>
    <t>sou</t>
  </si>
  <si>
    <t>Thai, Tak Bai</t>
  </si>
  <si>
    <t>Nai (Hindu traditions)</t>
  </si>
  <si>
    <t>South Asia Hindu - Nai</t>
  </si>
  <si>
    <t>Mang</t>
  </si>
  <si>
    <t>zng</t>
  </si>
  <si>
    <t>Sahariya</t>
  </si>
  <si>
    <t>Abun</t>
  </si>
  <si>
    <t>Abun, Karon Pantai</t>
  </si>
  <si>
    <t>kgr</t>
  </si>
  <si>
    <t>Damar, East</t>
  </si>
  <si>
    <t xml:space="preserve">Damar, East </t>
  </si>
  <si>
    <t>dmr</t>
  </si>
  <si>
    <t>Bania Khatri</t>
  </si>
  <si>
    <t>Kalabra</t>
  </si>
  <si>
    <t>kzz</t>
  </si>
  <si>
    <t>Korowai</t>
  </si>
  <si>
    <t>khe</t>
  </si>
  <si>
    <t>Pagu</t>
  </si>
  <si>
    <t>pgu</t>
  </si>
  <si>
    <t>Varli</t>
  </si>
  <si>
    <t>Katua</t>
  </si>
  <si>
    <t>kta</t>
  </si>
  <si>
    <t>Miao, Hua</t>
  </si>
  <si>
    <t>Paku</t>
  </si>
  <si>
    <t>pku</t>
  </si>
  <si>
    <t>Wemale, North</t>
  </si>
  <si>
    <t>Khua</t>
  </si>
  <si>
    <t>xhv</t>
  </si>
  <si>
    <t>Muak Sa-aak</t>
  </si>
  <si>
    <t>ukk</t>
  </si>
  <si>
    <t>Agta, Camarines Norte</t>
  </si>
  <si>
    <t>abd</t>
  </si>
  <si>
    <t>Manide</t>
  </si>
  <si>
    <t>Moklen</t>
  </si>
  <si>
    <t>mkm</t>
  </si>
  <si>
    <t>Chero</t>
  </si>
  <si>
    <t>Mairasi</t>
  </si>
  <si>
    <t>Mairasi, Faranyao</t>
  </si>
  <si>
    <t>zrs</t>
  </si>
  <si>
    <t>Jah Hut</t>
  </si>
  <si>
    <t>Jah Hut, Cheres</t>
  </si>
  <si>
    <t>jah</t>
  </si>
  <si>
    <t>Karen, Mobwa</t>
  </si>
  <si>
    <t>jkm</t>
  </si>
  <si>
    <t>Naga Makyan</t>
  </si>
  <si>
    <t>umn</t>
  </si>
  <si>
    <t>Naga, Paungnyuan</t>
  </si>
  <si>
    <t>Pulayan</t>
  </si>
  <si>
    <t>Bania Subarna Banik</t>
  </si>
  <si>
    <t>Lamalera</t>
  </si>
  <si>
    <t>lmr</t>
  </si>
  <si>
    <t>Lamatuka</t>
  </si>
  <si>
    <t>lmq</t>
  </si>
  <si>
    <t>Levuka</t>
  </si>
  <si>
    <t>lvu</t>
  </si>
  <si>
    <t>Lewo Eleng</t>
  </si>
  <si>
    <t>lwe</t>
  </si>
  <si>
    <t>Liana</t>
  </si>
  <si>
    <t>ste</t>
  </si>
  <si>
    <t>Liana-Seti</t>
  </si>
  <si>
    <t>Tewa, Lebang</t>
  </si>
  <si>
    <t>twe</t>
  </si>
  <si>
    <t>Teiwa</t>
  </si>
  <si>
    <t>Chik Baraik</t>
  </si>
  <si>
    <t>Penihing</t>
  </si>
  <si>
    <t>Penihing, Aoheng</t>
  </si>
  <si>
    <t>pni</t>
  </si>
  <si>
    <t>Aoheng</t>
  </si>
  <si>
    <t>Kiorr</t>
  </si>
  <si>
    <t>xko</t>
  </si>
  <si>
    <t>Millikin</t>
  </si>
  <si>
    <t>lkj</t>
  </si>
  <si>
    <t>Remun</t>
  </si>
  <si>
    <t>Naga Tangkhul</t>
  </si>
  <si>
    <t>ntx</t>
  </si>
  <si>
    <t>Naga, Tangkhul</t>
  </si>
  <si>
    <t>Filipinos, Spanish-Speaking</t>
  </si>
  <si>
    <t>spa</t>
  </si>
  <si>
    <t>Spanish</t>
  </si>
  <si>
    <t>Itneg, Banaos</t>
  </si>
  <si>
    <t>bjx</t>
  </si>
  <si>
    <t>Itneg, Banao</t>
  </si>
  <si>
    <t>Iwaak</t>
  </si>
  <si>
    <t>iwk</t>
  </si>
  <si>
    <t>I-Wak</t>
  </si>
  <si>
    <t>Chakkiliyan (Christian traditions)</t>
  </si>
  <si>
    <t>Pasi (Hindu traditions)</t>
  </si>
  <si>
    <t>Aghu</t>
  </si>
  <si>
    <t>ahh</t>
  </si>
  <si>
    <t>Eipomek</t>
  </si>
  <si>
    <t>eip</t>
  </si>
  <si>
    <t>Lik</t>
  </si>
  <si>
    <t>Kimaghima</t>
  </si>
  <si>
    <t>kig</t>
  </si>
  <si>
    <t>Siagha-Yenimu</t>
  </si>
  <si>
    <t>Siagha-Yenimu, Oser</t>
  </si>
  <si>
    <t>awy</t>
  </si>
  <si>
    <t>Awyu, Edera</t>
  </si>
  <si>
    <t>Waioli</t>
  </si>
  <si>
    <t>wli</t>
  </si>
  <si>
    <t>Wambon</t>
  </si>
  <si>
    <t>wms</t>
  </si>
  <si>
    <t>Sonsogon</t>
  </si>
  <si>
    <t>kqr</t>
  </si>
  <si>
    <t>Kimaragang</t>
  </si>
  <si>
    <t>Dahur (Hindu traditions)</t>
  </si>
  <si>
    <t>Agta, Umiray</t>
  </si>
  <si>
    <t>due</t>
  </si>
  <si>
    <t>Agta, Umiray Dumaget</t>
  </si>
  <si>
    <t>Sauria Paharia</t>
  </si>
  <si>
    <t>Kado</t>
  </si>
  <si>
    <t>ktp</t>
  </si>
  <si>
    <t>Kaduo</t>
  </si>
  <si>
    <t>Kui Lung</t>
  </si>
  <si>
    <t>Mahratta</t>
  </si>
  <si>
    <t>South Asia Hindu - Mahratta</t>
  </si>
  <si>
    <t>Mal</t>
  </si>
  <si>
    <t>mlf</t>
  </si>
  <si>
    <t>Bhar</t>
  </si>
  <si>
    <t>Kaora</t>
  </si>
  <si>
    <t>Kolana-Wersin</t>
  </si>
  <si>
    <t>Kolana-Wersin, Alorese</t>
  </si>
  <si>
    <t>kvw</t>
  </si>
  <si>
    <t>Wersing</t>
  </si>
  <si>
    <t>Sara</t>
  </si>
  <si>
    <t>sre</t>
  </si>
  <si>
    <t>Bakati', Sara</t>
  </si>
  <si>
    <t>Sawuy</t>
  </si>
  <si>
    <t>saw</t>
  </si>
  <si>
    <t>Sawi</t>
  </si>
  <si>
    <t>Chin, Anu-Hkongso</t>
  </si>
  <si>
    <t>anl</t>
  </si>
  <si>
    <t>Kaman</t>
  </si>
  <si>
    <t>Lisu, Black</t>
  </si>
  <si>
    <t>lis</t>
  </si>
  <si>
    <t>Lisu</t>
  </si>
  <si>
    <t>C0118</t>
  </si>
  <si>
    <t>Rathawa</t>
  </si>
  <si>
    <t>Panan</t>
  </si>
  <si>
    <t>Panar</t>
  </si>
  <si>
    <t>Dusadh Bahelia</t>
  </si>
  <si>
    <t>South Asia Dalit - Dusadh</t>
  </si>
  <si>
    <t>Kui Khond</t>
  </si>
  <si>
    <t>Kui, Kuvi Khond</t>
  </si>
  <si>
    <t>kxv</t>
  </si>
  <si>
    <t>Kuvi</t>
  </si>
  <si>
    <t>Somray</t>
  </si>
  <si>
    <t>smu</t>
  </si>
  <si>
    <t>Muyu, South</t>
  </si>
  <si>
    <t>kts</t>
  </si>
  <si>
    <t>Naga Ponyo-Gongwang</t>
  </si>
  <si>
    <t>npg</t>
  </si>
  <si>
    <t>Naga, Ponyo-Gongwang</t>
  </si>
  <si>
    <t>Ma'ya</t>
  </si>
  <si>
    <t>Ma'ya, Salawati</t>
  </si>
  <si>
    <t>slz</t>
  </si>
  <si>
    <t>Bonggi</t>
  </si>
  <si>
    <t>bdg</t>
  </si>
  <si>
    <t>Lanas Lobu</t>
  </si>
  <si>
    <t>ruu</t>
  </si>
  <si>
    <t>Lobu, Lanas</t>
  </si>
  <si>
    <t>Gonrhi</t>
  </si>
  <si>
    <t>Jamatia</t>
  </si>
  <si>
    <t>Pnar</t>
  </si>
  <si>
    <t>pbv</t>
  </si>
  <si>
    <t>Rayeen (Hindu traditions)</t>
  </si>
  <si>
    <t>Han Chinese, Min Nan</t>
  </si>
  <si>
    <t>nan</t>
  </si>
  <si>
    <t>Chinese, Min Nan</t>
  </si>
  <si>
    <t>Burusu</t>
  </si>
  <si>
    <t>bqr</t>
  </si>
  <si>
    <t>Hupla</t>
  </si>
  <si>
    <t>hap</t>
  </si>
  <si>
    <t>Sapuan</t>
  </si>
  <si>
    <t>spu</t>
  </si>
  <si>
    <t>Khatri (Hindu traditions)</t>
  </si>
  <si>
    <t>Hanomoreyo</t>
  </si>
  <si>
    <t>Babar, Southeast</t>
  </si>
  <si>
    <t>vbb</t>
  </si>
  <si>
    <t>Kabola</t>
  </si>
  <si>
    <t>Kabola, Pintumbang</t>
  </si>
  <si>
    <t>klz</t>
  </si>
  <si>
    <t xml:space="preserve">Kayan, Busang </t>
  </si>
  <si>
    <t>Ponasakan</t>
  </si>
  <si>
    <t>pns</t>
  </si>
  <si>
    <t>Ponosakan</t>
  </si>
  <si>
    <t>Broq-Pa</t>
  </si>
  <si>
    <t>Khami</t>
  </si>
  <si>
    <t>Dusun Malang</t>
  </si>
  <si>
    <t>duq</t>
  </si>
  <si>
    <t>Kokoda</t>
  </si>
  <si>
    <t>Kokoda, Samalek</t>
  </si>
  <si>
    <t>xod</t>
  </si>
  <si>
    <t>Nggem</t>
  </si>
  <si>
    <t>nbq</t>
  </si>
  <si>
    <t>Rawngtu</t>
  </si>
  <si>
    <t>weu</t>
  </si>
  <si>
    <t>Chin, Rawngtu</t>
  </si>
  <si>
    <t>Thakkar</t>
  </si>
  <si>
    <t>Binjhia</t>
  </si>
  <si>
    <t>Brahmin Saraswat</t>
  </si>
  <si>
    <t>Nimboran</t>
  </si>
  <si>
    <t>nir</t>
  </si>
  <si>
    <t>Tamagario</t>
  </si>
  <si>
    <t>Tamagario, Buru</t>
  </si>
  <si>
    <t>tcg</t>
  </si>
  <si>
    <t>Tepera</t>
  </si>
  <si>
    <t>Tepera, Tanahmerah</t>
  </si>
  <si>
    <t>tnm</t>
  </si>
  <si>
    <t>Tabla</t>
  </si>
  <si>
    <t>Pala</t>
  </si>
  <si>
    <t>ahk</t>
  </si>
  <si>
    <t>Akha</t>
  </si>
  <si>
    <t>Kaera</t>
  </si>
  <si>
    <t>jka</t>
  </si>
  <si>
    <t>Rembong</t>
  </si>
  <si>
    <t>reb</t>
  </si>
  <si>
    <t>Khmer Keh</t>
  </si>
  <si>
    <t>Adabe</t>
  </si>
  <si>
    <t>adb</t>
  </si>
  <si>
    <t>Atauran</t>
  </si>
  <si>
    <t>Kelong</t>
  </si>
  <si>
    <t>Kelong, Panggar</t>
  </si>
  <si>
    <t>kyo</t>
  </si>
  <si>
    <t>Klon</t>
  </si>
  <si>
    <t>Tattar</t>
  </si>
  <si>
    <t>Balinese</t>
  </si>
  <si>
    <t>ban</t>
  </si>
  <si>
    <t>Bali</t>
  </si>
  <si>
    <t>Gond</t>
  </si>
  <si>
    <t>gno</t>
  </si>
  <si>
    <t>Gondi, Northern</t>
  </si>
  <si>
    <t>South Asia Tribal - Gond</t>
  </si>
  <si>
    <t>Goliath</t>
  </si>
  <si>
    <t>Goliath, Oranje-Gebergte</t>
  </si>
  <si>
    <t>mtg</t>
  </si>
  <si>
    <t>Una</t>
  </si>
  <si>
    <t>Kombai</t>
  </si>
  <si>
    <t>tyn</t>
  </si>
  <si>
    <t>Ekai</t>
  </si>
  <si>
    <t>cey</t>
  </si>
  <si>
    <t>Chin, Ekai</t>
  </si>
  <si>
    <t>Ayta, Abellen</t>
  </si>
  <si>
    <t>abp</t>
  </si>
  <si>
    <t>Itneg, Adasen Tinguian</t>
  </si>
  <si>
    <t>tiu</t>
  </si>
  <si>
    <t>Adasen</t>
  </si>
  <si>
    <t>Mandaya, Karaga</t>
  </si>
  <si>
    <t>mry</t>
  </si>
  <si>
    <t>Mandaya</t>
  </si>
  <si>
    <t>Ir</t>
  </si>
  <si>
    <t>irr</t>
  </si>
  <si>
    <t>Tai Lue</t>
  </si>
  <si>
    <t>khb</t>
  </si>
  <si>
    <t>Lu</t>
  </si>
  <si>
    <t>Lewotobi</t>
  </si>
  <si>
    <t>lwt</t>
  </si>
  <si>
    <t>Halang</t>
  </si>
  <si>
    <t>hal</t>
  </si>
  <si>
    <t>Tibetan</t>
  </si>
  <si>
    <t>C0216</t>
  </si>
  <si>
    <t>Bania Chetti</t>
  </si>
  <si>
    <t>Kumhar (Hindu traditions)</t>
  </si>
  <si>
    <t>South Asia Hindu - Kumhar</t>
  </si>
  <si>
    <t>Sonar (Hindu traditions)</t>
  </si>
  <si>
    <t>South Asia Hindu - Sonar</t>
  </si>
  <si>
    <t>Sri Lanka Chetti</t>
  </si>
  <si>
    <t>Palaung, Pale</t>
  </si>
  <si>
    <t>pce</t>
  </si>
  <si>
    <t>Palaung, Ruching</t>
  </si>
  <si>
    <t>Baiti</t>
  </si>
  <si>
    <t>Koiri (Hindu traditions)</t>
  </si>
  <si>
    <t>Dobel</t>
  </si>
  <si>
    <t>Dobel, Kobroor</t>
  </si>
  <si>
    <t>kvo</t>
  </si>
  <si>
    <t>Dusun Witu</t>
  </si>
  <si>
    <t>duw</t>
  </si>
  <si>
    <t>Kamarian</t>
  </si>
  <si>
    <t>Laha, Central Ambonese</t>
  </si>
  <si>
    <t>lhh</t>
  </si>
  <si>
    <t>Laha</t>
  </si>
  <si>
    <t>Ndaonese</t>
  </si>
  <si>
    <t>nfa</t>
  </si>
  <si>
    <t>Dhao</t>
  </si>
  <si>
    <t>Karen, Pwo Rachaburi</t>
  </si>
  <si>
    <t>kjt</t>
  </si>
  <si>
    <t>Karen, Phrae Pwo</t>
  </si>
  <si>
    <t>Land Dayak, Bekati</t>
  </si>
  <si>
    <t>bei</t>
  </si>
  <si>
    <t>Bakati'</t>
  </si>
  <si>
    <t>Morop, Iwur</t>
  </si>
  <si>
    <t>iwo</t>
  </si>
  <si>
    <t>Morop</t>
  </si>
  <si>
    <t>Brahmin Barna</t>
  </si>
  <si>
    <t>Brahmin Kanaujia</t>
  </si>
  <si>
    <t>Gain</t>
  </si>
  <si>
    <t>Irahutu</t>
  </si>
  <si>
    <t>irh</t>
  </si>
  <si>
    <t>Irarutu</t>
  </si>
  <si>
    <t>Lanten</t>
  </si>
  <si>
    <t>C0232</t>
  </si>
  <si>
    <t>Yao-Mien</t>
  </si>
  <si>
    <t>Gante</t>
  </si>
  <si>
    <t>gnb</t>
  </si>
  <si>
    <t>Gangte</t>
  </si>
  <si>
    <t>Tai Bueng</t>
  </si>
  <si>
    <t>Monom</t>
  </si>
  <si>
    <t>moo</t>
  </si>
  <si>
    <t>Takua</t>
  </si>
  <si>
    <t>tkz</t>
  </si>
  <si>
    <t>Todrah</t>
  </si>
  <si>
    <t>tdr</t>
  </si>
  <si>
    <t>Moi, Mosana</t>
  </si>
  <si>
    <t>mxn</t>
  </si>
  <si>
    <t>Moi</t>
  </si>
  <si>
    <t>Brahmin Vaidik</t>
  </si>
  <si>
    <t>Woisika</t>
  </si>
  <si>
    <t>Woisika, Kamang</t>
  </si>
  <si>
    <t>woi</t>
  </si>
  <si>
    <t>Kamang</t>
  </si>
  <si>
    <t>Karen, Paku</t>
  </si>
  <si>
    <t>jkp</t>
  </si>
  <si>
    <t>Vaddar (Hindu traditions)</t>
  </si>
  <si>
    <t>odk</t>
  </si>
  <si>
    <t>Oadki</t>
  </si>
  <si>
    <t>Bintanna</t>
  </si>
  <si>
    <t>Pallan (Christian traditions)</t>
  </si>
  <si>
    <t>Korapun-Sela</t>
  </si>
  <si>
    <t>Tanglapui</t>
  </si>
  <si>
    <t>tpg</t>
  </si>
  <si>
    <t>Kula</t>
  </si>
  <si>
    <t>Tarangan, East</t>
  </si>
  <si>
    <t>tre</t>
  </si>
  <si>
    <t>Badhai (Hindu traditions)</t>
  </si>
  <si>
    <t>South Asia Hindu - Badhai</t>
  </si>
  <si>
    <t>Brahmin</t>
  </si>
  <si>
    <t>Couratto</t>
  </si>
  <si>
    <t>Bania Gandha Banik</t>
  </si>
  <si>
    <t>Nai Nabasakh</t>
  </si>
  <si>
    <t>Kim Mun</t>
  </si>
  <si>
    <t>mji</t>
  </si>
  <si>
    <t>Wa</t>
  </si>
  <si>
    <t>Lua</t>
  </si>
  <si>
    <t>Brahmin Maithili</t>
  </si>
  <si>
    <t>Kuki Chin</t>
  </si>
  <si>
    <t>Devipujak Vaghri (Hindu traditions)</t>
  </si>
  <si>
    <t>Manobo, Umayamnon</t>
  </si>
  <si>
    <t>msm</t>
  </si>
  <si>
    <t>Manobo, Agusan</t>
  </si>
  <si>
    <t>Viswakarma</t>
  </si>
  <si>
    <t>South Asia Hindu - Viswakarma</t>
  </si>
  <si>
    <t>Wandamen</t>
  </si>
  <si>
    <t>Wandamen, Bentoeni</t>
  </si>
  <si>
    <t>wad</t>
  </si>
  <si>
    <t>Giay</t>
  </si>
  <si>
    <t>pcc</t>
  </si>
  <si>
    <t>Bouyei</t>
  </si>
  <si>
    <t>C0054</t>
  </si>
  <si>
    <t>Manobo, Talaandig</t>
  </si>
  <si>
    <t>mbb</t>
  </si>
  <si>
    <t>Manobo, Western Bukidnon</t>
  </si>
  <si>
    <t>Yadav (Hindu traditions)</t>
  </si>
  <si>
    <t>Dulia</t>
  </si>
  <si>
    <t>Wodani</t>
  </si>
  <si>
    <t>wod</t>
  </si>
  <si>
    <t>Wolani</t>
  </si>
  <si>
    <t>Semelai</t>
  </si>
  <si>
    <t>sza</t>
  </si>
  <si>
    <t>Ansus</t>
  </si>
  <si>
    <t>and</t>
  </si>
  <si>
    <t>Han Chinese, Cantonese</t>
  </si>
  <si>
    <t>Beginci</t>
  </si>
  <si>
    <t>ebc</t>
  </si>
  <si>
    <t>Vaiphei</t>
  </si>
  <si>
    <t>vap</t>
  </si>
  <si>
    <t>Bontoc, Eastern</t>
  </si>
  <si>
    <t>ebk</t>
  </si>
  <si>
    <t>Bontok, Eastern</t>
  </si>
  <si>
    <t>Mandala (Hindu traditions)</t>
  </si>
  <si>
    <t>Baheng</t>
  </si>
  <si>
    <t>Pathen, Baheng</t>
  </si>
  <si>
    <t>pha</t>
  </si>
  <si>
    <t>Pa-Hng</t>
  </si>
  <si>
    <t>Mizo Bawm</t>
  </si>
  <si>
    <t>Makalero</t>
  </si>
  <si>
    <t>mjb</t>
  </si>
  <si>
    <t>Yali, Pass Valley</t>
  </si>
  <si>
    <t>yac</t>
  </si>
  <si>
    <t>Seko Padang</t>
  </si>
  <si>
    <t>Seko Padang, Wono</t>
  </si>
  <si>
    <t>skx</t>
  </si>
  <si>
    <t>Subanen, Eastern</t>
  </si>
  <si>
    <t>sfe</t>
  </si>
  <si>
    <t>Yoy</t>
  </si>
  <si>
    <t>yoy</t>
  </si>
  <si>
    <t>Kucong</t>
  </si>
  <si>
    <t>lkc</t>
  </si>
  <si>
    <t>Karon Dori</t>
  </si>
  <si>
    <t>Karon Dori, Meon</t>
  </si>
  <si>
    <t>kgw</t>
  </si>
  <si>
    <t>Ngalik, South</t>
  </si>
  <si>
    <t xml:space="preserve">Ngalik, South </t>
  </si>
  <si>
    <t>wul</t>
  </si>
  <si>
    <t>Silimo</t>
  </si>
  <si>
    <t>Demala Gattara</t>
  </si>
  <si>
    <t>Lembata, South</t>
  </si>
  <si>
    <t>lmf</t>
  </si>
  <si>
    <t>Rejang Kayan</t>
  </si>
  <si>
    <t>Rejang Kayan, Lisum</t>
  </si>
  <si>
    <t>ree</t>
  </si>
  <si>
    <t>Kayan, Rejang</t>
  </si>
  <si>
    <t>Chin, Songlai</t>
  </si>
  <si>
    <t>csj</t>
  </si>
  <si>
    <t>Americans, U.S.</t>
  </si>
  <si>
    <t>A009</t>
  </si>
  <si>
    <t>North American Peoples</t>
  </si>
  <si>
    <t>C0011</t>
  </si>
  <si>
    <t>Anglo-American</t>
  </si>
  <si>
    <t>Osta (Nasuva)</t>
  </si>
  <si>
    <t>Kravet</t>
  </si>
  <si>
    <t>krv</t>
  </si>
  <si>
    <t>Kavet</t>
  </si>
  <si>
    <t>Stieng, Bulo</t>
  </si>
  <si>
    <t>sti</t>
  </si>
  <si>
    <t>Kurima</t>
  </si>
  <si>
    <t>dni</t>
  </si>
  <si>
    <t>Dani, Lower Grand Valley</t>
  </si>
  <si>
    <t>Pisa</t>
  </si>
  <si>
    <t>Pisa, Awyu</t>
  </si>
  <si>
    <t>psa</t>
  </si>
  <si>
    <t>Awyu, Asue</t>
  </si>
  <si>
    <t>Ga'dang</t>
  </si>
  <si>
    <t>Ga'dang, Baliwon</t>
  </si>
  <si>
    <t>gdg</t>
  </si>
  <si>
    <t>Han Chinese, Hainanese</t>
  </si>
  <si>
    <t>Bhoi (Hindu traditions)</t>
  </si>
  <si>
    <t>South Asia Hindu - Bhoi</t>
  </si>
  <si>
    <t>Han Chinese, Min Dong</t>
  </si>
  <si>
    <t>cdo</t>
  </si>
  <si>
    <t>Chinese, Min Dong</t>
  </si>
  <si>
    <t>Napu</t>
  </si>
  <si>
    <t>npy</t>
  </si>
  <si>
    <t>Ngada, Eastern</t>
  </si>
  <si>
    <t>nea</t>
  </si>
  <si>
    <t>Ngad'a, Eastern</t>
  </si>
  <si>
    <t>Lawa, Eastern</t>
  </si>
  <si>
    <t>lwl</t>
  </si>
  <si>
    <t>Mori, Padoe</t>
  </si>
  <si>
    <t>pdo</t>
  </si>
  <si>
    <t>Padoe</t>
  </si>
  <si>
    <t>Mahara</t>
  </si>
  <si>
    <t>Agamudaiyan Nattaman</t>
  </si>
  <si>
    <t>Patial</t>
  </si>
  <si>
    <t>Naga Leinong</t>
  </si>
  <si>
    <t>lzn</t>
  </si>
  <si>
    <t>Naga, Lainong</t>
  </si>
  <si>
    <t>Beldar (Hindu traditions)</t>
  </si>
  <si>
    <t>Thai, Isan</t>
  </si>
  <si>
    <t>Marakkalage</t>
  </si>
  <si>
    <t>Pidayne Danno</t>
  </si>
  <si>
    <t>Tai Wang</t>
  </si>
  <si>
    <t>nod</t>
  </si>
  <si>
    <t>Thai, Northern</t>
  </si>
  <si>
    <t>Halwai Maira</t>
  </si>
  <si>
    <t>Iha</t>
  </si>
  <si>
    <t>Iha, Kapaur</t>
  </si>
  <si>
    <t>ihp</t>
  </si>
  <si>
    <t>Tarangan, West</t>
  </si>
  <si>
    <t>txn</t>
  </si>
  <si>
    <t>Jeng</t>
  </si>
  <si>
    <t>oyb</t>
  </si>
  <si>
    <t>Oy</t>
  </si>
  <si>
    <t>Khlor</t>
  </si>
  <si>
    <t>ngt</t>
  </si>
  <si>
    <t>Kriang</t>
  </si>
  <si>
    <t>Ngae</t>
  </si>
  <si>
    <t>Lawa, Western</t>
  </si>
  <si>
    <t>lcp</t>
  </si>
  <si>
    <t>Dela-Oenale</t>
  </si>
  <si>
    <t>row</t>
  </si>
  <si>
    <t>Karen, Eastern Kayah</t>
  </si>
  <si>
    <t>eky</t>
  </si>
  <si>
    <t>Kayah, Eastern</t>
  </si>
  <si>
    <t>Khampti</t>
  </si>
  <si>
    <t>Khampti, Khamti Shan</t>
  </si>
  <si>
    <t>kht</t>
  </si>
  <si>
    <t>Khamti</t>
  </si>
  <si>
    <t>Nadar (Christian traditions)</t>
  </si>
  <si>
    <t>Lachi</t>
  </si>
  <si>
    <t>lbt</t>
  </si>
  <si>
    <t>Bilba</t>
  </si>
  <si>
    <t>bpz</t>
  </si>
  <si>
    <t>lha</t>
  </si>
  <si>
    <t>Dai (Hindu traditions)</t>
  </si>
  <si>
    <t>Kharwar</t>
  </si>
  <si>
    <t>Kulawi</t>
  </si>
  <si>
    <t>Kulawi, Moma</t>
  </si>
  <si>
    <t>myl</t>
  </si>
  <si>
    <t>Moma</t>
  </si>
  <si>
    <t>Taliabo-Mangei</t>
  </si>
  <si>
    <t>tlv</t>
  </si>
  <si>
    <t>Taliabu</t>
  </si>
  <si>
    <t>Nyahon</t>
  </si>
  <si>
    <t>nev</t>
  </si>
  <si>
    <t>Nyaheun</t>
  </si>
  <si>
    <t>Negrito, Mamanwa</t>
  </si>
  <si>
    <t>mmn</t>
  </si>
  <si>
    <t>Mamanwa</t>
  </si>
  <si>
    <t>Idayan</t>
  </si>
  <si>
    <t>Lahu Aga</t>
  </si>
  <si>
    <t>Hrangkhol</t>
  </si>
  <si>
    <t>hra</t>
  </si>
  <si>
    <t>Karen, Yinbaw</t>
  </si>
  <si>
    <t>kvu</t>
  </si>
  <si>
    <t>Yinbaw</t>
  </si>
  <si>
    <t>Bind</t>
  </si>
  <si>
    <t>Lembata, West</t>
  </si>
  <si>
    <t>lmj</t>
  </si>
  <si>
    <t>Sebuyau</t>
  </si>
  <si>
    <t>snb</t>
  </si>
  <si>
    <t>Sri Lankan Tamil</t>
  </si>
  <si>
    <t>Chasadhobi</t>
  </si>
  <si>
    <t>Arora (Hindu traditions)</t>
  </si>
  <si>
    <t>Pod</t>
  </si>
  <si>
    <t>Rajwar</t>
  </si>
  <si>
    <t>Han Chinese, Min Bei</t>
  </si>
  <si>
    <t>mnp</t>
  </si>
  <si>
    <t>Chinese, Min Bei</t>
  </si>
  <si>
    <t>Murut, Keningau</t>
  </si>
  <si>
    <t>kxi</t>
  </si>
  <si>
    <t>Manobo, Pulangiyen</t>
  </si>
  <si>
    <t>Pundari</t>
  </si>
  <si>
    <t>Awyu, Nohon</t>
  </si>
  <si>
    <t>awu</t>
  </si>
  <si>
    <t>Awyu, Central</t>
  </si>
  <si>
    <t>Indian Tamil</t>
  </si>
  <si>
    <t>Tamil (Hindu traditions)</t>
  </si>
  <si>
    <t>Waropen</t>
  </si>
  <si>
    <t>Waropen, Wonti</t>
  </si>
  <si>
    <t>wrp</t>
  </si>
  <si>
    <t>Chamar (Hindu traditions)</t>
  </si>
  <si>
    <t>Tawbuid, Western</t>
  </si>
  <si>
    <t>twb</t>
  </si>
  <si>
    <t>Tawbuid</t>
  </si>
  <si>
    <t>Valmiki, Balmiki (Hindu traditions)</t>
  </si>
  <si>
    <t>Bauri</t>
  </si>
  <si>
    <t>Musahar (Hindu traditions)</t>
  </si>
  <si>
    <t>Uchai</t>
  </si>
  <si>
    <t>trp</t>
  </si>
  <si>
    <t>Kok Borok</t>
  </si>
  <si>
    <t>Amberbaken</t>
  </si>
  <si>
    <t>Amberbaken, Dekwambre</t>
  </si>
  <si>
    <t>akc</t>
  </si>
  <si>
    <t>Mpur</t>
  </si>
  <si>
    <t>Dusun, Kwijau</t>
  </si>
  <si>
    <t>Dusan, Kwijau</t>
  </si>
  <si>
    <t>dkr</t>
  </si>
  <si>
    <t>Kuijau</t>
  </si>
  <si>
    <t>Kohin</t>
  </si>
  <si>
    <t>kkx</t>
  </si>
  <si>
    <t>Muyu, North</t>
  </si>
  <si>
    <t>kti</t>
  </si>
  <si>
    <t>Selaru</t>
  </si>
  <si>
    <t>slu</t>
  </si>
  <si>
    <t>Tabulahan</t>
  </si>
  <si>
    <t>Wokam</t>
  </si>
  <si>
    <t>Wokam, Wamar</t>
  </si>
  <si>
    <t>woo</t>
  </si>
  <si>
    <t>Manombai</t>
  </si>
  <si>
    <t>Thae</t>
  </si>
  <si>
    <t>Jagoi-Bisingai</t>
  </si>
  <si>
    <t>sne</t>
  </si>
  <si>
    <t>Bidayuh, Bau</t>
  </si>
  <si>
    <t>Murut, Timogun</t>
  </si>
  <si>
    <t>tih</t>
  </si>
  <si>
    <t>Murut, Timugon</t>
  </si>
  <si>
    <t>Kanan</t>
  </si>
  <si>
    <t>zkn</t>
  </si>
  <si>
    <t>Naga Kyan-Karyaw</t>
  </si>
  <si>
    <t>nqq</t>
  </si>
  <si>
    <t>Naga, Chen-Kayu</t>
  </si>
  <si>
    <t>Itneg, Binongan</t>
  </si>
  <si>
    <t>Itneg, Binongan Tinguian</t>
  </si>
  <si>
    <t>itb</t>
  </si>
  <si>
    <t>Itneg, Masadiit</t>
  </si>
  <si>
    <t>tis</t>
  </si>
  <si>
    <t>Ilavan Christian</t>
  </si>
  <si>
    <t>Kachari Dimasa</t>
  </si>
  <si>
    <t>dis</t>
  </si>
  <si>
    <t>Dimasa</t>
  </si>
  <si>
    <t>Kharia</t>
  </si>
  <si>
    <t>Kori</t>
  </si>
  <si>
    <t>Bukar Sadong</t>
  </si>
  <si>
    <t>Bukar Sadong, Tebakang</t>
  </si>
  <si>
    <t>sdo</t>
  </si>
  <si>
    <t>Bidayuh Serian</t>
  </si>
  <si>
    <t>Kemak</t>
  </si>
  <si>
    <t>kem</t>
  </si>
  <si>
    <t>Kenyah, Kayan River</t>
  </si>
  <si>
    <t>Land Dayak, Biatah</t>
  </si>
  <si>
    <t>bth</t>
  </si>
  <si>
    <t>Bidayuh, Biatah</t>
  </si>
  <si>
    <t>Leti</t>
  </si>
  <si>
    <t>lti</t>
  </si>
  <si>
    <t>Manusela, Wahai</t>
  </si>
  <si>
    <t>wha</t>
  </si>
  <si>
    <t>Sou Upaa</t>
  </si>
  <si>
    <t>Marind, Southeast Marind</t>
  </si>
  <si>
    <t>mrz</t>
  </si>
  <si>
    <t>Marind</t>
  </si>
  <si>
    <t>Meninggo, Moskona</t>
  </si>
  <si>
    <t>mtj</t>
  </si>
  <si>
    <t>Moskona</t>
  </si>
  <si>
    <t>Putoh</t>
  </si>
  <si>
    <t>put</t>
  </si>
  <si>
    <t>Sajau Basap</t>
  </si>
  <si>
    <t>sjb</t>
  </si>
  <si>
    <t>Yava</t>
  </si>
  <si>
    <t>Yava, Yapanani</t>
  </si>
  <si>
    <t>yva</t>
  </si>
  <si>
    <t>Yawa</t>
  </si>
  <si>
    <t>Laoseng</t>
  </si>
  <si>
    <t>tgr</t>
  </si>
  <si>
    <t>Tareng</t>
  </si>
  <si>
    <t>So Tri</t>
  </si>
  <si>
    <t>Balau</t>
  </si>
  <si>
    <t>iba</t>
  </si>
  <si>
    <t>Iban</t>
  </si>
  <si>
    <t>Bintulu</t>
  </si>
  <si>
    <t>bny</t>
  </si>
  <si>
    <t>Kayan, Baram</t>
  </si>
  <si>
    <t>kys</t>
  </si>
  <si>
    <t>Tobilung</t>
  </si>
  <si>
    <t>tgb</t>
  </si>
  <si>
    <t>Anong</t>
  </si>
  <si>
    <t>nun</t>
  </si>
  <si>
    <t>Karen, Lahta</t>
  </si>
  <si>
    <t>kxk</t>
  </si>
  <si>
    <t>Zayein</t>
  </si>
  <si>
    <t>Karen, Manumanaw</t>
  </si>
  <si>
    <t>kxf</t>
  </si>
  <si>
    <t>Kawyaw</t>
  </si>
  <si>
    <t>Karen, Yintale</t>
  </si>
  <si>
    <t>kvy</t>
  </si>
  <si>
    <t>Yintale</t>
  </si>
  <si>
    <t>Khiamniungan</t>
  </si>
  <si>
    <t>Naga Khiamniungan</t>
  </si>
  <si>
    <t>kix</t>
  </si>
  <si>
    <t>Naga, Khiamniungan</t>
  </si>
  <si>
    <t>Meitei</t>
  </si>
  <si>
    <t>Manipuri, Ponna</t>
  </si>
  <si>
    <t>mni</t>
  </si>
  <si>
    <t>Punjabi</t>
  </si>
  <si>
    <t>Mahar (Hindu traditions)</t>
  </si>
  <si>
    <t>Basque</t>
  </si>
  <si>
    <t>eus</t>
  </si>
  <si>
    <t>C0038</t>
  </si>
  <si>
    <t>Kalanguya, Keley-I</t>
  </si>
  <si>
    <t>ify</t>
  </si>
  <si>
    <t>Kallahan, Keley-I</t>
  </si>
  <si>
    <t>Kalinga, Mabaka Valley</t>
  </si>
  <si>
    <t>kkg</t>
  </si>
  <si>
    <t>Magahat</t>
  </si>
  <si>
    <t>Magahat, Karolanos</t>
  </si>
  <si>
    <t>mtw</t>
  </si>
  <si>
    <t>Binukidnon, Southern</t>
  </si>
  <si>
    <t>Mandaya, Sangab</t>
  </si>
  <si>
    <t>Manobo, Rajah Kabungsuan</t>
  </si>
  <si>
    <t>mqk</t>
  </si>
  <si>
    <t>Manobo, Rajah Kabunsuwan</t>
  </si>
  <si>
    <t>Gahala</t>
  </si>
  <si>
    <t>Mappila</t>
  </si>
  <si>
    <t>Thai, Khorat</t>
  </si>
  <si>
    <t>Bishnupriya Manipuri</t>
  </si>
  <si>
    <t>bpy</t>
  </si>
  <si>
    <t>Bishnupuriya</t>
  </si>
  <si>
    <t>Awyu, South</t>
  </si>
  <si>
    <t>aws</t>
  </si>
  <si>
    <t>Behoa</t>
  </si>
  <si>
    <t>Behoa, Bada</t>
  </si>
  <si>
    <t>bep</t>
  </si>
  <si>
    <t>Leboni, Rampi</t>
  </si>
  <si>
    <t>lje</t>
  </si>
  <si>
    <t>Rampi</t>
  </si>
  <si>
    <t>Mamboru</t>
  </si>
  <si>
    <t>mvd</t>
  </si>
  <si>
    <t>Mandobo Atas</t>
  </si>
  <si>
    <t>aax</t>
  </si>
  <si>
    <t>Sahu</t>
  </si>
  <si>
    <t>Sahu, Sau</t>
  </si>
  <si>
    <t>saj</t>
  </si>
  <si>
    <t>Jeh</t>
  </si>
  <si>
    <t>jeh</t>
  </si>
  <si>
    <t>Kuan, Khuen</t>
  </si>
  <si>
    <t>Khuen</t>
  </si>
  <si>
    <t>khf</t>
  </si>
  <si>
    <t>Hmong Njua</t>
  </si>
  <si>
    <t>hnj</t>
  </si>
  <si>
    <t>Bania</t>
  </si>
  <si>
    <t>Baybayanon</t>
  </si>
  <si>
    <t>bvy</t>
  </si>
  <si>
    <t>Bontoc, Northern</t>
  </si>
  <si>
    <t>rbk</t>
  </si>
  <si>
    <t>Bontok, Northern</t>
  </si>
  <si>
    <t>Itneg, Inlaod</t>
  </si>
  <si>
    <t>iti</t>
  </si>
  <si>
    <t>Negrito, Ati</t>
  </si>
  <si>
    <t>atk</t>
  </si>
  <si>
    <t>Ati</t>
  </si>
  <si>
    <t>Tagbanwa, Kalamian</t>
  </si>
  <si>
    <t>Tagbanwa, Kalamian Baras</t>
  </si>
  <si>
    <t>tbk</t>
  </si>
  <si>
    <t>Tagbanwa, Calamian</t>
  </si>
  <si>
    <t>sls</t>
  </si>
  <si>
    <t>Singapore Sign Language</t>
  </si>
  <si>
    <t>Phula</t>
  </si>
  <si>
    <t>phh</t>
  </si>
  <si>
    <t>Zhuang, Yongnan</t>
  </si>
  <si>
    <t>zyn</t>
  </si>
  <si>
    <t>Bhuiya</t>
  </si>
  <si>
    <t>Dusadh (Hindu traditions)</t>
  </si>
  <si>
    <t>Konai</t>
  </si>
  <si>
    <t>Ambai</t>
  </si>
  <si>
    <t>amk</t>
  </si>
  <si>
    <t>Asmat, Casuarina Coast</t>
  </si>
  <si>
    <t>asc</t>
  </si>
  <si>
    <t>Citak Asmat</t>
  </si>
  <si>
    <t>txt</t>
  </si>
  <si>
    <t>Citak</t>
  </si>
  <si>
    <t>Kamoro</t>
  </si>
  <si>
    <t>kgq</t>
  </si>
  <si>
    <t>Kenyah, Mahakam</t>
  </si>
  <si>
    <t>Kupel</t>
  </si>
  <si>
    <t>Kupel, Ketengban</t>
  </si>
  <si>
    <t>xte</t>
  </si>
  <si>
    <t>Ketengban</t>
  </si>
  <si>
    <t>Land Dayak, Kembayan</t>
  </si>
  <si>
    <t>xem</t>
  </si>
  <si>
    <t>Kembayan</t>
  </si>
  <si>
    <t>Palue</t>
  </si>
  <si>
    <t>ple</t>
  </si>
  <si>
    <t>Palu'e</t>
  </si>
  <si>
    <t>Ringgou</t>
  </si>
  <si>
    <t>rgu</t>
  </si>
  <si>
    <t>Rikou</t>
  </si>
  <si>
    <t>Tehit</t>
  </si>
  <si>
    <t>kps</t>
  </si>
  <si>
    <t>Laopang</t>
  </si>
  <si>
    <t>lbg</t>
  </si>
  <si>
    <t>Chin, Siyin</t>
  </si>
  <si>
    <t>csy</t>
  </si>
  <si>
    <t>Karen, Striped</t>
  </si>
  <si>
    <t>yin</t>
  </si>
  <si>
    <t>Riang Lai</t>
  </si>
  <si>
    <t>Insinai</t>
  </si>
  <si>
    <t>Insinai, Isnay</t>
  </si>
  <si>
    <t>inn</t>
  </si>
  <si>
    <t>Isinay</t>
  </si>
  <si>
    <t>Kalagan, Kaagan</t>
  </si>
  <si>
    <t>kll</t>
  </si>
  <si>
    <t>Kalagan, Kagan</t>
  </si>
  <si>
    <t>Manobo, Tigwahanon</t>
  </si>
  <si>
    <t>mbt</t>
  </si>
  <si>
    <t>Manobo, Matigsalug</t>
  </si>
  <si>
    <t>Palawano, Brooke's Point</t>
  </si>
  <si>
    <t>plw</t>
  </si>
  <si>
    <t>Co</t>
  </si>
  <si>
    <t>cua</t>
  </si>
  <si>
    <t>Cua</t>
  </si>
  <si>
    <t>Nat (Hindu traditions)</t>
  </si>
  <si>
    <t>Sankara</t>
  </si>
  <si>
    <t>Eurasian</t>
  </si>
  <si>
    <t>Kayagar</t>
  </si>
  <si>
    <t>kyt</t>
  </si>
  <si>
    <t>Laura</t>
  </si>
  <si>
    <t>lur</t>
  </si>
  <si>
    <t>So'a</t>
  </si>
  <si>
    <t>ssq</t>
  </si>
  <si>
    <t>Tai Nua, Chinese Shan</t>
  </si>
  <si>
    <t>tdd</t>
  </si>
  <si>
    <t>Tai Nua</t>
  </si>
  <si>
    <t>Tong</t>
  </si>
  <si>
    <t>oog</t>
  </si>
  <si>
    <t>Ong</t>
  </si>
  <si>
    <t>Kristang</t>
  </si>
  <si>
    <t>mcm</t>
  </si>
  <si>
    <t>Malaccan Creole Portuguese</t>
  </si>
  <si>
    <t>Chin, Eastern Khumi</t>
  </si>
  <si>
    <t>cek</t>
  </si>
  <si>
    <t>ril</t>
  </si>
  <si>
    <t>Riang Lang</t>
  </si>
  <si>
    <t>Dhangar Bharwad</t>
  </si>
  <si>
    <t>Ayta, Mag-Antsi</t>
  </si>
  <si>
    <t>sgb</t>
  </si>
  <si>
    <t>Ayta, Mag-antsi</t>
  </si>
  <si>
    <t>Buhid</t>
  </si>
  <si>
    <t>Buhid, Bukil</t>
  </si>
  <si>
    <t>bku</t>
  </si>
  <si>
    <t>Ifugao, Batad</t>
  </si>
  <si>
    <t>ifb</t>
  </si>
  <si>
    <t>Kalanguya, Tinoc</t>
  </si>
  <si>
    <t>kak</t>
  </si>
  <si>
    <t>Kalanguya</t>
  </si>
  <si>
    <t>Tagbanwa, Aborlan</t>
  </si>
  <si>
    <t>tbw</t>
  </si>
  <si>
    <t>Tagbanwa</t>
  </si>
  <si>
    <t>Yong</t>
  </si>
  <si>
    <t>yno</t>
  </si>
  <si>
    <t>Tsun-Lao</t>
  </si>
  <si>
    <t>tsl</t>
  </si>
  <si>
    <t>Ts'un-Lao</t>
  </si>
  <si>
    <t>Bedia (Hindu traditions)</t>
  </si>
  <si>
    <t>Majhwar</t>
  </si>
  <si>
    <t>Mallah (Hindu traditions)</t>
  </si>
  <si>
    <t>Galoli</t>
  </si>
  <si>
    <t>Asmat, Central</t>
  </si>
  <si>
    <t>cns</t>
  </si>
  <si>
    <t>Embaloh</t>
  </si>
  <si>
    <t>emb</t>
  </si>
  <si>
    <t>Land Dayak, Lara</t>
  </si>
  <si>
    <t>lra</t>
  </si>
  <si>
    <t>Bakati', Rara</t>
  </si>
  <si>
    <t>Orang Dalam</t>
  </si>
  <si>
    <t>kvb</t>
  </si>
  <si>
    <t>Kubu</t>
  </si>
  <si>
    <t>Tobada</t>
  </si>
  <si>
    <t>bhz</t>
  </si>
  <si>
    <t>Bada</t>
  </si>
  <si>
    <t>Yali, Ninia</t>
  </si>
  <si>
    <t xml:space="preserve">Yali, Ninia </t>
  </si>
  <si>
    <t>nlk</t>
  </si>
  <si>
    <t>Dayak, Kendayan</t>
  </si>
  <si>
    <t>knx</t>
  </si>
  <si>
    <t>Kendayan</t>
  </si>
  <si>
    <t>Ida'an, Eraans</t>
  </si>
  <si>
    <t>dbj</t>
  </si>
  <si>
    <t>Ida'an</t>
  </si>
  <si>
    <t>Koli Mahadev</t>
  </si>
  <si>
    <t>Kalinga, Northern</t>
  </si>
  <si>
    <t>kmk</t>
  </si>
  <si>
    <t>Kalinga, Limos</t>
  </si>
  <si>
    <t>Palawano, Southwest</t>
  </si>
  <si>
    <t>plv</t>
  </si>
  <si>
    <t>Ambattan</t>
  </si>
  <si>
    <t>Bodhivansha</t>
  </si>
  <si>
    <t>Kiddea</t>
  </si>
  <si>
    <t>Kustarogiyo</t>
  </si>
  <si>
    <t>Khang</t>
  </si>
  <si>
    <t>kjm</t>
  </si>
  <si>
    <t>Kandu</t>
  </si>
  <si>
    <t>Idate</t>
  </si>
  <si>
    <t>idt</t>
  </si>
  <si>
    <t>Lamma</t>
  </si>
  <si>
    <t>lev</t>
  </si>
  <si>
    <t>Pantar, Western</t>
  </si>
  <si>
    <t>Ngalum</t>
  </si>
  <si>
    <t>Ngalum, Sibil</t>
  </si>
  <si>
    <t>szb</t>
  </si>
  <si>
    <t>Saparua</t>
  </si>
  <si>
    <t>spr</t>
  </si>
  <si>
    <t>Yaqay</t>
  </si>
  <si>
    <t>Yaqay, Sohur</t>
  </si>
  <si>
    <t>jaq</t>
  </si>
  <si>
    <t>Dusun, Tempasuk</t>
  </si>
  <si>
    <t>Chin, Sumtu</t>
  </si>
  <si>
    <t>csv</t>
  </si>
  <si>
    <t>Sino-Burmese</t>
  </si>
  <si>
    <t>Mahratta Kunbi</t>
  </si>
  <si>
    <t>Itneg, Moyadan</t>
  </si>
  <si>
    <t>ity</t>
  </si>
  <si>
    <t>Kinabalian</t>
  </si>
  <si>
    <t>cbw</t>
  </si>
  <si>
    <t>Ambalavasi</t>
  </si>
  <si>
    <t>Boya</t>
  </si>
  <si>
    <t>Paraiyan (Christian traditions)</t>
  </si>
  <si>
    <t>Nagarchi (Hindu traditions)</t>
  </si>
  <si>
    <t>Kairui-Midik</t>
  </si>
  <si>
    <t>krd</t>
  </si>
  <si>
    <t>Kairui-Midiki</t>
  </si>
  <si>
    <t>Naueti</t>
  </si>
  <si>
    <t>nxa</t>
  </si>
  <si>
    <t>Nauete</t>
  </si>
  <si>
    <t>Anakalangu</t>
  </si>
  <si>
    <t>akg</t>
  </si>
  <si>
    <t>Dutch</t>
  </si>
  <si>
    <t>nld</t>
  </si>
  <si>
    <t>Nduga</t>
  </si>
  <si>
    <t>Nduga, Dawa</t>
  </si>
  <si>
    <t>ndx</t>
  </si>
  <si>
    <t>Nyaw</t>
  </si>
  <si>
    <t>nyw</t>
  </si>
  <si>
    <t>Chin, Cho</t>
  </si>
  <si>
    <t>mwq</t>
  </si>
  <si>
    <t>Chin, Muun</t>
  </si>
  <si>
    <t>Chin, Laitu</t>
  </si>
  <si>
    <t>clj</t>
  </si>
  <si>
    <t>Chin, Lautu</t>
  </si>
  <si>
    <t>clt</t>
  </si>
  <si>
    <t>Iraya</t>
  </si>
  <si>
    <t>Iraya, Alag-bako</t>
  </si>
  <si>
    <t>iry</t>
  </si>
  <si>
    <t>Kalinga, Tanudan</t>
  </si>
  <si>
    <t>kml</t>
  </si>
  <si>
    <t>Agamudaiyan</t>
  </si>
  <si>
    <t>Heeri</t>
  </si>
  <si>
    <t>Kallan</t>
  </si>
  <si>
    <t>Navait</t>
  </si>
  <si>
    <t>Vaniyan</t>
  </si>
  <si>
    <t>Vannar</t>
  </si>
  <si>
    <t>Hajang</t>
  </si>
  <si>
    <t>haj</t>
  </si>
  <si>
    <t>Hajong</t>
  </si>
  <si>
    <t>Lohara</t>
  </si>
  <si>
    <t>Turi (Hindu traditions)</t>
  </si>
  <si>
    <t>Basap</t>
  </si>
  <si>
    <t>bdb</t>
  </si>
  <si>
    <t>Helong</t>
  </si>
  <si>
    <t>heg</t>
  </si>
  <si>
    <t>Naltya</t>
  </si>
  <si>
    <t>nlc</t>
  </si>
  <si>
    <t>Nalca</t>
  </si>
  <si>
    <t>Sangir, Tagulandang</t>
  </si>
  <si>
    <t>sxn</t>
  </si>
  <si>
    <t>Sangir</t>
  </si>
  <si>
    <t>Wanukaka</t>
  </si>
  <si>
    <t>wnk</t>
  </si>
  <si>
    <t>Dusun, Sugut</t>
  </si>
  <si>
    <t>kzs</t>
  </si>
  <si>
    <t>Sugut Dusun</t>
  </si>
  <si>
    <t>Karen, Gheko</t>
  </si>
  <si>
    <t>ghk</t>
  </si>
  <si>
    <t>Karen, Geko</t>
  </si>
  <si>
    <t>Agutaynon</t>
  </si>
  <si>
    <t>agn</t>
  </si>
  <si>
    <t>Agutaynen</t>
  </si>
  <si>
    <t>Kalinga, Butbut</t>
  </si>
  <si>
    <t>kyb</t>
  </si>
  <si>
    <t>Paranan</t>
  </si>
  <si>
    <t>prf</t>
  </si>
  <si>
    <t>Rodiya</t>
  </si>
  <si>
    <t>Khao</t>
  </si>
  <si>
    <t>xao</t>
  </si>
  <si>
    <t>Phuong</t>
  </si>
  <si>
    <t>phg</t>
  </si>
  <si>
    <t>Damal</t>
  </si>
  <si>
    <t>Damal, Amung</t>
  </si>
  <si>
    <t>uhn</t>
  </si>
  <si>
    <t>Manikion</t>
  </si>
  <si>
    <t>mnx</t>
  </si>
  <si>
    <t>Sougb</t>
  </si>
  <si>
    <t>Meax, Mejah</t>
  </si>
  <si>
    <t>mej</t>
  </si>
  <si>
    <t>Meyah</t>
  </si>
  <si>
    <t>Sea Dayak, Iban</t>
  </si>
  <si>
    <t>Siang</t>
  </si>
  <si>
    <t>sya</t>
  </si>
  <si>
    <t>Chin, Ngawn</t>
  </si>
  <si>
    <t>cnw</t>
  </si>
  <si>
    <t>Kalinga, Southern</t>
  </si>
  <si>
    <t>ksc</t>
  </si>
  <si>
    <t>Straits Chinese, Baba Creole</t>
  </si>
  <si>
    <t>mbf</t>
  </si>
  <si>
    <t>Malay, Baba</t>
  </si>
  <si>
    <t>Gauraykwallu</t>
  </si>
  <si>
    <t>Henawalayo</t>
  </si>
  <si>
    <t>Rengao</t>
  </si>
  <si>
    <t>ren</t>
  </si>
  <si>
    <t>Trieng</t>
  </si>
  <si>
    <t>stg</t>
  </si>
  <si>
    <t>Waima'a</t>
  </si>
  <si>
    <t>wmh</t>
  </si>
  <si>
    <t>Belagar</t>
  </si>
  <si>
    <t>Belagar, Tereweng</t>
  </si>
  <si>
    <t>beu</t>
  </si>
  <si>
    <t>Blagar</t>
  </si>
  <si>
    <t>Nguan</t>
  </si>
  <si>
    <t>Sama-Bajau</t>
  </si>
  <si>
    <t>sml</t>
  </si>
  <si>
    <t>Sama, Central</t>
  </si>
  <si>
    <t>Karen, Brek</t>
  </si>
  <si>
    <t>kvl</t>
  </si>
  <si>
    <t>Kayaw</t>
  </si>
  <si>
    <t>Manyuki</t>
  </si>
  <si>
    <t>shn</t>
  </si>
  <si>
    <t>Shan</t>
  </si>
  <si>
    <t>C0191</t>
  </si>
  <si>
    <t>Taungtha</t>
  </si>
  <si>
    <t>rtc</t>
  </si>
  <si>
    <t>Chin, Rungtu</t>
  </si>
  <si>
    <t>Prai</t>
  </si>
  <si>
    <t>prt</t>
  </si>
  <si>
    <t>Mori Atas</t>
  </si>
  <si>
    <t>mzq</t>
  </si>
  <si>
    <t>Mori Bawah</t>
  </si>
  <si>
    <t>xmz</t>
  </si>
  <si>
    <t>Dusun, Tuaran</t>
  </si>
  <si>
    <t>dtr</t>
  </si>
  <si>
    <t>Lotud</t>
  </si>
  <si>
    <t>Tidung, Northern</t>
  </si>
  <si>
    <t>ntd</t>
  </si>
  <si>
    <t>Yaw</t>
  </si>
  <si>
    <t>Zyphe</t>
  </si>
  <si>
    <t>zyp</t>
  </si>
  <si>
    <t>Chin, Zyphe</t>
  </si>
  <si>
    <t>Karolanos</t>
  </si>
  <si>
    <t>kyn</t>
  </si>
  <si>
    <t>Binukidnon, Northern</t>
  </si>
  <si>
    <t>Manobo, Ilianen</t>
  </si>
  <si>
    <t>mbi</t>
  </si>
  <si>
    <t>Navithan</t>
  </si>
  <si>
    <t>Thimilar</t>
  </si>
  <si>
    <t>Hatam, Tinam</t>
  </si>
  <si>
    <t>had</t>
  </si>
  <si>
    <t>Hatam</t>
  </si>
  <si>
    <t>Kalumpang</t>
  </si>
  <si>
    <t>Kalumpang, Makki</t>
  </si>
  <si>
    <t>kli</t>
  </si>
  <si>
    <t>Tabaru</t>
  </si>
  <si>
    <t>tby</t>
  </si>
  <si>
    <t>Yali, Angguruk</t>
  </si>
  <si>
    <t>yli</t>
  </si>
  <si>
    <t>Ta Oi, Lower</t>
  </si>
  <si>
    <t>tto</t>
  </si>
  <si>
    <t>Ta'oih, Lower</t>
  </si>
  <si>
    <t>Dusun, Tambunan</t>
  </si>
  <si>
    <t>Koli of Sind (Hindu traditions)</t>
  </si>
  <si>
    <t>Hanunoo</t>
  </si>
  <si>
    <t>hnn</t>
  </si>
  <si>
    <t>Kanarese</t>
  </si>
  <si>
    <t>kan</t>
  </si>
  <si>
    <t>Kannada</t>
  </si>
  <si>
    <t>Karen, Kayah</t>
  </si>
  <si>
    <t>kyu</t>
  </si>
  <si>
    <t>Kayah, Western</t>
  </si>
  <si>
    <t>Churu</t>
  </si>
  <si>
    <t>cje</t>
  </si>
  <si>
    <t>Chru</t>
  </si>
  <si>
    <t>Ta Oi, Upper</t>
  </si>
  <si>
    <t>Ta'oih</t>
  </si>
  <si>
    <t>tth</t>
  </si>
  <si>
    <t>Ta'oih, Upper</t>
  </si>
  <si>
    <t>Alune</t>
  </si>
  <si>
    <t>Alune, Sapalewa</t>
  </si>
  <si>
    <t>alp</t>
  </si>
  <si>
    <t>Bahau</t>
  </si>
  <si>
    <t>bhv</t>
  </si>
  <si>
    <t>Loloda, North</t>
  </si>
  <si>
    <t>loa</t>
  </si>
  <si>
    <t>Walak</t>
  </si>
  <si>
    <t>wlw</t>
  </si>
  <si>
    <t>Tatana</t>
  </si>
  <si>
    <t>txx</t>
  </si>
  <si>
    <t>Malaynon</t>
  </si>
  <si>
    <t>mlz</t>
  </si>
  <si>
    <t>Brahmin Gaur</t>
  </si>
  <si>
    <t>Dom (Hindu traditions)</t>
  </si>
  <si>
    <t>Mal (Hindu traditions)</t>
  </si>
  <si>
    <t>Bunak</t>
  </si>
  <si>
    <t>Bunak, Mare</t>
  </si>
  <si>
    <t>bfn</t>
  </si>
  <si>
    <t>Bontoc, Central</t>
  </si>
  <si>
    <t>lbk</t>
  </si>
  <si>
    <t>Bontok, Central</t>
  </si>
  <si>
    <t>Itneg, Southern</t>
  </si>
  <si>
    <t>itt</t>
  </si>
  <si>
    <t>Itneg, Maeng</t>
  </si>
  <si>
    <t>Manobo, Dibabawon</t>
  </si>
  <si>
    <t>mbd</t>
  </si>
  <si>
    <t>Bru, Western</t>
  </si>
  <si>
    <t>brv</t>
  </si>
  <si>
    <t>Tai Thanh</t>
  </si>
  <si>
    <t>tmm</t>
  </si>
  <si>
    <t>Chain</t>
  </si>
  <si>
    <t>Jarai</t>
  </si>
  <si>
    <t>jra</t>
  </si>
  <si>
    <t>Krung</t>
  </si>
  <si>
    <t>krr</t>
  </si>
  <si>
    <t>Kodi</t>
  </si>
  <si>
    <t>kod</t>
  </si>
  <si>
    <t>Luang, Letri Lgona</t>
  </si>
  <si>
    <t>lex</t>
  </si>
  <si>
    <t>Luang</t>
  </si>
  <si>
    <t>Mandobo Bawah</t>
  </si>
  <si>
    <t>bwp</t>
  </si>
  <si>
    <t>Rotinese, Tii</t>
  </si>
  <si>
    <t>txq</t>
  </si>
  <si>
    <t>Tii</t>
  </si>
  <si>
    <t>Tai Daeng</t>
  </si>
  <si>
    <t>tyr</t>
  </si>
  <si>
    <t>kyp</t>
  </si>
  <si>
    <t>Kang</t>
  </si>
  <si>
    <t>Kimaragan</t>
  </si>
  <si>
    <t>Kimaragan, Tandek</t>
  </si>
  <si>
    <t>Mru</t>
  </si>
  <si>
    <t>mro</t>
  </si>
  <si>
    <t>Nadar (Hindu traditions)</t>
  </si>
  <si>
    <t>Vannan (Hindu traditions)</t>
  </si>
  <si>
    <t>Dengka</t>
  </si>
  <si>
    <t>dnk</t>
  </si>
  <si>
    <t>Lole</t>
  </si>
  <si>
    <t>llg</t>
  </si>
  <si>
    <t>Alak</t>
  </si>
  <si>
    <t>alk</t>
  </si>
  <si>
    <t>Chin, Mara</t>
  </si>
  <si>
    <t>mrh</t>
  </si>
  <si>
    <t>Kasiguranin</t>
  </si>
  <si>
    <t>ksn</t>
  </si>
  <si>
    <t>Malaweg</t>
  </si>
  <si>
    <t>itv</t>
  </si>
  <si>
    <t>Itawit</t>
  </si>
  <si>
    <t>Christian</t>
  </si>
  <si>
    <t>Chakkiliyan (Hindu traditions)</t>
  </si>
  <si>
    <t>Govigama Patti</t>
  </si>
  <si>
    <t>Govigama Radala</t>
  </si>
  <si>
    <t>Kayong</t>
  </si>
  <si>
    <t>kxy</t>
  </si>
  <si>
    <t>Bhumij</t>
  </si>
  <si>
    <t>Brahmin Varendra</t>
  </si>
  <si>
    <t>Abui</t>
  </si>
  <si>
    <t>Abui, Barue</t>
  </si>
  <si>
    <t>abz</t>
  </si>
  <si>
    <t>Dani, Upper Grand Valley</t>
  </si>
  <si>
    <t>dna</t>
  </si>
  <si>
    <t>Modang</t>
  </si>
  <si>
    <t>mxd</t>
  </si>
  <si>
    <t>Yotowawa</t>
  </si>
  <si>
    <t>Yotowawa, Kisar</t>
  </si>
  <si>
    <t>kje</t>
  </si>
  <si>
    <t>Kisar</t>
  </si>
  <si>
    <t>Chakma</t>
  </si>
  <si>
    <t>Chakma, Daingnet</t>
  </si>
  <si>
    <t>ccp</t>
  </si>
  <si>
    <t>Yogad</t>
  </si>
  <si>
    <t>yog</t>
  </si>
  <si>
    <t>Han Chinese, Putian</t>
  </si>
  <si>
    <t>cpx</t>
  </si>
  <si>
    <t>Chinese, Pu-Xian</t>
  </si>
  <si>
    <t>Kinnara</t>
  </si>
  <si>
    <t>Katu, Western</t>
  </si>
  <si>
    <t>kuf</t>
  </si>
  <si>
    <t>Dayak, Sarawak</t>
  </si>
  <si>
    <t>Sino-Native</t>
  </si>
  <si>
    <t>Temiar</t>
  </si>
  <si>
    <t>tea</t>
  </si>
  <si>
    <t>Temuan</t>
  </si>
  <si>
    <t>Temuan, Benua</t>
  </si>
  <si>
    <t>tmw</t>
  </si>
  <si>
    <t>Lao Lom</t>
  </si>
  <si>
    <t>Batu Nias</t>
  </si>
  <si>
    <t>Batu, Nias</t>
  </si>
  <si>
    <t>nia</t>
  </si>
  <si>
    <t>Nias</t>
  </si>
  <si>
    <t>Moni</t>
  </si>
  <si>
    <t>Moni, Jonggunu</t>
  </si>
  <si>
    <t>mnz</t>
  </si>
  <si>
    <t>Uma, Pipikoro</t>
  </si>
  <si>
    <t>ppk</t>
  </si>
  <si>
    <t>Uma</t>
  </si>
  <si>
    <t>Kadazan, Eastern</t>
  </si>
  <si>
    <t>dtb</t>
  </si>
  <si>
    <t>Kadazan, Labuk-Kinabatangan</t>
  </si>
  <si>
    <t>Balangao Bontoc</t>
  </si>
  <si>
    <t>blw</t>
  </si>
  <si>
    <t>Balangao</t>
  </si>
  <si>
    <t>Oli</t>
  </si>
  <si>
    <t>Pamunu</t>
  </si>
  <si>
    <t>Vellalan</t>
  </si>
  <si>
    <t>Choro</t>
  </si>
  <si>
    <t>crw</t>
  </si>
  <si>
    <t>Chrau</t>
  </si>
  <si>
    <t>Mahli</t>
  </si>
  <si>
    <t>mjx</t>
  </si>
  <si>
    <t>Mahali</t>
  </si>
  <si>
    <t>Rajbansi Khen (Hindu traditions)</t>
  </si>
  <si>
    <t>South Asia Dalit - Rajbansi</t>
  </si>
  <si>
    <t>Pong</t>
  </si>
  <si>
    <t>pnx</t>
  </si>
  <si>
    <t>Phong-Kniang</t>
  </si>
  <si>
    <t>Jakun</t>
  </si>
  <si>
    <t>Jakun, Djakun</t>
  </si>
  <si>
    <t>jak</t>
  </si>
  <si>
    <t>Sama, Abaknon</t>
  </si>
  <si>
    <t>abx</t>
  </si>
  <si>
    <t>Inabaknon</t>
  </si>
  <si>
    <t>Sulod</t>
  </si>
  <si>
    <t>srg</t>
  </si>
  <si>
    <t>Brahmin Indian Tamil</t>
  </si>
  <si>
    <t>Ayamaru</t>
  </si>
  <si>
    <t>Ayamaru, Brat</t>
  </si>
  <si>
    <t>ayz</t>
  </si>
  <si>
    <t>Mai Brat</t>
  </si>
  <si>
    <t>Tamil, Jaffna</t>
  </si>
  <si>
    <t>Palla</t>
  </si>
  <si>
    <t>Panna</t>
  </si>
  <si>
    <t>Lahu Na</t>
  </si>
  <si>
    <t>Iu Mien</t>
  </si>
  <si>
    <t>ium</t>
  </si>
  <si>
    <t>Kadazan, Central</t>
  </si>
  <si>
    <t>tcz</t>
  </si>
  <si>
    <t>Chin, Thado</t>
  </si>
  <si>
    <t>Matu, Nga La</t>
  </si>
  <si>
    <t>hlt</t>
  </si>
  <si>
    <t>Chin, Matu</t>
  </si>
  <si>
    <t>Taman, Htamandi</t>
  </si>
  <si>
    <t>Porohanon</t>
  </si>
  <si>
    <t>prh</t>
  </si>
  <si>
    <t>Lunia (Hindu traditions)</t>
  </si>
  <si>
    <t>Filipino, Tagalog</t>
  </si>
  <si>
    <t>kdt</t>
  </si>
  <si>
    <t>Kuay</t>
  </si>
  <si>
    <t>Lamboya</t>
  </si>
  <si>
    <t>lmy</t>
  </si>
  <si>
    <t>Kadu, Asak</t>
  </si>
  <si>
    <t>zkd</t>
  </si>
  <si>
    <t>Kadu</t>
  </si>
  <si>
    <t>Lashi</t>
  </si>
  <si>
    <t>Lashi, Letsi</t>
  </si>
  <si>
    <t>lsi</t>
  </si>
  <si>
    <t>Lacid</t>
  </si>
  <si>
    <t>Malto</t>
  </si>
  <si>
    <t>mkb</t>
  </si>
  <si>
    <t>Mal Paharia</t>
  </si>
  <si>
    <t>Bambam</t>
  </si>
  <si>
    <t>Bambam, Pitu Ulunna Salu</t>
  </si>
  <si>
    <t>ptu</t>
  </si>
  <si>
    <t>Dayak, Taman</t>
  </si>
  <si>
    <t>tmn</t>
  </si>
  <si>
    <t>Taman</t>
  </si>
  <si>
    <t>Kedang</t>
  </si>
  <si>
    <t>ksx</t>
  </si>
  <si>
    <t>Chin, Senthang</t>
  </si>
  <si>
    <t>sez</t>
  </si>
  <si>
    <t>Zaiwa</t>
  </si>
  <si>
    <t>atb</t>
  </si>
  <si>
    <t>C0142</t>
  </si>
  <si>
    <t>Miri-Kachin</t>
  </si>
  <si>
    <t>Ifugao, Amganad</t>
  </si>
  <si>
    <t>ifa</t>
  </si>
  <si>
    <t>Kalinga, Lubuagan</t>
  </si>
  <si>
    <t>knb</t>
  </si>
  <si>
    <t>Lao Ngaew</t>
  </si>
  <si>
    <t>Tangchanghya</t>
  </si>
  <si>
    <t>tnv</t>
  </si>
  <si>
    <t>Tangchangya</t>
  </si>
  <si>
    <t>Dayak, Tawoyan</t>
  </si>
  <si>
    <t>twy</t>
  </si>
  <si>
    <t>Tawoyan</t>
  </si>
  <si>
    <t>Dusun Deyah</t>
  </si>
  <si>
    <t>dun</t>
  </si>
  <si>
    <t>Tobelo</t>
  </si>
  <si>
    <t>tlb</t>
  </si>
  <si>
    <t>Tonsawang</t>
  </si>
  <si>
    <t>tnw</t>
  </si>
  <si>
    <t>Vanniyan</t>
  </si>
  <si>
    <t>Hmong Daw</t>
  </si>
  <si>
    <t>mww</t>
  </si>
  <si>
    <t>Lao Song</t>
  </si>
  <si>
    <t>soa</t>
  </si>
  <si>
    <t>Thai Song</t>
  </si>
  <si>
    <t>Mnong, Eastern</t>
  </si>
  <si>
    <t>mng</t>
  </si>
  <si>
    <t>Mnong, Southern</t>
  </si>
  <si>
    <t>mnn</t>
  </si>
  <si>
    <t>Matia</t>
  </si>
  <si>
    <t>Tampuan</t>
  </si>
  <si>
    <t>tpu</t>
  </si>
  <si>
    <t>Balantak</t>
  </si>
  <si>
    <t>blz</t>
  </si>
  <si>
    <t>Straits Chinese, Peranakan</t>
  </si>
  <si>
    <t>pea</t>
  </si>
  <si>
    <t>Indonesian, Peranakan</t>
  </si>
  <si>
    <t>Termanu, Rotti</t>
  </si>
  <si>
    <t>twu</t>
  </si>
  <si>
    <t>Termanu</t>
  </si>
  <si>
    <t>Ifugao, Mayoyao</t>
  </si>
  <si>
    <t>ifu</t>
  </si>
  <si>
    <t>Kagayanen</t>
  </si>
  <si>
    <t>cgc</t>
  </si>
  <si>
    <t>Dodda-Weddah</t>
  </si>
  <si>
    <t>Stieng, Budeh</t>
  </si>
  <si>
    <t>stt</t>
  </si>
  <si>
    <t>Achang</t>
  </si>
  <si>
    <t>Achang, Maingtha</t>
  </si>
  <si>
    <t>acn</t>
  </si>
  <si>
    <t>Manobo, Ata</t>
  </si>
  <si>
    <t>atd</t>
  </si>
  <si>
    <t>Manobo, Cinamiguin</t>
  </si>
  <si>
    <t>mkx</t>
  </si>
  <si>
    <t>Manobo, Kinamiging</t>
  </si>
  <si>
    <t>Mnong, Central</t>
  </si>
  <si>
    <t>cmo</t>
  </si>
  <si>
    <t>Ampanang</t>
  </si>
  <si>
    <t>apg</t>
  </si>
  <si>
    <t>Biak, Numfor</t>
  </si>
  <si>
    <t>bhw</t>
  </si>
  <si>
    <t>Biak</t>
  </si>
  <si>
    <t>Bolongan</t>
  </si>
  <si>
    <t>blj</t>
  </si>
  <si>
    <t>Bulungan</t>
  </si>
  <si>
    <t>Dayak, Kaninjal</t>
  </si>
  <si>
    <t>knl</t>
  </si>
  <si>
    <t>Keninjal</t>
  </si>
  <si>
    <t>Phunoi, Cong</t>
  </si>
  <si>
    <t>Phunoi</t>
  </si>
  <si>
    <t>pho</t>
  </si>
  <si>
    <t>Sentani</t>
  </si>
  <si>
    <t>Sentani, Buyaka</t>
  </si>
  <si>
    <t>set</t>
  </si>
  <si>
    <t>Katang, Southern</t>
  </si>
  <si>
    <t>sct</t>
  </si>
  <si>
    <t>Mukkuvar</t>
  </si>
  <si>
    <t>Chin, Dai</t>
  </si>
  <si>
    <t>dao</t>
  </si>
  <si>
    <t>Chin, Daai</t>
  </si>
  <si>
    <t>Megh (Hindu traditions)</t>
  </si>
  <si>
    <t>Dagoda</t>
  </si>
  <si>
    <t>Land Dayak, Djongkang</t>
  </si>
  <si>
    <t>djo</t>
  </si>
  <si>
    <t>Jangkang</t>
  </si>
  <si>
    <t>Seberuang</t>
  </si>
  <si>
    <t>sbx</t>
  </si>
  <si>
    <t>Kiangan Ifugao</t>
  </si>
  <si>
    <t>Kiangan Ifugao, Gilipanes</t>
  </si>
  <si>
    <t>ifk</t>
  </si>
  <si>
    <t>Ifugao, Tuwali</t>
  </si>
  <si>
    <t>Uppu Chinbon</t>
  </si>
  <si>
    <t>Ayta, Mag-Indi</t>
  </si>
  <si>
    <t>blx</t>
  </si>
  <si>
    <t>Nalavar</t>
  </si>
  <si>
    <t>Haroi</t>
  </si>
  <si>
    <t>hro</t>
  </si>
  <si>
    <t>Karen, Geba</t>
  </si>
  <si>
    <t>kvq</t>
  </si>
  <si>
    <t>Taungyo</t>
  </si>
  <si>
    <t>tco</t>
  </si>
  <si>
    <t>Tokode</t>
  </si>
  <si>
    <t>tkd</t>
  </si>
  <si>
    <t>Tukudede</t>
  </si>
  <si>
    <t>Ratahan</t>
  </si>
  <si>
    <t>Ratahan, Bentenan</t>
  </si>
  <si>
    <t>xmm</t>
  </si>
  <si>
    <t>Malay, Manado</t>
  </si>
  <si>
    <t>Manobo, Higaunon</t>
  </si>
  <si>
    <t>mba</t>
  </si>
  <si>
    <t>Higaonon</t>
  </si>
  <si>
    <t>Pallan (Hindu traditions)</t>
  </si>
  <si>
    <t>Maa</t>
  </si>
  <si>
    <t>cma</t>
  </si>
  <si>
    <t>Mualang</t>
  </si>
  <si>
    <t>mtd</t>
  </si>
  <si>
    <t>Lamaholot</t>
  </si>
  <si>
    <t>slp</t>
  </si>
  <si>
    <t>Negrito, Aeta Zambal</t>
  </si>
  <si>
    <t>sbl</t>
  </si>
  <si>
    <t>Sambal, Botolan</t>
  </si>
  <si>
    <t>Caluyanhon</t>
  </si>
  <si>
    <t>clu</t>
  </si>
  <si>
    <t>Caluyanun</t>
  </si>
  <si>
    <t>Rongkong</t>
  </si>
  <si>
    <t>Toala</t>
  </si>
  <si>
    <t>Dusun, Sungai</t>
  </si>
  <si>
    <t>Mangrik</t>
  </si>
  <si>
    <t>Burgher</t>
  </si>
  <si>
    <t>Brahmin Radhi</t>
  </si>
  <si>
    <t>Buru, Boeroe</t>
  </si>
  <si>
    <t>mhs</t>
  </si>
  <si>
    <t>Buru</t>
  </si>
  <si>
    <t>Malay, Javar</t>
  </si>
  <si>
    <t>sci</t>
  </si>
  <si>
    <t>Sri Lankan Creole Malay</t>
  </si>
  <si>
    <t>Roglai, Southern</t>
  </si>
  <si>
    <t>rgs</t>
  </si>
  <si>
    <t>Ivatan</t>
  </si>
  <si>
    <t>ivv</t>
  </si>
  <si>
    <t>Chin, Zo</t>
  </si>
  <si>
    <t>czt</t>
  </si>
  <si>
    <t>Chin, Zotung</t>
  </si>
  <si>
    <t>Batak Pakpak</t>
  </si>
  <si>
    <t>Yamdena</t>
  </si>
  <si>
    <t>Yamdena, Jamden</t>
  </si>
  <si>
    <t>jmd</t>
  </si>
  <si>
    <t>Eurasian, Anglo-Burmese</t>
  </si>
  <si>
    <t>Hadi</t>
  </si>
  <si>
    <t>Karen, Pwo Eastern</t>
  </si>
  <si>
    <t>kjp</t>
  </si>
  <si>
    <t>Laven</t>
  </si>
  <si>
    <t>lbo</t>
  </si>
  <si>
    <t>Lao Wieng</t>
  </si>
  <si>
    <t>Dayak, Tunjung</t>
  </si>
  <si>
    <t>tjg</t>
  </si>
  <si>
    <t>Tunjung</t>
  </si>
  <si>
    <t>Semai</t>
  </si>
  <si>
    <t>Semai, Central Sakai</t>
  </si>
  <si>
    <t>sea</t>
  </si>
  <si>
    <t>Porowakara</t>
  </si>
  <si>
    <t>Lao Krang</t>
  </si>
  <si>
    <t>Eurasian, Euronesian</t>
  </si>
  <si>
    <t>Blaan, Davao</t>
  </si>
  <si>
    <t>bpr</t>
  </si>
  <si>
    <t>Blaan, Koronadal</t>
  </si>
  <si>
    <t>Subanen, Lapuyan</t>
  </si>
  <si>
    <t>laa</t>
  </si>
  <si>
    <t>Subanen, Southern</t>
  </si>
  <si>
    <t>Tiyar</t>
  </si>
  <si>
    <t>Ahinkuntaya</t>
  </si>
  <si>
    <t>Baliaga, Highland Bali</t>
  </si>
  <si>
    <t>Wewewa</t>
  </si>
  <si>
    <t>wew</t>
  </si>
  <si>
    <t>Wejewa</t>
  </si>
  <si>
    <t>Butuanon</t>
  </si>
  <si>
    <t>btw</t>
  </si>
  <si>
    <t>Gaddang</t>
  </si>
  <si>
    <t>Gaddang, Cagayan</t>
  </si>
  <si>
    <t>gad</t>
  </si>
  <si>
    <t>Katu, Eastern</t>
  </si>
  <si>
    <t>ktv</t>
  </si>
  <si>
    <t>Land Dayak, Benyadu</t>
  </si>
  <si>
    <t>byd</t>
  </si>
  <si>
    <t>Benyadu'</t>
  </si>
  <si>
    <t>Roglai, Northern</t>
  </si>
  <si>
    <t>rog</t>
  </si>
  <si>
    <t>Manobo, Tagabawa Bagobo</t>
  </si>
  <si>
    <t>bgs</t>
  </si>
  <si>
    <t>Tagabawa</t>
  </si>
  <si>
    <t>Ho</t>
  </si>
  <si>
    <t>Han Chinese, Xiang</t>
  </si>
  <si>
    <t>hsn</t>
  </si>
  <si>
    <t>Chinese, Xiang</t>
  </si>
  <si>
    <t>Katang, Northern</t>
  </si>
  <si>
    <t>ncq</t>
  </si>
  <si>
    <t>Zo</t>
  </si>
  <si>
    <t>zom</t>
  </si>
  <si>
    <t>Naga Tangsa</t>
  </si>
  <si>
    <t>nst</t>
  </si>
  <si>
    <t>Naga, Tangshang</t>
  </si>
  <si>
    <t>South Asia Tribal - Tangsa</t>
  </si>
  <si>
    <t>Pallar</t>
  </si>
  <si>
    <t>Paliya</t>
  </si>
  <si>
    <t>Meratus, Bukit</t>
  </si>
  <si>
    <t>bvu</t>
  </si>
  <si>
    <t>Malay, Bukit</t>
  </si>
  <si>
    <t>Dusun, Rungus</t>
  </si>
  <si>
    <t>drg</t>
  </si>
  <si>
    <t>Rungus</t>
  </si>
  <si>
    <t>Teduray</t>
  </si>
  <si>
    <t>tiy</t>
  </si>
  <si>
    <t>Paraiyar</t>
  </si>
  <si>
    <t>Dusun, Bundu</t>
  </si>
  <si>
    <t>Rawang</t>
  </si>
  <si>
    <t>Rawang, Nung</t>
  </si>
  <si>
    <t>raw</t>
  </si>
  <si>
    <t>Kurmi (Hindu traditions)</t>
  </si>
  <si>
    <t>South Asia Hindu - Kurmi</t>
  </si>
  <si>
    <t>Bukar Sadong, Bidayuh</t>
  </si>
  <si>
    <t>Primanar</t>
  </si>
  <si>
    <t>Nage</t>
  </si>
  <si>
    <t>nxe</t>
  </si>
  <si>
    <t>lso</t>
  </si>
  <si>
    <t>Laos Sign Language</t>
  </si>
  <si>
    <t>Tetun</t>
  </si>
  <si>
    <t>tet</t>
  </si>
  <si>
    <t>Manobo, Obo Kidapawan</t>
  </si>
  <si>
    <t>obo</t>
  </si>
  <si>
    <t>Manobo, Obo</t>
  </si>
  <si>
    <t>Ilavan</t>
  </si>
  <si>
    <t>So</t>
  </si>
  <si>
    <t>sss</t>
  </si>
  <si>
    <t>Dani, Mid Grand Valley</t>
  </si>
  <si>
    <t xml:space="preserve">Dani, Mid Grand Valley </t>
  </si>
  <si>
    <t>dnt</t>
  </si>
  <si>
    <t>Indian, English-Speaking</t>
  </si>
  <si>
    <t>Yamannu</t>
  </si>
  <si>
    <t>Halwai (Hindu traditions)</t>
  </si>
  <si>
    <t>Mentawaian</t>
  </si>
  <si>
    <t>Mentawaian, Siberut</t>
  </si>
  <si>
    <t>mwv</t>
  </si>
  <si>
    <t>Mentawai</t>
  </si>
  <si>
    <t>Amarasi</t>
  </si>
  <si>
    <t>aaz</t>
  </si>
  <si>
    <t>Kaikolan</t>
  </si>
  <si>
    <t>Bagdi (Hindu traditions)</t>
  </si>
  <si>
    <t>Sangir, Siau</t>
  </si>
  <si>
    <t>Baikeno</t>
  </si>
  <si>
    <t>bkx</t>
  </si>
  <si>
    <t>Bikol, Libon</t>
  </si>
  <si>
    <t>lbl</t>
  </si>
  <si>
    <t>Manobo, Sarangani</t>
  </si>
  <si>
    <t>mbs</t>
  </si>
  <si>
    <t>Bikol, Buhi'non</t>
  </si>
  <si>
    <t>ubl</t>
  </si>
  <si>
    <t>Mansaka</t>
  </si>
  <si>
    <t>msk</t>
  </si>
  <si>
    <t>Kahar (Hindu traditions)</t>
  </si>
  <si>
    <t>South Asia Hindu - Kahar</t>
  </si>
  <si>
    <t>Khasi</t>
  </si>
  <si>
    <t>kha</t>
  </si>
  <si>
    <t>Tili</t>
  </si>
  <si>
    <t>Land Dayak, Ribun</t>
  </si>
  <si>
    <t>rir</t>
  </si>
  <si>
    <t>Ribun</t>
  </si>
  <si>
    <t>Karen, Pwo Northern</t>
  </si>
  <si>
    <t>pww</t>
  </si>
  <si>
    <t>Tho</t>
  </si>
  <si>
    <t>tou</t>
  </si>
  <si>
    <t>Maravar</t>
  </si>
  <si>
    <t>Bantuanon</t>
  </si>
  <si>
    <t>Bantuanon, Banton</t>
  </si>
  <si>
    <t>bno</t>
  </si>
  <si>
    <t>Bantoanon</t>
  </si>
  <si>
    <t>Cham, Eastern</t>
  </si>
  <si>
    <t>cjm</t>
  </si>
  <si>
    <t>Bantayanon</t>
  </si>
  <si>
    <t>bfx</t>
  </si>
  <si>
    <t>Hunna</t>
  </si>
  <si>
    <t>Tengger</t>
  </si>
  <si>
    <t>tes</t>
  </si>
  <si>
    <t>Bugkalot</t>
  </si>
  <si>
    <t>ilk</t>
  </si>
  <si>
    <t>Bogkalot</t>
  </si>
  <si>
    <t>Hindi, Indian</t>
  </si>
  <si>
    <t>Ngad'a</t>
  </si>
  <si>
    <t>nxg</t>
  </si>
  <si>
    <t>Bikol, Northern Catanduanes</t>
  </si>
  <si>
    <t>cts</t>
  </si>
  <si>
    <t>Dayak, Dohoi Ot Danum</t>
  </si>
  <si>
    <t>otd</t>
  </si>
  <si>
    <t>Ot Danum</t>
  </si>
  <si>
    <t>Tanti (Hindu traditions)</t>
  </si>
  <si>
    <t>Bagobo, Giangan</t>
  </si>
  <si>
    <t>bgi</t>
  </si>
  <si>
    <t>Giangan</t>
  </si>
  <si>
    <t>Buna (Hindu traditions)</t>
  </si>
  <si>
    <t>Maravan</t>
  </si>
  <si>
    <t>Vanniyar</t>
  </si>
  <si>
    <t>Tai Man, Shan</t>
  </si>
  <si>
    <t>Semandang</t>
  </si>
  <si>
    <t>sdq</t>
  </si>
  <si>
    <t>C0228</t>
  </si>
  <si>
    <t>Sambal</t>
  </si>
  <si>
    <t>xsb</t>
  </si>
  <si>
    <t>Subanen, Tuboy</t>
  </si>
  <si>
    <t>stb</t>
  </si>
  <si>
    <t>Subanen, Northern</t>
  </si>
  <si>
    <t>Paraiyan (Hindu traditions)</t>
  </si>
  <si>
    <t>Tai Don, White Tai</t>
  </si>
  <si>
    <t>Tai Kao</t>
  </si>
  <si>
    <t>twh</t>
  </si>
  <si>
    <t>Tai Don</t>
  </si>
  <si>
    <t>Intha</t>
  </si>
  <si>
    <t>int</t>
  </si>
  <si>
    <t>Kalanguya, Kayapa</t>
  </si>
  <si>
    <t>Bhuinmali</t>
  </si>
  <si>
    <t>sqs</t>
  </si>
  <si>
    <t>Sri Lankan Sign Language</t>
  </si>
  <si>
    <t>Talaud</t>
  </si>
  <si>
    <t>tld</t>
  </si>
  <si>
    <t>Tombulu Menadonese</t>
  </si>
  <si>
    <t>tom</t>
  </si>
  <si>
    <t>Tombulu</t>
  </si>
  <si>
    <t>Romblon</t>
  </si>
  <si>
    <t>rol</t>
  </si>
  <si>
    <t>Romblomanon</t>
  </si>
  <si>
    <t>Oraon</t>
  </si>
  <si>
    <t>Oraon, Kurux</t>
  </si>
  <si>
    <t>Badahala</t>
  </si>
  <si>
    <t>Adonara</t>
  </si>
  <si>
    <t>adr</t>
  </si>
  <si>
    <t>Danu</t>
  </si>
  <si>
    <t>dnv</t>
  </si>
  <si>
    <t>Tai Laing</t>
  </si>
  <si>
    <t>tjl</t>
  </si>
  <si>
    <t>Patni (Hindu traditions)</t>
  </si>
  <si>
    <t>Kei</t>
  </si>
  <si>
    <t>Kei, Tanimbarese</t>
  </si>
  <si>
    <t>kei</t>
  </si>
  <si>
    <t>Koch (Hindu traditions)</t>
  </si>
  <si>
    <t>kdq</t>
  </si>
  <si>
    <t>Koch</t>
  </si>
  <si>
    <t>Tandaganon</t>
  </si>
  <si>
    <t>tgn</t>
  </si>
  <si>
    <t>Makasai</t>
  </si>
  <si>
    <t>mkz</t>
  </si>
  <si>
    <t>Makasae</t>
  </si>
  <si>
    <t>Tondanou</t>
  </si>
  <si>
    <t>Tondanou, Tolour</t>
  </si>
  <si>
    <t>tdn</t>
  </si>
  <si>
    <t>Tondano</t>
  </si>
  <si>
    <t>South Asian, Odia Speaking</t>
  </si>
  <si>
    <t>Sangirese</t>
  </si>
  <si>
    <t>Sangir, Sangihe</t>
  </si>
  <si>
    <t>mnw</t>
  </si>
  <si>
    <t>Li'o</t>
  </si>
  <si>
    <t>Li'o, Lionese</t>
  </si>
  <si>
    <t>ljl</t>
  </si>
  <si>
    <t>Maru</t>
  </si>
  <si>
    <t>Maru, Laungwaw</t>
  </si>
  <si>
    <t>mhx</t>
  </si>
  <si>
    <t>Lhao Vo</t>
  </si>
  <si>
    <t>Tipera</t>
  </si>
  <si>
    <t>Tipera, Kok Borok</t>
  </si>
  <si>
    <t>Looknon</t>
  </si>
  <si>
    <t>loc</t>
  </si>
  <si>
    <t>Inonhan</t>
  </si>
  <si>
    <t>Garo</t>
  </si>
  <si>
    <t>grt</t>
  </si>
  <si>
    <t>Ende</t>
  </si>
  <si>
    <t>end</t>
  </si>
  <si>
    <t>Danau</t>
  </si>
  <si>
    <t>dnu</t>
  </si>
  <si>
    <t>Baidya (Hindu traditions)</t>
  </si>
  <si>
    <t>Bolinao Sambal</t>
  </si>
  <si>
    <t>smk</t>
  </si>
  <si>
    <t>Bolinao</t>
  </si>
  <si>
    <t>Blaan, Sarangani</t>
  </si>
  <si>
    <t>bps</t>
  </si>
  <si>
    <t>Kankanay, Northern</t>
  </si>
  <si>
    <t>xnn</t>
  </si>
  <si>
    <t>Yadav Sadgope</t>
  </si>
  <si>
    <t>Tiboli</t>
  </si>
  <si>
    <t>Tiboli, Kiamba</t>
  </si>
  <si>
    <t>tbl</t>
  </si>
  <si>
    <t>Tboli</t>
  </si>
  <si>
    <t>Munda</t>
  </si>
  <si>
    <t>Kalagan, Tagakaulu</t>
  </si>
  <si>
    <t>klg</t>
  </si>
  <si>
    <t>Tagakaulo</t>
  </si>
  <si>
    <t>Hre</t>
  </si>
  <si>
    <t>hre</t>
  </si>
  <si>
    <t>Subanon, Western Kalibugan</t>
  </si>
  <si>
    <t>suc</t>
  </si>
  <si>
    <t>Subanon, Western</t>
  </si>
  <si>
    <t>Tonsea</t>
  </si>
  <si>
    <t>txs</t>
  </si>
  <si>
    <t>Mamasa Toraja</t>
  </si>
  <si>
    <t>Rajaka</t>
  </si>
  <si>
    <t>Sabu</t>
  </si>
  <si>
    <t>Sabu, Havunese</t>
  </si>
  <si>
    <t>hvn</t>
  </si>
  <si>
    <t>Hawu</t>
  </si>
  <si>
    <t>Mambai</t>
  </si>
  <si>
    <t>mgm</t>
  </si>
  <si>
    <t>Mambae</t>
  </si>
  <si>
    <t>San Diu</t>
  </si>
  <si>
    <t>Palaung, Rumai</t>
  </si>
  <si>
    <t>rbb</t>
  </si>
  <si>
    <t>Ekagi</t>
  </si>
  <si>
    <t>ekg</t>
  </si>
  <si>
    <t>Ekari</t>
  </si>
  <si>
    <t>Pamona</t>
  </si>
  <si>
    <t>Pamona, Poso Toraja</t>
  </si>
  <si>
    <t>pmf</t>
  </si>
  <si>
    <t>Kayastha Karan</t>
  </si>
  <si>
    <t>South Asia Hindu - Kayastha</t>
  </si>
  <si>
    <t>Chaungtha</t>
  </si>
  <si>
    <t>Koho</t>
  </si>
  <si>
    <t>kpm</t>
  </si>
  <si>
    <t>Dayak, Maanyak</t>
  </si>
  <si>
    <t>mhy</t>
  </si>
  <si>
    <t>Ma'anyan</t>
  </si>
  <si>
    <t>Cao Lan, San Chay</t>
  </si>
  <si>
    <t>mlc</t>
  </si>
  <si>
    <t>Cao Lan</t>
  </si>
  <si>
    <t>Han Chinese, Teochew</t>
  </si>
  <si>
    <t>Bikol, Catanduanes</t>
  </si>
  <si>
    <t>bln</t>
  </si>
  <si>
    <t>Bikol, Southern Catanduanes</t>
  </si>
  <si>
    <t>Manobo, Binukid</t>
  </si>
  <si>
    <t>bkd</t>
  </si>
  <si>
    <t>Binukid</t>
  </si>
  <si>
    <t>Marma</t>
  </si>
  <si>
    <t>Karaiyar</t>
  </si>
  <si>
    <t>Bahnar</t>
  </si>
  <si>
    <t>bdq</t>
  </si>
  <si>
    <t>Inibaloi</t>
  </si>
  <si>
    <t>Inibaloi, Nabaloi</t>
  </si>
  <si>
    <t>ibl</t>
  </si>
  <si>
    <t>Ibaloi</t>
  </si>
  <si>
    <t>Mro-Khimi</t>
  </si>
  <si>
    <t>cmr</t>
  </si>
  <si>
    <t>Subanen, Central</t>
  </si>
  <si>
    <t>syb</t>
  </si>
  <si>
    <t>Kapali</t>
  </si>
  <si>
    <t>Dusun, Central</t>
  </si>
  <si>
    <t>Lamaholot, Solorese</t>
  </si>
  <si>
    <t>Karen, Pwo Western</t>
  </si>
  <si>
    <t>pwo</t>
  </si>
  <si>
    <t>Sutradhar (Hindu traditions)</t>
  </si>
  <si>
    <t>Koviar</t>
  </si>
  <si>
    <t>Bairagi (Hindu traditions)</t>
  </si>
  <si>
    <t>Karen, S'gaw</t>
  </si>
  <si>
    <t>ksw</t>
  </si>
  <si>
    <t>Itawit, Tawit</t>
  </si>
  <si>
    <t>Tountemboan</t>
  </si>
  <si>
    <t>tnt</t>
  </si>
  <si>
    <t>Tontemboan</t>
  </si>
  <si>
    <t>Bikol, Northern</t>
  </si>
  <si>
    <t>bks</t>
  </si>
  <si>
    <t>Sorsoganon, Northern</t>
  </si>
  <si>
    <t>Tamboli (Hindu traditions)</t>
  </si>
  <si>
    <t>Palaung, Shwe</t>
  </si>
  <si>
    <t>pll</t>
  </si>
  <si>
    <t>Nepali, general</t>
  </si>
  <si>
    <t>Hinna</t>
  </si>
  <si>
    <t>Pannikki</t>
  </si>
  <si>
    <t>Jhalo Malo</t>
  </si>
  <si>
    <t>Sikkanese</t>
  </si>
  <si>
    <t>ski</t>
  </si>
  <si>
    <t>Sika</t>
  </si>
  <si>
    <t>Chin, Tedim</t>
  </si>
  <si>
    <t>ctd</t>
  </si>
  <si>
    <t>Kankanaey</t>
  </si>
  <si>
    <t>Kankanaey, Kibungan</t>
  </si>
  <si>
    <t>kne</t>
  </si>
  <si>
    <t>Dani, Western</t>
  </si>
  <si>
    <t xml:space="preserve">Dani, Western </t>
  </si>
  <si>
    <t>dnw</t>
  </si>
  <si>
    <t>Davaweno</t>
  </si>
  <si>
    <t>daw</t>
  </si>
  <si>
    <t>Davawenyo</t>
  </si>
  <si>
    <t>Kupang</t>
  </si>
  <si>
    <t>mkn</t>
  </si>
  <si>
    <t>Malay, Kupang</t>
  </si>
  <si>
    <t>Kaibartta Jalia</t>
  </si>
  <si>
    <t>Kampuchea Krom</t>
  </si>
  <si>
    <t>Sumba</t>
  </si>
  <si>
    <t>xbr</t>
  </si>
  <si>
    <t>Kambera</t>
  </si>
  <si>
    <t>Mochi (Hindu traditions)</t>
  </si>
  <si>
    <t>Sangir, Great Sangir</t>
  </si>
  <si>
    <t>Mongondow</t>
  </si>
  <si>
    <t>mog</t>
  </si>
  <si>
    <t>Sunri Sadhubanik</t>
  </si>
  <si>
    <t>Rajbansi Pali</t>
  </si>
  <si>
    <t>Bikol, West Albay</t>
  </si>
  <si>
    <t>fbl</t>
  </si>
  <si>
    <t>Salagama</t>
  </si>
  <si>
    <t>Ambonese</t>
  </si>
  <si>
    <t>Hannali</t>
  </si>
  <si>
    <t>tsq</t>
  </si>
  <si>
    <t>Thai Sign Language</t>
  </si>
  <si>
    <t>Bikol, Miraya</t>
  </si>
  <si>
    <t>rbl</t>
  </si>
  <si>
    <t>Radava</t>
  </si>
  <si>
    <t>Berava</t>
  </si>
  <si>
    <t>Batgama</t>
  </si>
  <si>
    <t>Zhuang, Zuojiang</t>
  </si>
  <si>
    <t>zzj</t>
  </si>
  <si>
    <t>Bikol, Iriga</t>
  </si>
  <si>
    <t>bto</t>
  </si>
  <si>
    <t>Bikol, Rinconada</t>
  </si>
  <si>
    <t>Surigaonon</t>
  </si>
  <si>
    <t>sgd</t>
  </si>
  <si>
    <t>Bikol, Southern</t>
  </si>
  <si>
    <t>srv</t>
  </si>
  <si>
    <t>Sorsoganon, Southern</t>
  </si>
  <si>
    <t>Tetun Dili</t>
  </si>
  <si>
    <t>tdt</t>
  </si>
  <si>
    <t>Kamayo</t>
  </si>
  <si>
    <t>kyk</t>
  </si>
  <si>
    <t>Filipino-Chinese, Mestizo</t>
  </si>
  <si>
    <t>Govigama</t>
  </si>
  <si>
    <t>Batak, Silindung</t>
  </si>
  <si>
    <t>Jogi (Hindu traditions)</t>
  </si>
  <si>
    <t>Kinaray-A</t>
  </si>
  <si>
    <t>krj</t>
  </si>
  <si>
    <t>Santal</t>
  </si>
  <si>
    <t>Santal, Satar</t>
  </si>
  <si>
    <t>Sunri (Hindu traditions)</t>
  </si>
  <si>
    <t>Aklano</t>
  </si>
  <si>
    <t>akl</t>
  </si>
  <si>
    <t>Aklanon</t>
  </si>
  <si>
    <t>Sri Lanka Moor</t>
  </si>
  <si>
    <t>Durava</t>
  </si>
  <si>
    <t>hab</t>
  </si>
  <si>
    <t>Hanoi Sign Language</t>
  </si>
  <si>
    <t>Gattara</t>
  </si>
  <si>
    <t>Manggarai</t>
  </si>
  <si>
    <t>mqy</t>
  </si>
  <si>
    <t>Timorese</t>
  </si>
  <si>
    <t>Timorese, Atoni</t>
  </si>
  <si>
    <t>aoz</t>
  </si>
  <si>
    <t>Uab Meto</t>
  </si>
  <si>
    <t>psp</t>
  </si>
  <si>
    <t>Filipino Sign Language</t>
  </si>
  <si>
    <t>Ibanag</t>
  </si>
  <si>
    <t>Ibanag, Ybanag</t>
  </si>
  <si>
    <t>ibg</t>
  </si>
  <si>
    <t>Capisano</t>
  </si>
  <si>
    <t>cps</t>
  </si>
  <si>
    <t>Capiznon</t>
  </si>
  <si>
    <t>Masbateno</t>
  </si>
  <si>
    <t>msb</t>
  </si>
  <si>
    <t>Masbatenyo</t>
  </si>
  <si>
    <t>Toraja-Sa'dan</t>
  </si>
  <si>
    <t>Toraja-Sa'dan, South Toraja</t>
  </si>
  <si>
    <t>sda</t>
  </si>
  <si>
    <t>Niassan, Nias</t>
  </si>
  <si>
    <t>Kachin</t>
  </si>
  <si>
    <t>Kachin Jingpo</t>
  </si>
  <si>
    <t>kac</t>
  </si>
  <si>
    <t>Jingpho</t>
  </si>
  <si>
    <t>Karava</t>
  </si>
  <si>
    <t>Chabakano Creole</t>
  </si>
  <si>
    <t>cbk</t>
  </si>
  <si>
    <t>Chavacano</t>
  </si>
  <si>
    <t>Manadonese</t>
  </si>
  <si>
    <t>Tamil (Muslim traditions)</t>
  </si>
  <si>
    <t>Dayak, Ngaju</t>
  </si>
  <si>
    <t>nij</t>
  </si>
  <si>
    <t>Ngaju</t>
  </si>
  <si>
    <t>Navandanna</t>
  </si>
  <si>
    <t>Vellalar</t>
  </si>
  <si>
    <t>Muong</t>
  </si>
  <si>
    <t>mtq</t>
  </si>
  <si>
    <t>Khmer, Northern</t>
  </si>
  <si>
    <t>kxm</t>
  </si>
  <si>
    <t>Pangasinese</t>
  </si>
  <si>
    <t>pag</t>
  </si>
  <si>
    <t>Pangasinan</t>
  </si>
  <si>
    <t>Rajbansi (Hindu traditions)</t>
  </si>
  <si>
    <t>Batak Simalungun</t>
  </si>
  <si>
    <t>bts</t>
  </si>
  <si>
    <t>Valmiki, Balmiki</t>
  </si>
  <si>
    <t>Kayastha (Hindu traditions)</t>
  </si>
  <si>
    <t>Tay</t>
  </si>
  <si>
    <t>tyz</t>
  </si>
  <si>
    <t>Han Chinese, Hokkien</t>
  </si>
  <si>
    <t>Pampango</t>
  </si>
  <si>
    <t>Pampango, Pampaneno</t>
  </si>
  <si>
    <t>pam</t>
  </si>
  <si>
    <t>Kapampangan</t>
  </si>
  <si>
    <t>Namassej Chandel</t>
  </si>
  <si>
    <t>Filipino, Mestizo</t>
  </si>
  <si>
    <t>Waray-Waray</t>
  </si>
  <si>
    <t>Waray-Waray, Binisaya</t>
  </si>
  <si>
    <t>war</t>
  </si>
  <si>
    <t>Thai-Chinese</t>
  </si>
  <si>
    <t>Hiligaynon</t>
  </si>
  <si>
    <t>hil</t>
  </si>
  <si>
    <t>Wahumpura</t>
  </si>
  <si>
    <t>Ilocano</t>
  </si>
  <si>
    <t>ilo</t>
  </si>
  <si>
    <t>Hung-Tum</t>
  </si>
  <si>
    <t>Tay Pong</t>
  </si>
  <si>
    <t>Hmong Do</t>
  </si>
  <si>
    <t>hmv</t>
  </si>
  <si>
    <t>Hmong Don</t>
  </si>
  <si>
    <t>hmf</t>
  </si>
  <si>
    <t>Tay Tac</t>
  </si>
  <si>
    <t>tyt</t>
  </si>
  <si>
    <t>Zhuang, Yang</t>
  </si>
  <si>
    <t>zyg</t>
  </si>
  <si>
    <t>People Group Clusters</t>
  </si>
  <si>
    <t>Total</t>
  </si>
  <si>
    <t>Plan After Start-up Funding Ends:</t>
  </si>
  <si>
    <t>SSD Global Mission Project Application and Reporting Template</t>
  </si>
  <si>
    <r>
      <t xml:space="preserve">What kind of group will you start? A church plant (one group), house church network (multiple groups), or disciple-making movement (multiplying disciple-makers which multiply groups), or a special ministry disciple-making movement (multiplying disciple-makers amongst resistant people groups). 
</t>
    </r>
    <r>
      <rPr>
        <i/>
        <sz val="10"/>
        <color rgb="FF000000"/>
        <rFont val="Helvetica Neue"/>
        <family val="2"/>
        <scheme val="minor"/>
      </rPr>
      <t>(select from drop-down list)</t>
    </r>
  </si>
  <si>
    <r>
      <t xml:space="preserve">Indicate the main progressive phase you need to begin working on for the application year:
</t>
    </r>
    <r>
      <rPr>
        <i/>
        <sz val="10"/>
        <color rgb="FF000000"/>
        <rFont val="Helvetica Neue"/>
        <family val="2"/>
        <scheme val="minor"/>
      </rPr>
      <t>(select from drop-down list)</t>
    </r>
  </si>
  <si>
    <r>
      <rPr>
        <u/>
        <sz val="10"/>
        <color rgb="FF000000"/>
        <rFont val="Helvetica Neue"/>
        <family val="2"/>
        <scheme val="minor"/>
      </rPr>
      <t>Preparation Phase:</t>
    </r>
    <r>
      <rPr>
        <sz val="10"/>
        <color indexed="8"/>
        <rFont val="Helvetica Neue"/>
        <family val="2"/>
        <scheme val="minor"/>
      </rPr>
      <t xml:space="preserve"> Identifying an unreached people group and assessing opportunities for a new Global Mission project. Main objectives:</t>
    </r>
  </si>
  <si>
    <r>
      <rPr>
        <u/>
        <sz val="10"/>
        <color rgb="FF000000"/>
        <rFont val="Helvetica Neue"/>
        <family val="2"/>
        <scheme val="minor"/>
      </rPr>
      <t>Implementation Phase:</t>
    </r>
    <r>
      <rPr>
        <sz val="10"/>
        <color indexed="8"/>
        <rFont val="Helvetica Neue"/>
        <family val="2"/>
        <scheme val="minor"/>
      </rPr>
      <t xml:space="preserve"> The start-up activities of a project after pioneer deployment. Phase objectives:</t>
    </r>
  </si>
  <si>
    <r>
      <rPr>
        <u/>
        <sz val="10"/>
        <color rgb="FF000000"/>
        <rFont val="Helvetica Neue"/>
        <family val="2"/>
        <scheme val="minor"/>
      </rPr>
      <t>Development Phase:</t>
    </r>
    <r>
      <rPr>
        <sz val="10"/>
        <color indexed="8"/>
        <rFont val="Helvetica Neue"/>
        <family val="2"/>
        <scheme val="minor"/>
      </rPr>
      <t xml:space="preserve"> Seeking to establish a weekly group of disciples on Sabbath from the target unreached people group. Phase objectives:</t>
    </r>
  </si>
  <si>
    <r>
      <rPr>
        <u/>
        <sz val="10"/>
        <color rgb="FF000000"/>
        <rFont val="Helvetica Neue"/>
        <family val="2"/>
        <scheme val="minor"/>
      </rPr>
      <t>Establishment Phase:</t>
    </r>
    <r>
      <rPr>
        <sz val="10"/>
        <color indexed="8"/>
        <rFont val="Helvetica Neue"/>
        <family val="2"/>
        <scheme val="minor"/>
      </rPr>
      <t xml:space="preserve"> Prioritizing discipling disciplemakers and developing leaders towards establishing an organized Seventh-day Adventist company or church for the target people group. Phase objectives:</t>
    </r>
  </si>
  <si>
    <r>
      <rPr>
        <u/>
        <sz val="10"/>
        <color rgb="FF000000"/>
        <rFont val="Helvetica Neue"/>
        <family val="2"/>
        <scheme val="minor"/>
      </rPr>
      <t>Accomplishment Phase:</t>
    </r>
    <r>
      <rPr>
        <sz val="10"/>
        <color indexed="8"/>
        <rFont val="Helvetica Neue"/>
        <family val="2"/>
        <scheme val="minor"/>
      </rPr>
      <t xml:space="preserve"> Independent of GC and SSD Global Mission funding, the group is organized as a company or church and continues to multiply and fulfill the Adventist mission. This may include one final year of funding to accomplish the transition. Phase objectives:</t>
    </r>
  </si>
  <si>
    <r>
      <t xml:space="preserve">Specific, measurable outcomes for the project focused on achieving your purpose according to the project's phase for this year. Objectives can be behavioural (changing what people do, think, say, or who they are), community focused (changing the behaviour of a community), or process oriented (changing how something is done or happens). Three objectives will be filled in to match the project phase. A fourth objective (optional) can be made as you choose.
</t>
    </r>
    <r>
      <rPr>
        <i/>
        <sz val="10"/>
        <color rgb="FF000000"/>
        <rFont val="Helvetica Neue"/>
        <family val="2"/>
        <scheme val="minor"/>
      </rPr>
      <t>(Objectives 1-3 will be generated automatically as phase is selected)</t>
    </r>
  </si>
  <si>
    <r>
      <t xml:space="preserve">For </t>
    </r>
    <r>
      <rPr>
        <u/>
        <sz val="10"/>
        <color indexed="8"/>
        <rFont val="Helvetica Neue"/>
        <family val="2"/>
        <scheme val="minor"/>
      </rPr>
      <t>each</t>
    </r>
    <r>
      <rPr>
        <sz val="10"/>
        <color indexed="8"/>
        <rFont val="Helvetica Neue"/>
        <family val="2"/>
        <scheme val="minor"/>
      </rPr>
      <t xml:space="preserve"> of the three objectives, list three specific activities planned for the current year consisting of activity (what will be done), the people responsible (by whom), the resources/funds required (using what), and the month this is to be acccomplished (by when).
</t>
    </r>
    <r>
      <rPr>
        <i/>
        <sz val="10"/>
        <color indexed="8"/>
        <rFont val="Helvetica Neue"/>
        <family val="2"/>
        <scheme val="minor"/>
      </rPr>
      <t>(ex: Action Step 1: to share a non-confrontational witness story with no less than 3 people daily; Responsible—Pioneer; Resources—none needed; January)
(please use the drop-down list for the month this is to be accomplished)</t>
    </r>
  </si>
  <si>
    <r>
      <t xml:space="preserve">For </t>
    </r>
    <r>
      <rPr>
        <u/>
        <sz val="10"/>
        <color indexed="8"/>
        <rFont val="Helvetica Neue"/>
        <family val="2"/>
        <scheme val="minor"/>
      </rPr>
      <t>each</t>
    </r>
    <r>
      <rPr>
        <sz val="10"/>
        <color indexed="8"/>
        <rFont val="Helvetica Neue"/>
        <family val="2"/>
        <scheme val="minor"/>
      </rPr>
      <t xml:space="preserve"> of the three to four  objectives, what is the smallest gain or increase you would accept for the objective to be considered successful. This should be measurable.
</t>
    </r>
    <r>
      <rPr>
        <i/>
        <sz val="10"/>
        <color indexed="8"/>
        <rFont val="Helvetica Neue"/>
        <family val="2"/>
        <scheme val="minor"/>
      </rPr>
      <t>(ex: “Minimum gain: one DBS Care Group which meets weekly with at least 8 people.)</t>
    </r>
  </si>
  <si>
    <r>
      <t xml:space="preserve">Please indicate how the local mission/conference plans to continue this project when external funding ends after year five.
</t>
    </r>
    <r>
      <rPr>
        <i/>
        <sz val="10"/>
        <color rgb="FF000000"/>
        <rFont val="Helvetica Neue"/>
        <family val="2"/>
        <scheme val="minor"/>
      </rPr>
      <t>(ex: put project into pastoral district; hire a Bible Worker to continue the project funded by mission/conference; start a new project in a nearby location and have the GM pioneer visit the first project 1-2 per month for support; OR other plan)</t>
    </r>
  </si>
  <si>
    <r>
      <t xml:space="preserve">This SSD Global Mission Application and Reporting Template is fairly self-explanitory with helpful notes contained within. 
</t>
    </r>
    <r>
      <rPr>
        <b/>
        <sz val="10"/>
        <color theme="1"/>
        <rFont val="Helvetica Neue"/>
        <family val="2"/>
        <scheme val="minor"/>
      </rPr>
      <t>FOR BEST RESULTS, PLEASE COMPLETE THE EACH TEMPLATE FROM TOP TO BOTTOM</t>
    </r>
  </si>
  <si>
    <r>
      <rPr>
        <sz val="10"/>
        <color rgb="FF000000"/>
        <rFont val="Helvetica Neue"/>
        <family val="2"/>
        <scheme val="minor"/>
      </rPr>
      <t xml:space="preserve">Information from the </t>
    </r>
    <r>
      <rPr>
        <b/>
        <i/>
        <sz val="10"/>
        <color rgb="FF000000"/>
        <rFont val="Helvetica Neue"/>
        <family val="2"/>
        <scheme val="minor"/>
      </rPr>
      <t>Application Sheets</t>
    </r>
    <r>
      <rPr>
        <sz val="10"/>
        <color rgb="FF000000"/>
        <rFont val="Helvetica Neue"/>
        <family val="2"/>
        <scheme val="minor"/>
      </rPr>
      <t xml:space="preserve"> and </t>
    </r>
    <r>
      <rPr>
        <b/>
        <sz val="10"/>
        <color rgb="FF000000"/>
        <rFont val="Helvetica Neue"/>
        <family val="2"/>
        <scheme val="minor"/>
      </rPr>
      <t>Reporting Templates</t>
    </r>
    <r>
      <rPr>
        <sz val="10"/>
        <color rgb="FF000000"/>
        <rFont val="Helvetica Neue"/>
        <family val="2"/>
        <scheme val="minor"/>
      </rPr>
      <t xml:space="preserve"> can be transferred to the 
GC Jordan Database (https://jordan.adventist.org) when complete for it to be considered by the higher organization.
</t>
    </r>
    <r>
      <rPr>
        <b/>
        <sz val="10"/>
        <color rgb="FF000000"/>
        <rFont val="Helvetica Neue"/>
        <family val="2"/>
        <scheme val="minor"/>
      </rPr>
      <t xml:space="preserve">Below are important instructions to understand the questions for strategic planning on the </t>
    </r>
    <r>
      <rPr>
        <i/>
        <sz val="10"/>
        <color rgb="FF000000"/>
        <rFont val="Helvetica Neue"/>
        <family val="2"/>
        <scheme val="minor"/>
      </rPr>
      <t>Planning Template</t>
    </r>
    <r>
      <rPr>
        <b/>
        <sz val="10"/>
        <color rgb="FF000000"/>
        <rFont val="Helvetica Neue"/>
        <family val="2"/>
        <scheme val="minor"/>
      </rPr>
      <t>.</t>
    </r>
  </si>
  <si>
    <r>
      <rPr>
        <sz val="10"/>
        <color theme="1"/>
        <rFont val="Helvetica Neue"/>
        <family val="2"/>
      </rPr>
      <t xml:space="preserve">To be used in the application for, and reporting of, collaborative start-up funding for starting 
disciple-making movements in unreached people groups within the territory of the Southern Asia-Pacific Division.
</t>
    </r>
    <r>
      <rPr>
        <i/>
        <sz val="9"/>
        <color theme="1"/>
        <rFont val="Helvetica Neue"/>
        <family val="2"/>
      </rPr>
      <t>(updated March 26, 2020)</t>
    </r>
  </si>
  <si>
    <r>
      <t xml:space="preserve">Five-year goal for your project: Please indicate the anticipated organizational status at the end of five years (church planting–one main group with disciplemaking care groups; house church network–multiple groups; disciplemaking movement–multiplication of disciple makers leading to multiple groups; special disciplemaking movement–for sensitive and restricted areas).
</t>
    </r>
    <r>
      <rPr>
        <i/>
        <sz val="10"/>
        <color rgb="FF000000"/>
        <rFont val="Helvetica Neue"/>
        <family val="2"/>
        <scheme val="minor"/>
      </rPr>
      <t>(select from drop-down list)</t>
    </r>
  </si>
  <si>
    <t>house church network (multiple home care groups)</t>
  </si>
  <si>
    <t>disciple-making movement (multiplying disciplemakers which multiply home care groups)</t>
  </si>
  <si>
    <t>special ministry disciple-making movement (disciple-making movement amongst resistant people groups)</t>
  </si>
  <si>
    <t>STEP 1</t>
  </si>
  <si>
    <t>Title:</t>
  </si>
  <si>
    <t>Records ID:</t>
  </si>
  <si>
    <t>Country:</t>
  </si>
  <si>
    <t>Starting Year:</t>
  </si>
  <si>
    <t>Duration:</t>
  </si>
  <si>
    <t>People Groups:</t>
  </si>
  <si>
    <t>Population in People Group:</t>
  </si>
  <si>
    <t>Adventist Presence:</t>
  </si>
  <si>
    <t>GM Pioneers:</t>
  </si>
  <si>
    <t>Geolocation:</t>
  </si>
  <si>
    <t>Don’t show location:</t>
  </si>
  <si>
    <t>County / Zone / District:</t>
  </si>
  <si>
    <t>City:</t>
  </si>
  <si>
    <t>Director Name:</t>
  </si>
  <si>
    <t>Director Email:</t>
  </si>
  <si>
    <t>Director Phone:</t>
  </si>
  <si>
    <t>(check this box if this is a high resistance/persecution area)</t>
  </si>
  <si>
    <t>State/Province/Region:</t>
  </si>
  <si>
    <t>In what state, province, or region is the project located?</t>
  </si>
  <si>
    <r>
      <t xml:space="preserve">In what zone, county (note: </t>
    </r>
    <r>
      <rPr>
        <u/>
        <sz val="10"/>
        <color theme="1"/>
        <rFont val="Arial"/>
        <family val="2"/>
      </rPr>
      <t>not</t>
    </r>
    <r>
      <rPr>
        <sz val="10"/>
        <color theme="1"/>
        <rFont val="Arial"/>
        <family val="2"/>
      </rPr>
      <t xml:space="preserve"> country), or district is the project located?</t>
    </r>
  </si>
  <si>
    <t>STEP 2</t>
  </si>
  <si>
    <r>
      <t xml:space="preserve">Use the following information to complete the first step of your </t>
    </r>
    <r>
      <rPr>
        <i/>
        <u/>
        <sz val="10"/>
        <color rgb="FF000000"/>
        <rFont val="Helvetica Neue (Body)"/>
      </rPr>
      <t>NEW</t>
    </r>
    <r>
      <rPr>
        <sz val="10"/>
        <color indexed="8"/>
        <rFont val="Helvetica Neue"/>
        <family val="2"/>
        <scheme val="minor"/>
      </rPr>
      <t xml:space="preserve"> GM project application. Log into your account on Jordan (https://jordan.adventist.org), select the correct entity in the left column, then click "</t>
    </r>
    <r>
      <rPr>
        <sz val="10"/>
        <color rgb="FF000000"/>
        <rFont val="Helvetica Neue (Body)"/>
      </rPr>
      <t>+</t>
    </r>
    <r>
      <rPr>
        <sz val="10"/>
        <color indexed="8"/>
        <rFont val="Helvetica Neue"/>
        <family val="2"/>
        <scheme val="minor"/>
      </rPr>
      <t>New" at the top of the center column to start a new project application. Submit when the information is complete.</t>
    </r>
  </si>
  <si>
    <t>Objective:</t>
  </si>
  <si>
    <t>1) Continue initiatives from Implementation Phase (prayer/assessment, witness, disciple-making).</t>
  </si>
  <si>
    <t>1) Continue initiatives from Development Phase (prayer/assessment, witness, disciple-making, DBS, special initiatives).</t>
  </si>
  <si>
    <t>1) Continue initiatives from Establishment Phase (prayer/assessment, witness, disciple-making, DBS, special initiatives).</t>
  </si>
  <si>
    <t>A. If your answer above is "other", write your plan below. Otherwise enter "n/a".</t>
  </si>
  <si>
    <t>Purpose</t>
  </si>
  <si>
    <t>Put project into a pastoral district</t>
  </si>
  <si>
    <t>Hire a worker to continue the project funded by mission/conference</t>
  </si>
  <si>
    <t>Start a new project nearby location and assign the GM pioneer to visit the first project 1-2 per month for support</t>
  </si>
  <si>
    <t>STEP 3</t>
  </si>
  <si>
    <t>Pioneer 1:</t>
  </si>
  <si>
    <t>End Plan:</t>
  </si>
  <si>
    <t>First:</t>
  </si>
  <si>
    <t>Last:</t>
  </si>
  <si>
    <t>E-mail:</t>
  </si>
  <si>
    <t>Mobile Phone:</t>
  </si>
  <si>
    <t>Gender:</t>
  </si>
  <si>
    <t>Years as GMP:</t>
  </si>
  <si>
    <t>Education:</t>
  </si>
  <si>
    <t>Status:</t>
  </si>
  <si>
    <t>STEP 4</t>
  </si>
  <si>
    <t>Budget</t>
  </si>
  <si>
    <t>Source of Funding</t>
  </si>
  <si>
    <t>Local Currency</t>
  </si>
  <si>
    <t>MMK</t>
  </si>
  <si>
    <t>Financial Variables</t>
  </si>
  <si>
    <t>LKR</t>
  </si>
  <si>
    <t>How much will you ask from the Southern Asia-Pacific Division?</t>
  </si>
  <si>
    <t>How much will you ask from the General Conference?</t>
  </si>
  <si>
    <t>BDT</t>
  </si>
  <si>
    <t>MYR</t>
  </si>
  <si>
    <t>PKR</t>
  </si>
  <si>
    <t>PHP</t>
  </si>
  <si>
    <t>THB</t>
  </si>
  <si>
    <t>USD</t>
  </si>
  <si>
    <t>BND</t>
  </si>
  <si>
    <t>IDR</t>
  </si>
  <si>
    <t>SGD</t>
  </si>
  <si>
    <t>How many bonus months are you required to pay your GM Pioneer(s) annually? (ex: 13th Month, Ramadan, etc.)</t>
  </si>
  <si>
    <t>STEP 5</t>
  </si>
  <si>
    <t>Pioneer 2:</t>
  </si>
  <si>
    <t>E-mail the following information to SSD Adventist Mission (mission@ssd.org) for the Global Mission Pioneer records along with a clear, high resolution, digital photo of the face of the pioneer(s).</t>
  </si>
  <si>
    <t>Pioneer Cost Stipend</t>
  </si>
  <si>
    <t>Pioneer Cost Housing</t>
  </si>
  <si>
    <t>Pioneer Cost Transportation</t>
  </si>
  <si>
    <t>Pioneer Cost Training</t>
  </si>
  <si>
    <t>Pioneer Cost Supervision</t>
  </si>
  <si>
    <t>Pioneer Cost Miscellaneous</t>
  </si>
  <si>
    <t>Equipment Furnishings</t>
  </si>
  <si>
    <t>Equipment Projectors</t>
  </si>
  <si>
    <t>Equipment Boat</t>
  </si>
  <si>
    <t>Evangelism Equipment</t>
  </si>
  <si>
    <t>Evangelism Literature</t>
  </si>
  <si>
    <t>Evangelism Publicity</t>
  </si>
  <si>
    <t>Evangelism Rent</t>
  </si>
  <si>
    <t>Evangelism Miscellaneous</t>
  </si>
  <si>
    <t>Location Costs Worship Place</t>
  </si>
  <si>
    <t>TOTAL</t>
  </si>
  <si>
    <t>General Conference</t>
  </si>
  <si>
    <t>SSD</t>
  </si>
  <si>
    <t>Local Church</t>
  </si>
  <si>
    <t>STEP 6</t>
  </si>
  <si>
    <t>What is the annual amount needed for your Pioneer(s) stipend?</t>
  </si>
  <si>
    <t>What is the annual amount needed for your Pioneer(s) housing?</t>
  </si>
  <si>
    <t>What is the annual amount needed for your Pioneer(s) local travel?</t>
  </si>
  <si>
    <t>What is the annual amount needed for your Pioneer(s) training?</t>
  </si>
  <si>
    <t>What is the annual amount needed for the supervisor to visit/support the Pioneer and monitor/assess this project?</t>
  </si>
  <si>
    <t>(SSD recommends a union-wide GM Pioneer emergency fund kept at the union in an exclusive allocated fund.)</t>
  </si>
  <si>
    <t>(SSD recommends purchasing Adventist Risk Management Global Life insurance for full time GM Pioneers.)</t>
  </si>
  <si>
    <t>What are other anticipated annual Pioneer expenses not included above?</t>
  </si>
  <si>
    <t>What literature or books do you need this year for witness, discipleship, or evangelism?</t>
  </si>
  <si>
    <t>How much is needed to publicize witness, discipleship, or evangelism special programs?</t>
  </si>
  <si>
    <t>How much is needed to rent a facility for a once-per-year special program or public evangelism?</t>
  </si>
  <si>
    <t>What are other anticipated annual worship, discipleship, or evangelism expenses not included above?</t>
  </si>
  <si>
    <t>What new furniture is needed for the Pioneer(s)? (Once only: amortized over 3 years)</t>
  </si>
  <si>
    <t>Is loan/grant assistance for a laptop/projector/phone needed for the Pioneer? (Once only: amortized over 3 years)</t>
  </si>
  <si>
    <t>Is loan/grant assistance for a bike/motorbike/boat needed for the Pioneer? (Once only: amortized over 3 years)</t>
  </si>
  <si>
    <t>What equipment do you need for special programs? (Once only: amortized over 3 years)</t>
  </si>
  <si>
    <t>The percentages and amounts indicated below are generic suggestions based past projects.</t>
  </si>
  <si>
    <t>Change the amounts to what best fits your project. SSD recommends that stipends should not be changed much.</t>
  </si>
  <si>
    <t>Click on "Fund" in the right column of the main screen of the project. Click on each corresponding line in the project's shared funding section, click "edit" in the top right of the screen, and enter the amount below in either the "amount" if the budget is in local currency, or "USD amount" if the budget is in USD. Click "Accept" when finished. Repeat for each line.</t>
  </si>
  <si>
    <t>Click on "Budget" in the right column of the main menu of the project. Click on each corresponding line in the project's budget section, click "edit" in the top right of the screen, and enter the amount below in either the "local amount" if the budget is in local currency, or "USD amount" if the budget is in USD. Click "Accept" when finished. Repeat for each line.</t>
  </si>
  <si>
    <t>Click on "Report" in the top right column of the main screen of the project. This will open a pdf with all of your project details. Vote this project, the budget, and your entity's contribution to the fund sharing budget in the appropriate controlling committee. Suggested wording:</t>
  </si>
  <si>
    <t>STEP 7</t>
  </si>
  <si>
    <t>Click on "Submit" at the top right of the main screen of the project. Follow the instructions to submit this project to the next level, including the action number and wording of the action from your controlling committee. You will be notified whaen your project has been approved at the GC level. Until funding is approved at this level, funding is not guarenteed. Please proceed with caution.</t>
  </si>
  <si>
    <r>
      <t xml:space="preserve">After submitting, click on "Info" at the top of the right column of the main screen of the project. Then, click "Edit" at the top right of the screen. Finally, copy the </t>
    </r>
    <r>
      <rPr>
        <b/>
        <sz val="10"/>
        <color rgb="FF000000"/>
        <rFont val="Helvetica Neue"/>
        <family val="2"/>
        <scheme val="minor"/>
      </rPr>
      <t>entire information</t>
    </r>
    <r>
      <rPr>
        <sz val="10"/>
        <color indexed="8"/>
        <rFont val="Helvetica Neue"/>
        <family val="2"/>
        <scheme val="minor"/>
      </rPr>
      <t xml:space="preserve"> in the </t>
    </r>
    <r>
      <rPr>
        <b/>
        <sz val="10"/>
        <color rgb="FF000000"/>
        <rFont val="Helvetica Neue"/>
        <family val="2"/>
        <scheme val="minor"/>
      </rPr>
      <t>coloured section below</t>
    </r>
    <r>
      <rPr>
        <sz val="10"/>
        <color indexed="8"/>
        <rFont val="Helvetica Neue"/>
        <family val="2"/>
        <scheme val="minor"/>
      </rPr>
      <t xml:space="preserve"> into the text box under "Description" at the bottom of the right column.</t>
    </r>
  </si>
  <si>
    <t>Proceed to the excel sheet "Jordan Data" for instructions on submitting your data to Jordan Database.</t>
  </si>
  <si>
    <r>
      <t xml:space="preserve">The following steps mus be taken to submit your project AFTER completing the </t>
    </r>
    <r>
      <rPr>
        <b/>
        <sz val="10"/>
        <color theme="1"/>
        <rFont val="Helvetica Neue"/>
        <family val="2"/>
      </rPr>
      <t>Planning Template</t>
    </r>
    <r>
      <rPr>
        <i/>
        <sz val="10"/>
        <color theme="1"/>
        <rFont val="Helvetica Neue"/>
        <family val="2"/>
      </rPr>
      <t xml:space="preserve"> sheet. If you do not have access to Jordan Database, please contact your union Adventist Mission director for assistance.</t>
    </r>
  </si>
  <si>
    <t>Local Global Mission Project/Church/Individual/Supporting Ministry (Tithes &amp; Offerings)</t>
  </si>
  <si>
    <t>single church plant (one main group)</t>
  </si>
  <si>
    <t>What quarter are you reporting?</t>
  </si>
  <si>
    <t>Action Plan 1A:</t>
  </si>
  <si>
    <t>Action Plan 1B:</t>
  </si>
  <si>
    <t>Action Plan 1C:</t>
  </si>
  <si>
    <t>Action Plan 2A:</t>
  </si>
  <si>
    <t>Action Plan 2B:</t>
  </si>
  <si>
    <t>Action Plan 2C:</t>
  </si>
  <si>
    <t>Action Plan 3A:</t>
  </si>
  <si>
    <t>Action Plan 3B:</t>
  </si>
  <si>
    <t>Action Plan 3C:</t>
  </si>
  <si>
    <t>Have the action and results met the minimum gain expectations set for objective 1 yet?</t>
  </si>
  <si>
    <t>Have the action and results met the minimum gain expectations set for objective 3 yet?</t>
  </si>
  <si>
    <t>Have the action and results met the minimum gain expectations set for objective 2 yet?</t>
  </si>
  <si>
    <t>Who is this story about?</t>
  </si>
  <si>
    <t>When and where did it happen?</t>
  </si>
  <si>
    <t>What happened? How did they experienced the love and power of God in their life?</t>
  </si>
  <si>
    <t>Statistics Report</t>
  </si>
  <si>
    <t>For Q1 to Q3, please copy and paste the coloured section below into your e-mail.</t>
  </si>
  <si>
    <t>For Q4, please submit in the report section of the Jordan Database.</t>
  </si>
  <si>
    <t>Please complete and submit the following information by the third Tuesday of each quarter.</t>
  </si>
  <si>
    <t>Please complete the following form from top to bottom to make your project report.</t>
  </si>
  <si>
    <t>Project Report:</t>
  </si>
  <si>
    <t>Submit the information below by e-mail to your union AM Director by the third Tuesday after each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</si>
</sst>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OL]0.00"/>
  </numFmts>
  <fonts count="54">
    <font>
      <sz val="10"/>
      <color indexed="8"/>
      <name val="Helvetica Neue"/>
    </font>
    <font>
      <sz val="12"/>
      <color theme="1"/>
      <name val="Helvetica Neue"/>
      <family val="2"/>
      <scheme val="minor"/>
    </font>
    <font>
      <b/>
      <sz val="10"/>
      <color indexed="8"/>
      <name val="Arial"/>
      <family val="2"/>
    </font>
    <font>
      <sz val="10"/>
      <color indexed="8"/>
      <name val="Arial"/>
      <family val="2"/>
    </font>
    <font>
      <i/>
      <sz val="10"/>
      <color indexed="8"/>
      <name val="Arial"/>
      <family val="2"/>
    </font>
    <font>
      <b/>
      <sz val="10"/>
      <color theme="0"/>
      <name val="Helvetica Neue"/>
      <family val="2"/>
    </font>
    <font>
      <sz val="10"/>
      <color theme="0"/>
      <name val="Helvetica Neue"/>
      <family val="2"/>
    </font>
    <font>
      <sz val="10"/>
      <color theme="1"/>
      <name val="Helvetica Neue"/>
      <family val="2"/>
    </font>
    <font>
      <b/>
      <sz val="13"/>
      <color theme="1"/>
      <name val="Helvetica Neue"/>
      <family val="2"/>
    </font>
    <font>
      <i/>
      <sz val="10"/>
      <color theme="1"/>
      <name val="Helvetica Neue"/>
      <family val="2"/>
    </font>
    <font>
      <b/>
      <sz val="10"/>
      <color theme="1"/>
      <name val="Helvetica Neue"/>
      <family val="2"/>
    </font>
    <font>
      <b/>
      <sz val="10"/>
      <color theme="1"/>
      <name val="Arial"/>
      <family val="2"/>
    </font>
    <font>
      <sz val="10"/>
      <color theme="1"/>
      <name val="Arial"/>
      <family val="2"/>
    </font>
    <font>
      <i/>
      <sz val="10"/>
      <color theme="1"/>
      <name val="Arial"/>
      <family val="2"/>
    </font>
    <font>
      <b/>
      <sz val="12"/>
      <color theme="1"/>
      <name val="Arial"/>
      <family val="2"/>
    </font>
    <font>
      <b/>
      <sz val="10"/>
      <color rgb="FF000000"/>
      <name val="Arial"/>
      <family val="2"/>
    </font>
    <font>
      <sz val="10"/>
      <color theme="0"/>
      <name val="Arial"/>
      <family val="2"/>
    </font>
    <font>
      <sz val="10"/>
      <color rgb="FF000000"/>
      <name val="Arial"/>
      <family val="2"/>
    </font>
    <font>
      <u/>
      <sz val="10"/>
      <color theme="1"/>
      <name val="Arial"/>
      <family val="2"/>
    </font>
    <font>
      <b/>
      <sz val="12"/>
      <color theme="1"/>
      <name val="Helvetica Neue"/>
      <family val="2"/>
    </font>
    <font>
      <sz val="10"/>
      <color rgb="FFFFFFEA"/>
      <name val="Helvetica Neue"/>
      <family val="2"/>
    </font>
    <font>
      <sz val="10"/>
      <color rgb="FFFFFFEA"/>
      <name val="Arial"/>
      <family val="2"/>
    </font>
    <font>
      <b/>
      <i/>
      <sz val="10"/>
      <color theme="1"/>
      <name val="Arial"/>
      <family val="2"/>
    </font>
    <font>
      <sz val="10"/>
      <color indexed="8"/>
      <name val="Helvetica Neue"/>
      <family val="2"/>
    </font>
    <font>
      <sz val="12"/>
      <color indexed="8"/>
      <name val="Helvetica Neue"/>
      <family val="2"/>
      <scheme val="minor"/>
    </font>
    <font>
      <b/>
      <sz val="12"/>
      <color indexed="8"/>
      <name val="Helvetica Neue"/>
      <family val="2"/>
      <scheme val="minor"/>
    </font>
    <font>
      <b/>
      <u/>
      <sz val="10"/>
      <color theme="1"/>
      <name val="Helvetica Neue"/>
      <family val="2"/>
    </font>
    <font>
      <b/>
      <sz val="14"/>
      <color theme="1"/>
      <name val="Helvetica Neue"/>
      <family val="2"/>
    </font>
    <font>
      <sz val="10"/>
      <color theme="1"/>
      <name val="Helvetica Neue"/>
      <family val="2"/>
      <scheme val="minor"/>
    </font>
    <font>
      <b/>
      <sz val="10"/>
      <color theme="1"/>
      <name val="Helvetica Neue"/>
      <family val="2"/>
      <scheme val="minor"/>
    </font>
    <font>
      <sz val="10"/>
      <color indexed="8"/>
      <name val="Helvetica Neue"/>
      <family val="2"/>
      <scheme val="minor"/>
    </font>
    <font>
      <i/>
      <sz val="10"/>
      <color indexed="8"/>
      <name val="Helvetica Neue"/>
      <family val="2"/>
      <scheme val="minor"/>
    </font>
    <font>
      <b/>
      <sz val="10"/>
      <color rgb="FF000000"/>
      <name val="Helvetica Neue"/>
      <family val="2"/>
      <scheme val="minor"/>
    </font>
    <font>
      <b/>
      <sz val="10"/>
      <color indexed="8"/>
      <name val="Helvetica Neue"/>
      <family val="2"/>
      <scheme val="minor"/>
    </font>
    <font>
      <i/>
      <sz val="10"/>
      <color rgb="FF000000"/>
      <name val="Helvetica Neue"/>
      <family val="2"/>
      <scheme val="minor"/>
    </font>
    <font>
      <u/>
      <sz val="10"/>
      <color rgb="FF000000"/>
      <name val="Helvetica Neue"/>
      <family val="2"/>
      <scheme val="minor"/>
    </font>
    <font>
      <u/>
      <sz val="10"/>
      <color indexed="8"/>
      <name val="Helvetica Neue"/>
      <family val="2"/>
      <scheme val="minor"/>
    </font>
    <font>
      <sz val="10"/>
      <color rgb="FF000000"/>
      <name val="Helvetica Neue"/>
      <family val="2"/>
      <scheme val="minor"/>
    </font>
    <font>
      <b/>
      <i/>
      <sz val="10"/>
      <color rgb="FF000000"/>
      <name val="Helvetica Neue"/>
      <family val="2"/>
      <scheme val="minor"/>
    </font>
    <font>
      <b/>
      <sz val="14"/>
      <color theme="1"/>
      <name val="Arial"/>
      <family val="2"/>
    </font>
    <font>
      <i/>
      <sz val="9"/>
      <color theme="1"/>
      <name val="Helvetica Neue"/>
      <family val="2"/>
    </font>
    <font>
      <b/>
      <sz val="14"/>
      <color rgb="FF000000"/>
      <name val="Helvetica Neue"/>
      <family val="2"/>
      <scheme val="minor"/>
    </font>
    <font>
      <i/>
      <u/>
      <sz val="10"/>
      <color rgb="FF000000"/>
      <name val="Helvetica Neue (Body)"/>
    </font>
    <font>
      <sz val="10"/>
      <color rgb="FF000000"/>
      <name val="Helvetica Neue (Body)"/>
    </font>
    <font>
      <sz val="10"/>
      <color indexed="8"/>
      <name val="Helvetica Neue (Body)"/>
    </font>
    <font>
      <b/>
      <sz val="10"/>
      <color rgb="FF000000"/>
      <name val="Helvetica Neue (Body)"/>
    </font>
    <font>
      <sz val="8"/>
      <color rgb="FFFFFFEA"/>
      <name val="Arial"/>
      <family val="2"/>
    </font>
    <font>
      <b/>
      <sz val="10"/>
      <color indexed="8"/>
      <name val="Helvetica Neue (Body)"/>
    </font>
    <font>
      <b/>
      <sz val="10"/>
      <color theme="0"/>
      <name val="Arial"/>
      <family val="2"/>
    </font>
    <font>
      <b/>
      <sz val="10"/>
      <color theme="0"/>
      <name val="Helvetica Neue"/>
      <family val="2"/>
      <scheme val="minor"/>
    </font>
    <font>
      <b/>
      <sz val="11"/>
      <color theme="0"/>
      <name val="Helvetica Neue"/>
      <family val="2"/>
    </font>
    <font>
      <b/>
      <sz val="13"/>
      <color indexed="8"/>
      <name val="Arial"/>
      <family val="2"/>
    </font>
    <font>
      <b/>
      <sz val="12"/>
      <color indexed="8"/>
      <name val="Arial"/>
      <family val="2"/>
    </font>
    <font>
      <b/>
      <sz val="12"/>
      <color theme="0"/>
      <name val="Helvetica Neue"/>
      <family val="2"/>
    </font>
  </fonts>
  <fills count="16">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rgb="FF0092EA"/>
        <bgColor indexed="64"/>
      </patternFill>
    </fill>
    <fill>
      <patternFill patternType="solid">
        <fgColor theme="0"/>
        <bgColor indexed="64"/>
      </patternFill>
    </fill>
    <fill>
      <patternFill patternType="solid">
        <fgColor rgb="FFFFFFEA"/>
        <bgColor indexed="64"/>
      </patternFill>
    </fill>
    <fill>
      <patternFill patternType="solid">
        <fgColor indexed="1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499984740745262"/>
        <bgColor indexed="64"/>
      </patternFill>
    </fill>
    <fill>
      <patternFill patternType="solid">
        <fgColor theme="2"/>
        <bgColor indexed="64"/>
      </patternFill>
    </fill>
  </fills>
  <borders count="89">
    <border>
      <left/>
      <right/>
      <top/>
      <bottom/>
      <diagonal/>
    </border>
    <border>
      <left/>
      <right style="medium">
        <color theme="1"/>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style="thin">
        <color indexed="10"/>
      </left>
      <right style="thin">
        <color indexed="10"/>
      </right>
      <top style="thin">
        <color indexed="10"/>
      </top>
      <bottom style="thin">
        <color indexed="11"/>
      </bottom>
      <diagonal/>
    </border>
    <border>
      <left style="thin">
        <color indexed="10"/>
      </left>
      <right style="thin">
        <color indexed="10"/>
      </right>
      <top style="thin">
        <color indexed="10"/>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1"/>
      </right>
      <top style="thin">
        <color indexed="10"/>
      </top>
      <bottom style="thin">
        <color indexed="11"/>
      </bottom>
      <diagonal/>
    </border>
    <border>
      <left style="thin">
        <color indexed="11"/>
      </left>
      <right style="thin">
        <color indexed="10"/>
      </right>
      <top style="thin">
        <color indexed="10"/>
      </top>
      <bottom style="thin">
        <color indexed="11"/>
      </bottom>
      <diagonal/>
    </border>
    <border>
      <left/>
      <right style="thin">
        <color indexed="10"/>
      </right>
      <top style="thin">
        <color indexed="10"/>
      </top>
      <bottom style="thin">
        <color indexed="11"/>
      </bottom>
      <diagonal/>
    </border>
    <border>
      <left/>
      <right style="thin">
        <color indexed="10"/>
      </right>
      <top style="thin">
        <color indexed="10"/>
      </top>
      <bottom style="thin">
        <color indexed="10"/>
      </bottom>
      <diagonal/>
    </border>
    <border>
      <left style="thin">
        <color indexed="10"/>
      </left>
      <right/>
      <top style="thin">
        <color indexed="10"/>
      </top>
      <bottom style="thin">
        <color indexed="11"/>
      </bottom>
      <diagonal/>
    </border>
    <border>
      <left style="thin">
        <color indexed="10"/>
      </left>
      <right/>
      <top style="thin">
        <color indexed="10"/>
      </top>
      <bottom style="thin">
        <color indexed="10"/>
      </bottom>
      <diagonal/>
    </border>
    <border>
      <left/>
      <right style="thin">
        <color indexed="10"/>
      </right>
      <top/>
      <bottom style="thin">
        <color indexed="11"/>
      </bottom>
      <diagonal/>
    </border>
    <border>
      <left style="thin">
        <color indexed="10"/>
      </left>
      <right style="thin">
        <color indexed="10"/>
      </right>
      <top/>
      <bottom style="thin">
        <color indexed="11"/>
      </bottom>
      <diagonal/>
    </border>
    <border>
      <left style="thin">
        <color indexed="10"/>
      </left>
      <right/>
      <top/>
      <bottom style="thin">
        <color indexed="11"/>
      </bottom>
      <diagonal/>
    </border>
    <border>
      <left/>
      <right style="thin">
        <color indexed="10"/>
      </right>
      <top style="thin">
        <color indexed="11"/>
      </top>
      <bottom/>
      <diagonal/>
    </border>
    <border>
      <left style="thin">
        <color indexed="10"/>
      </left>
      <right style="thin">
        <color indexed="10"/>
      </right>
      <top style="thin">
        <color indexed="11"/>
      </top>
      <bottom/>
      <diagonal/>
    </border>
    <border>
      <left style="thin">
        <color indexed="10"/>
      </left>
      <right/>
      <top style="thin">
        <color indexed="11"/>
      </top>
      <bottom/>
      <diagonal/>
    </border>
    <border>
      <left/>
      <right/>
      <top style="thick">
        <color auto="1"/>
      </top>
      <bottom/>
      <diagonal/>
    </border>
    <border>
      <left/>
      <right style="thin">
        <color indexed="10"/>
      </right>
      <top style="thick">
        <color auto="1"/>
      </top>
      <bottom/>
      <diagonal/>
    </border>
    <border>
      <left style="thin">
        <color indexed="10"/>
      </left>
      <right style="thin">
        <color indexed="10"/>
      </right>
      <top style="thick">
        <color auto="1"/>
      </top>
      <bottom/>
      <diagonal/>
    </border>
    <border>
      <left style="thin">
        <color indexed="10"/>
      </left>
      <right style="thin">
        <color indexed="11"/>
      </right>
      <top style="thick">
        <color auto="1"/>
      </top>
      <bottom/>
      <diagonal/>
    </border>
    <border>
      <left style="thin">
        <color indexed="11"/>
      </left>
      <right style="thin">
        <color indexed="10"/>
      </right>
      <top style="thick">
        <color auto="1"/>
      </top>
      <bottom/>
      <diagonal/>
    </border>
    <border>
      <left style="thin">
        <color indexed="10"/>
      </left>
      <right/>
      <top style="thick">
        <color auto="1"/>
      </top>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diagonal/>
    </border>
    <border>
      <left/>
      <right style="thick">
        <color theme="1"/>
      </right>
      <top/>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style="slantDashDot">
        <color auto="1"/>
      </left>
      <right/>
      <top style="slantDashDot">
        <color auto="1"/>
      </top>
      <bottom style="slantDashDot">
        <color auto="1"/>
      </bottom>
      <diagonal/>
    </border>
    <border>
      <left/>
      <right style="slantDashDot">
        <color auto="1"/>
      </right>
      <top style="slantDashDot">
        <color auto="1"/>
      </top>
      <bottom style="slantDashDot">
        <color auto="1"/>
      </bottom>
      <diagonal/>
    </border>
    <border>
      <left style="thin">
        <color auto="1"/>
      </left>
      <right style="thin">
        <color auto="1"/>
      </right>
      <top style="thin">
        <color auto="1"/>
      </top>
      <bottom/>
      <diagonal/>
    </border>
    <border>
      <left style="thin">
        <color auto="1"/>
      </left>
      <right style="slantDashDot">
        <color auto="1"/>
      </right>
      <top style="thin">
        <color auto="1"/>
      </top>
      <bottom/>
      <diagonal/>
    </border>
    <border>
      <left style="thin">
        <color auto="1"/>
      </left>
      <right style="slantDashDot">
        <color auto="1"/>
      </right>
      <top/>
      <bottom/>
      <diagonal/>
    </border>
    <border>
      <left style="thin">
        <color auto="1"/>
      </left>
      <right style="slantDashDot">
        <color auto="1"/>
      </right>
      <top/>
      <bottom style="thin">
        <color auto="1"/>
      </bottom>
      <diagonal/>
    </border>
    <border>
      <left style="thin">
        <color auto="1"/>
      </left>
      <right style="slantDashDot">
        <color auto="1"/>
      </right>
      <top/>
      <bottom style="slantDashDot">
        <color auto="1"/>
      </bottom>
      <diagonal/>
    </border>
    <border>
      <left style="slantDashDot">
        <color auto="1"/>
      </left>
      <right style="slantDashDot">
        <color auto="1"/>
      </right>
      <top style="slantDashDot">
        <color auto="1"/>
      </top>
      <bottom/>
      <diagonal/>
    </border>
    <border>
      <left style="slantDashDot">
        <color auto="1"/>
      </left>
      <right style="slantDashDot">
        <color auto="1"/>
      </right>
      <top/>
      <bottom/>
      <diagonal/>
    </border>
    <border>
      <left style="slantDashDot">
        <color auto="1"/>
      </left>
      <right style="slantDashDot">
        <color auto="1"/>
      </right>
      <top/>
      <bottom style="slantDashDot">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slantDashDot">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double">
        <color auto="1"/>
      </right>
      <top/>
      <bottom/>
      <diagonal/>
    </border>
    <border>
      <left style="double">
        <color auto="1"/>
      </left>
      <right style="medium">
        <color auto="1"/>
      </right>
      <top/>
      <bottom/>
      <diagonal/>
    </border>
  </borders>
  <cellStyleXfs count="3">
    <xf numFmtId="0" fontId="0" fillId="0" borderId="0" applyNumberFormat="0" applyFill="0" applyBorder="0" applyProtection="0">
      <alignment vertical="top" wrapText="1"/>
    </xf>
    <xf numFmtId="0" fontId="1" fillId="0" borderId="0"/>
    <xf numFmtId="0" fontId="23" fillId="0" borderId="0" applyNumberFormat="0" applyFill="0" applyBorder="0" applyProtection="0">
      <alignment vertical="top" wrapText="1"/>
    </xf>
  </cellStyleXfs>
  <cellXfs count="487">
    <xf numFmtId="0" fontId="0" fillId="0" borderId="0" xfId="0" applyFont="1" applyAlignment="1">
      <alignment vertical="top" wrapText="1"/>
    </xf>
    <xf numFmtId="0" fontId="0" fillId="0" borderId="0" xfId="0" applyNumberFormat="1" applyFont="1" applyAlignment="1" applyProtection="1">
      <alignment vertical="top" wrapText="1"/>
    </xf>
    <xf numFmtId="0" fontId="0" fillId="0" borderId="0" xfId="0" applyFont="1" applyAlignment="1" applyProtection="1">
      <alignment vertical="top" wrapText="1"/>
    </xf>
    <xf numFmtId="0" fontId="7" fillId="0" borderId="0" xfId="0" applyNumberFormat="1" applyFont="1" applyAlignment="1" applyProtection="1">
      <alignment vertical="top" wrapText="1"/>
    </xf>
    <xf numFmtId="0" fontId="7" fillId="0" borderId="0" xfId="0" applyFont="1" applyAlignment="1" applyProtection="1">
      <alignment vertical="top" wrapText="1"/>
    </xf>
    <xf numFmtId="49" fontId="9" fillId="3" borderId="0" xfId="0" applyNumberFormat="1" applyFont="1" applyFill="1" applyBorder="1" applyAlignment="1" applyProtection="1">
      <alignment horizontal="center" vertical="top" wrapText="1"/>
    </xf>
    <xf numFmtId="0" fontId="14"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wrapText="1"/>
    </xf>
    <xf numFmtId="0" fontId="7" fillId="0" borderId="0" xfId="0" applyFont="1" applyBorder="1" applyAlignment="1" applyProtection="1">
      <alignment vertical="top" wrapText="1"/>
    </xf>
    <xf numFmtId="0" fontId="7" fillId="5" borderId="2" xfId="0" applyFont="1" applyFill="1" applyBorder="1" applyAlignment="1" applyProtection="1">
      <alignment vertical="top" wrapText="1"/>
    </xf>
    <xf numFmtId="0" fontId="7" fillId="5" borderId="3" xfId="0" applyNumberFormat="1" applyFont="1" applyFill="1" applyBorder="1" applyAlignment="1" applyProtection="1">
      <alignment vertical="top" wrapText="1"/>
    </xf>
    <xf numFmtId="0" fontId="7" fillId="5" borderId="4" xfId="0" applyNumberFormat="1" applyFont="1" applyFill="1" applyBorder="1" applyAlignment="1" applyProtection="1">
      <alignment vertical="top" wrapText="1"/>
    </xf>
    <xf numFmtId="0" fontId="7" fillId="5" borderId="5" xfId="0" applyFont="1" applyFill="1" applyBorder="1" applyAlignment="1" applyProtection="1">
      <alignment vertical="top" wrapText="1"/>
    </xf>
    <xf numFmtId="0" fontId="7" fillId="5" borderId="1" xfId="0" applyNumberFormat="1" applyFont="1" applyFill="1" applyBorder="1" applyAlignment="1" applyProtection="1">
      <alignment vertical="top" wrapText="1"/>
    </xf>
    <xf numFmtId="0" fontId="7" fillId="5" borderId="6" xfId="0" applyFont="1" applyFill="1" applyBorder="1" applyAlignment="1" applyProtection="1">
      <alignment vertical="top" wrapText="1"/>
    </xf>
    <xf numFmtId="0" fontId="7" fillId="5" borderId="7" xfId="0" applyNumberFormat="1" applyFont="1" applyFill="1" applyBorder="1" applyAlignment="1" applyProtection="1">
      <alignment vertical="top" wrapText="1"/>
    </xf>
    <xf numFmtId="0" fontId="7" fillId="5" borderId="8" xfId="0" applyNumberFormat="1" applyFont="1" applyFill="1" applyBorder="1" applyAlignment="1" applyProtection="1">
      <alignment vertical="top" wrapText="1"/>
    </xf>
    <xf numFmtId="0" fontId="7" fillId="0" borderId="0" xfId="0" applyNumberFormat="1" applyFont="1" applyAlignment="1" applyProtection="1">
      <alignment vertical="top"/>
      <protection hidden="1"/>
    </xf>
    <xf numFmtId="0" fontId="7" fillId="0" borderId="0" xfId="0" applyNumberFormat="1" applyFont="1" applyAlignment="1" applyProtection="1">
      <alignment vertical="top" wrapText="1"/>
      <protection hidden="1"/>
    </xf>
    <xf numFmtId="0" fontId="7" fillId="0" borderId="0" xfId="0" applyFont="1" applyFill="1" applyBorder="1" applyAlignment="1" applyProtection="1">
      <alignment vertical="top" wrapText="1"/>
    </xf>
    <xf numFmtId="0" fontId="7" fillId="0" borderId="0" xfId="0" applyNumberFormat="1" applyFont="1" applyFill="1" applyBorder="1" applyAlignment="1" applyProtection="1">
      <alignment vertical="top" wrapText="1"/>
    </xf>
    <xf numFmtId="0" fontId="7" fillId="5" borderId="3" xfId="0" applyFont="1" applyFill="1" applyBorder="1" applyAlignment="1" applyProtection="1">
      <alignment vertical="top" wrapText="1"/>
    </xf>
    <xf numFmtId="0" fontId="7" fillId="5" borderId="7" xfId="0" applyFont="1" applyFill="1" applyBorder="1" applyAlignment="1" applyProtection="1">
      <alignment vertical="top" wrapText="1"/>
    </xf>
    <xf numFmtId="0" fontId="8" fillId="2"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vertical="center"/>
    </xf>
    <xf numFmtId="0" fontId="7" fillId="5" borderId="5" xfId="0" applyFont="1" applyFill="1" applyBorder="1" applyAlignment="1" applyProtection="1">
      <alignment vertical="top"/>
    </xf>
    <xf numFmtId="0" fontId="12" fillId="0" borderId="0" xfId="0" applyFont="1" applyFill="1" applyBorder="1" applyAlignment="1" applyProtection="1">
      <alignment horizontal="left" vertical="center"/>
    </xf>
    <xf numFmtId="0" fontId="7" fillId="5" borderId="1" xfId="0" applyNumberFormat="1" applyFont="1" applyFill="1" applyBorder="1" applyAlignment="1" applyProtection="1">
      <alignment vertical="top"/>
    </xf>
    <xf numFmtId="0" fontId="7" fillId="0" borderId="0" xfId="0" applyNumberFormat="1" applyFont="1" applyAlignment="1" applyProtection="1">
      <alignment vertical="top"/>
    </xf>
    <xf numFmtId="0" fontId="7" fillId="0" borderId="0" xfId="0" applyFont="1" applyAlignment="1" applyProtection="1">
      <alignment vertical="top"/>
    </xf>
    <xf numFmtId="0" fontId="7" fillId="0" borderId="0" xfId="0" applyNumberFormat="1" applyFont="1" applyFill="1" applyBorder="1" applyAlignment="1" applyProtection="1">
      <alignment vertical="top"/>
    </xf>
    <xf numFmtId="0" fontId="7" fillId="0" borderId="10" xfId="0" applyFont="1" applyFill="1" applyBorder="1" applyAlignment="1" applyProtection="1">
      <alignment vertical="top" wrapText="1"/>
    </xf>
    <xf numFmtId="0" fontId="7" fillId="0" borderId="13" xfId="0" applyFont="1" applyFill="1" applyBorder="1" applyAlignment="1" applyProtection="1">
      <alignment vertical="top"/>
    </xf>
    <xf numFmtId="0" fontId="11" fillId="0" borderId="14" xfId="0" applyNumberFormat="1" applyFont="1" applyFill="1" applyBorder="1" applyAlignment="1" applyProtection="1">
      <alignment vertical="center"/>
    </xf>
    <xf numFmtId="0" fontId="12" fillId="0" borderId="14" xfId="0" applyFont="1" applyFill="1" applyBorder="1" applyAlignment="1" applyProtection="1">
      <alignment horizontal="left" vertical="center"/>
    </xf>
    <xf numFmtId="0" fontId="11" fillId="0" borderId="11" xfId="0"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7" fillId="0" borderId="13" xfId="0" applyFont="1" applyFill="1" applyBorder="1" applyAlignment="1" applyProtection="1">
      <alignment vertical="top" wrapText="1"/>
    </xf>
    <xf numFmtId="0" fontId="11" fillId="0" borderId="9"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xf>
    <xf numFmtId="3" fontId="11" fillId="0" borderId="9" xfId="0" applyNumberFormat="1" applyFont="1" applyFill="1" applyBorder="1" applyAlignment="1" applyProtection="1">
      <alignment horizontal="left" vertical="center"/>
      <protection locked="0"/>
    </xf>
    <xf numFmtId="0" fontId="11" fillId="0" borderId="0" xfId="0" applyNumberFormat="1" applyFont="1" applyFill="1" applyBorder="1" applyAlignment="1" applyProtection="1"/>
    <xf numFmtId="49" fontId="12" fillId="0" borderId="0" xfId="0" applyNumberFormat="1" applyFont="1" applyFill="1" applyBorder="1" applyAlignment="1" applyProtection="1"/>
    <xf numFmtId="49" fontId="11" fillId="0" borderId="0" xfId="0" applyNumberFormat="1" applyFont="1" applyFill="1" applyBorder="1" applyAlignment="1" applyProtection="1"/>
    <xf numFmtId="49" fontId="16" fillId="0" borderId="19" xfId="0" applyNumberFormat="1" applyFont="1" applyFill="1" applyBorder="1" applyAlignment="1" applyProtection="1"/>
    <xf numFmtId="49" fontId="11" fillId="0" borderId="24" xfId="0" applyNumberFormat="1" applyFont="1" applyFill="1" applyBorder="1" applyAlignment="1" applyProtection="1"/>
    <xf numFmtId="0" fontId="11" fillId="0" borderId="19" xfId="0" applyFont="1" applyFill="1" applyBorder="1" applyAlignment="1" applyProtection="1">
      <alignment horizontal="left" vertical="center"/>
    </xf>
    <xf numFmtId="0" fontId="19" fillId="0" borderId="0" xfId="0" applyFont="1" applyBorder="1" applyAlignment="1" applyProtection="1">
      <alignment vertical="top" wrapText="1"/>
    </xf>
    <xf numFmtId="0" fontId="19" fillId="0" borderId="0" xfId="0" applyFont="1" applyAlignment="1" applyProtection="1">
      <alignment vertical="top" wrapText="1"/>
    </xf>
    <xf numFmtId="0" fontId="19" fillId="5" borderId="3" xfId="0" applyFont="1" applyFill="1" applyBorder="1" applyAlignment="1" applyProtection="1">
      <alignment vertical="top" wrapText="1"/>
    </xf>
    <xf numFmtId="0" fontId="19" fillId="0" borderId="11" xfId="0" applyFont="1" applyFill="1" applyBorder="1" applyAlignment="1" applyProtection="1">
      <alignment vertical="top"/>
    </xf>
    <xf numFmtId="0" fontId="19" fillId="0" borderId="0" xfId="0" applyFont="1" applyFill="1" applyBorder="1" applyAlignment="1" applyProtection="1">
      <alignment vertical="top"/>
    </xf>
    <xf numFmtId="0" fontId="19" fillId="0" borderId="19" xfId="0" applyFont="1" applyFill="1" applyBorder="1" applyAlignment="1" applyProtection="1"/>
    <xf numFmtId="0" fontId="19" fillId="0" borderId="24" xfId="0" applyFont="1" applyFill="1" applyBorder="1" applyAlignment="1" applyProtection="1"/>
    <xf numFmtId="0" fontId="19" fillId="0" borderId="0" xfId="0" applyFont="1" applyFill="1" applyBorder="1" applyAlignment="1" applyProtection="1"/>
    <xf numFmtId="0" fontId="19" fillId="5" borderId="7" xfId="0" applyFont="1" applyFill="1" applyBorder="1" applyAlignment="1" applyProtection="1">
      <alignment vertical="top" wrapText="1"/>
    </xf>
    <xf numFmtId="0" fontId="19" fillId="0" borderId="0" xfId="0" applyFont="1" applyFill="1" applyBorder="1" applyAlignment="1" applyProtection="1">
      <alignment vertical="top" wrapText="1"/>
    </xf>
    <xf numFmtId="0" fontId="19" fillId="7" borderId="18" xfId="0" applyFont="1" applyFill="1" applyBorder="1" applyAlignment="1" applyProtection="1"/>
    <xf numFmtId="0" fontId="12" fillId="7" borderId="19" xfId="0" applyNumberFormat="1" applyFont="1" applyFill="1" applyBorder="1" applyAlignment="1" applyProtection="1"/>
    <xf numFmtId="0" fontId="11" fillId="7" borderId="19" xfId="0" applyNumberFormat="1" applyFont="1" applyFill="1" applyBorder="1" applyAlignment="1" applyProtection="1">
      <alignment vertical="center"/>
    </xf>
    <xf numFmtId="0" fontId="11" fillId="7" borderId="20" xfId="0" applyNumberFormat="1" applyFont="1" applyFill="1" applyBorder="1" applyAlignment="1" applyProtection="1">
      <alignment vertical="center"/>
    </xf>
    <xf numFmtId="0" fontId="19" fillId="7" borderId="21" xfId="0" applyFont="1" applyFill="1" applyBorder="1" applyAlignment="1" applyProtection="1"/>
    <xf numFmtId="49" fontId="16" fillId="7" borderId="0" xfId="0" applyNumberFormat="1" applyFont="1" applyFill="1" applyBorder="1" applyAlignment="1" applyProtection="1"/>
    <xf numFmtId="49" fontId="12" fillId="7" borderId="0" xfId="0" applyNumberFormat="1" applyFont="1" applyFill="1" applyBorder="1" applyAlignment="1" applyProtection="1"/>
    <xf numFmtId="0" fontId="12" fillId="7" borderId="0" xfId="0" applyFont="1" applyFill="1" applyBorder="1" applyAlignment="1" applyProtection="1">
      <alignment horizontal="left" vertical="center"/>
    </xf>
    <xf numFmtId="0" fontId="12" fillId="7" borderId="0" xfId="0" applyNumberFormat="1" applyFont="1" applyFill="1" applyBorder="1" applyAlignment="1" applyProtection="1"/>
    <xf numFmtId="0" fontId="19" fillId="7" borderId="23" xfId="0" applyFont="1" applyFill="1" applyBorder="1" applyAlignment="1" applyProtection="1"/>
    <xf numFmtId="49" fontId="12" fillId="7" borderId="24" xfId="0" applyNumberFormat="1" applyFont="1" applyFill="1" applyBorder="1" applyAlignment="1" applyProtection="1"/>
    <xf numFmtId="49" fontId="12" fillId="7" borderId="19" xfId="0" applyNumberFormat="1" applyFont="1" applyFill="1" applyBorder="1" applyAlignment="1" applyProtection="1"/>
    <xf numFmtId="0" fontId="11" fillId="7" borderId="19" xfId="0" applyFont="1" applyFill="1" applyBorder="1" applyAlignment="1" applyProtection="1">
      <alignment horizontal="left" vertical="center"/>
    </xf>
    <xf numFmtId="0" fontId="11" fillId="7" borderId="0" xfId="0" applyFont="1" applyFill="1" applyBorder="1" applyAlignment="1" applyProtection="1">
      <alignment horizontal="left" vertical="center"/>
    </xf>
    <xf numFmtId="49" fontId="16" fillId="7" borderId="24" xfId="0" applyNumberFormat="1" applyFont="1" applyFill="1" applyBorder="1" applyAlignment="1" applyProtection="1"/>
    <xf numFmtId="0" fontId="20" fillId="7" borderId="0" xfId="0" applyNumberFormat="1" applyFont="1" applyFill="1" applyAlignment="1" applyProtection="1">
      <alignment vertical="top"/>
    </xf>
    <xf numFmtId="0" fontId="20" fillId="7" borderId="0" xfId="0" applyFont="1" applyFill="1" applyAlignment="1" applyProtection="1">
      <alignment vertical="top"/>
    </xf>
    <xf numFmtId="49" fontId="21" fillId="7" borderId="0" xfId="0" applyNumberFormat="1" applyFont="1" applyFill="1" applyBorder="1" applyAlignment="1" applyProtection="1"/>
    <xf numFmtId="0" fontId="12" fillId="7" borderId="22" xfId="0" applyFont="1" applyFill="1" applyBorder="1" applyAlignment="1" applyProtection="1">
      <alignment horizontal="left" vertical="center"/>
    </xf>
    <xf numFmtId="0" fontId="12" fillId="0" borderId="19" xfId="0" applyFont="1" applyFill="1" applyBorder="1" applyAlignment="1" applyProtection="1">
      <alignment horizontal="left" vertical="center"/>
    </xf>
    <xf numFmtId="0" fontId="11" fillId="0" borderId="24" xfId="0" applyFont="1" applyFill="1" applyBorder="1" applyAlignment="1" applyProtection="1">
      <alignment horizontal="left" vertical="center"/>
    </xf>
    <xf numFmtId="0" fontId="12" fillId="0" borderId="24" xfId="0" applyFont="1" applyFill="1" applyBorder="1" applyAlignment="1" applyProtection="1">
      <alignment horizontal="left" vertical="center"/>
    </xf>
    <xf numFmtId="0" fontId="11" fillId="7" borderId="24" xfId="0" applyFont="1" applyFill="1" applyBorder="1" applyAlignment="1" applyProtection="1">
      <alignment horizontal="left" vertical="center"/>
    </xf>
    <xf numFmtId="0" fontId="12" fillId="7" borderId="25" xfId="0" applyFont="1" applyFill="1" applyBorder="1" applyAlignment="1" applyProtection="1">
      <alignment horizontal="left" vertical="center"/>
    </xf>
    <xf numFmtId="0" fontId="12" fillId="7" borderId="20" xfId="0" applyFont="1" applyFill="1" applyBorder="1" applyAlignment="1" applyProtection="1">
      <alignment horizontal="left" vertical="center"/>
    </xf>
    <xf numFmtId="3" fontId="11" fillId="7" borderId="24"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horizontal="left" vertical="center"/>
    </xf>
    <xf numFmtId="3" fontId="11" fillId="7" borderId="19" xfId="0" applyNumberFormat="1" applyFont="1" applyFill="1" applyBorder="1" applyAlignment="1" applyProtection="1">
      <alignment horizontal="left" vertical="center"/>
    </xf>
    <xf numFmtId="0" fontId="17" fillId="7" borderId="0" xfId="0" applyNumberFormat="1" applyFont="1" applyFill="1" applyBorder="1" applyAlignment="1" applyProtection="1"/>
    <xf numFmtId="0" fontId="21" fillId="7" borderId="0" xfId="0" applyNumberFormat="1" applyFont="1" applyFill="1" applyBorder="1" applyAlignment="1" applyProtection="1"/>
    <xf numFmtId="0" fontId="17" fillId="7" borderId="24" xfId="0" applyNumberFormat="1" applyFont="1" applyFill="1" applyBorder="1" applyAlignment="1" applyProtection="1"/>
    <xf numFmtId="0" fontId="17" fillId="0" borderId="0" xfId="0" applyNumberFormat="1" applyFont="1" applyFill="1" applyBorder="1" applyAlignment="1" applyProtection="1"/>
    <xf numFmtId="0" fontId="6" fillId="5" borderId="7" xfId="0" applyNumberFormat="1" applyFont="1" applyFill="1" applyBorder="1" applyAlignment="1" applyProtection="1">
      <alignment vertical="top"/>
    </xf>
    <xf numFmtId="0" fontId="7" fillId="0" borderId="0" xfId="0" applyFont="1" applyAlignment="1" applyProtection="1">
      <alignment vertical="top" wrapText="1"/>
      <protection hidden="1"/>
    </xf>
    <xf numFmtId="0" fontId="7" fillId="0" borderId="0" xfId="0" applyFont="1" applyAlignment="1" applyProtection="1">
      <alignment vertical="top"/>
      <protection hidden="1"/>
    </xf>
    <xf numFmtId="0" fontId="11" fillId="7" borderId="0" xfId="0" applyNumberFormat="1" applyFont="1" applyFill="1" applyBorder="1" applyAlignment="1" applyProtection="1"/>
    <xf numFmtId="49" fontId="21" fillId="7" borderId="24" xfId="0" applyNumberFormat="1" applyFont="1" applyFill="1" applyBorder="1" applyAlignment="1" applyProtection="1"/>
    <xf numFmtId="0" fontId="15" fillId="0" borderId="0" xfId="0" applyNumberFormat="1" applyFont="1" applyFill="1" applyBorder="1" applyAlignment="1" applyProtection="1"/>
    <xf numFmtId="49" fontId="11" fillId="0" borderId="9" xfId="0" quotePrefix="1" applyNumberFormat="1" applyFont="1" applyFill="1" applyBorder="1" applyAlignment="1" applyProtection="1">
      <alignment horizontal="left" vertical="center"/>
      <protection locked="0"/>
    </xf>
    <xf numFmtId="49" fontId="12" fillId="7" borderId="0" xfId="0" applyNumberFormat="1" applyFont="1" applyFill="1" applyBorder="1" applyAlignment="1" applyProtection="1">
      <alignment horizontal="right"/>
    </xf>
    <xf numFmtId="49" fontId="13" fillId="7" borderId="0" xfId="0" applyNumberFormat="1" applyFont="1" applyFill="1" applyBorder="1" applyAlignment="1" applyProtection="1">
      <alignment horizontal="left"/>
    </xf>
    <xf numFmtId="49" fontId="13" fillId="7" borderId="24" xfId="0" applyNumberFormat="1" applyFont="1" applyFill="1" applyBorder="1" applyAlignment="1" applyProtection="1">
      <alignment horizontal="left"/>
    </xf>
    <xf numFmtId="0" fontId="7" fillId="6" borderId="0" xfId="0" applyNumberFormat="1" applyFont="1" applyFill="1" applyBorder="1" applyAlignment="1" applyProtection="1">
      <alignment vertical="top" wrapText="1"/>
      <protection hidden="1"/>
    </xf>
    <xf numFmtId="0" fontId="7" fillId="6" borderId="0" xfId="0" applyNumberFormat="1" applyFont="1" applyFill="1" applyBorder="1" applyAlignment="1" applyProtection="1">
      <alignment vertical="top"/>
      <protection hidden="1"/>
    </xf>
    <xf numFmtId="0" fontId="11" fillId="6" borderId="9"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wrapText="1"/>
    </xf>
    <xf numFmtId="0" fontId="11" fillId="7" borderId="0" xfId="0" applyNumberFormat="1" applyFont="1" applyFill="1" applyBorder="1" applyAlignment="1" applyProtection="1">
      <alignment vertical="top"/>
    </xf>
    <xf numFmtId="0" fontId="11" fillId="7" borderId="0" xfId="0" applyFont="1" applyFill="1" applyBorder="1" applyAlignment="1" applyProtection="1">
      <alignment horizontal="left" vertical="top" wrapText="1"/>
    </xf>
    <xf numFmtId="49" fontId="22" fillId="7" borderId="0" xfId="0" applyNumberFormat="1" applyFont="1" applyFill="1" applyBorder="1" applyAlignment="1" applyProtection="1">
      <alignment horizontal="left"/>
    </xf>
    <xf numFmtId="0" fontId="11" fillId="0" borderId="9" xfId="0" applyFont="1" applyFill="1" applyBorder="1" applyAlignment="1" applyProtection="1">
      <alignment horizontal="left" vertical="center" wrapText="1"/>
      <protection locked="0"/>
    </xf>
    <xf numFmtId="49" fontId="21" fillId="7" borderId="0" xfId="0" applyNumberFormat="1" applyFont="1" applyFill="1" applyBorder="1" applyAlignment="1" applyProtection="1">
      <alignment horizontal="right"/>
    </xf>
    <xf numFmtId="0" fontId="21" fillId="7" borderId="0" xfId="0" applyNumberFormat="1" applyFont="1" applyFill="1" applyBorder="1" applyAlignment="1" applyProtection="1">
      <alignment horizontal="right"/>
    </xf>
    <xf numFmtId="49" fontId="11" fillId="0" borderId="9" xfId="0" applyNumberFormat="1" applyFont="1" applyFill="1" applyBorder="1" applyAlignment="1" applyProtection="1">
      <alignment horizontal="left" vertical="center"/>
      <protection locked="0"/>
    </xf>
    <xf numFmtId="0" fontId="24" fillId="0" borderId="0" xfId="2" applyNumberFormat="1" applyFont="1" applyAlignment="1" applyProtection="1">
      <alignment vertical="center"/>
    </xf>
    <xf numFmtId="0" fontId="24" fillId="0" borderId="0" xfId="2" applyNumberFormat="1" applyFont="1" applyAlignment="1" applyProtection="1">
      <alignment horizontal="left" vertical="center"/>
    </xf>
    <xf numFmtId="49" fontId="25" fillId="2" borderId="44" xfId="2" applyNumberFormat="1" applyFont="1" applyFill="1" applyBorder="1" applyAlignment="1" applyProtection="1">
      <alignment vertical="center"/>
    </xf>
    <xf numFmtId="49" fontId="25" fillId="2" borderId="45" xfId="2" applyNumberFormat="1" applyFont="1" applyFill="1" applyBorder="1" applyAlignment="1" applyProtection="1">
      <alignment vertical="center"/>
    </xf>
    <xf numFmtId="164" fontId="25" fillId="2" borderId="45" xfId="2" applyNumberFormat="1" applyFont="1" applyFill="1" applyBorder="1" applyAlignment="1" applyProtection="1">
      <alignment vertical="center"/>
    </xf>
    <xf numFmtId="49" fontId="25" fillId="2" borderId="46" xfId="2" applyNumberFormat="1" applyFont="1" applyFill="1" applyBorder="1" applyAlignment="1" applyProtection="1">
      <alignment vertical="center"/>
    </xf>
    <xf numFmtId="0" fontId="24" fillId="0" borderId="29" xfId="2" applyNumberFormat="1" applyFont="1" applyBorder="1" applyAlignment="1" applyProtection="1">
      <alignment vertical="center"/>
    </xf>
    <xf numFmtId="0" fontId="25" fillId="0" borderId="30" xfId="2" applyNumberFormat="1" applyFont="1" applyBorder="1" applyAlignment="1" applyProtection="1">
      <alignment vertical="center"/>
    </xf>
    <xf numFmtId="3" fontId="24" fillId="0" borderId="28" xfId="2" applyNumberFormat="1" applyFont="1" applyBorder="1" applyAlignment="1" applyProtection="1">
      <alignment vertical="center"/>
    </xf>
    <xf numFmtId="0" fontId="25" fillId="0" borderId="29" xfId="2" applyNumberFormat="1" applyFont="1" applyBorder="1" applyAlignment="1" applyProtection="1">
      <alignment vertical="center"/>
    </xf>
    <xf numFmtId="0" fontId="25" fillId="0" borderId="30" xfId="2" applyNumberFormat="1" applyFont="1" applyBorder="1" applyAlignment="1" applyProtection="1">
      <alignment horizontal="center" vertical="center"/>
    </xf>
    <xf numFmtId="3" fontId="24" fillId="0" borderId="0" xfId="2" applyNumberFormat="1" applyFont="1" applyAlignment="1" applyProtection="1">
      <alignment vertical="center"/>
    </xf>
    <xf numFmtId="0" fontId="25" fillId="0" borderId="29" xfId="2" applyNumberFormat="1" applyFont="1" applyBorder="1" applyAlignment="1" applyProtection="1">
      <alignment horizontal="center" vertical="center"/>
    </xf>
    <xf numFmtId="3" fontId="24" fillId="0" borderId="30" xfId="2" applyNumberFormat="1" applyFont="1" applyBorder="1" applyAlignment="1" applyProtection="1">
      <alignment vertical="center"/>
    </xf>
    <xf numFmtId="3" fontId="24" fillId="0" borderId="28" xfId="2" applyNumberFormat="1" applyFont="1" applyBorder="1" applyAlignment="1" applyProtection="1">
      <alignment horizontal="left" vertical="center"/>
    </xf>
    <xf numFmtId="49" fontId="25" fillId="4" borderId="41" xfId="2" applyNumberFormat="1" applyFont="1" applyFill="1" applyBorder="1" applyAlignment="1" applyProtection="1">
      <alignment vertical="center"/>
    </xf>
    <xf numFmtId="49" fontId="25" fillId="4" borderId="35" xfId="2" applyNumberFormat="1" applyFont="1" applyFill="1" applyBorder="1" applyAlignment="1" applyProtection="1">
      <alignment vertical="center"/>
    </xf>
    <xf numFmtId="0" fontId="25" fillId="4" borderId="36" xfId="2" applyNumberFormat="1" applyFont="1" applyFill="1" applyBorder="1" applyAlignment="1" applyProtection="1">
      <alignment vertical="center"/>
    </xf>
    <xf numFmtId="0" fontId="24" fillId="9" borderId="37" xfId="2" applyNumberFormat="1" applyFont="1" applyFill="1" applyBorder="1" applyAlignment="1" applyProtection="1">
      <alignment vertical="center"/>
    </xf>
    <xf numFmtId="49" fontId="24" fillId="9" borderId="35" xfId="2" applyNumberFormat="1" applyFont="1" applyFill="1" applyBorder="1" applyAlignment="1" applyProtection="1">
      <alignment vertical="center"/>
    </xf>
    <xf numFmtId="0" fontId="24" fillId="9" borderId="35" xfId="2" applyNumberFormat="1" applyFont="1" applyFill="1" applyBorder="1" applyAlignment="1" applyProtection="1">
      <alignment vertical="center"/>
    </xf>
    <xf numFmtId="0" fontId="24" fillId="9" borderId="35" xfId="2" applyFont="1" applyFill="1" applyBorder="1" applyAlignment="1" applyProtection="1">
      <alignment vertical="center"/>
    </xf>
    <xf numFmtId="0" fontId="24" fillId="9" borderId="43" xfId="2" applyNumberFormat="1" applyFont="1" applyFill="1" applyBorder="1" applyAlignment="1" applyProtection="1">
      <alignment vertical="center"/>
    </xf>
    <xf numFmtId="0" fontId="24" fillId="0" borderId="31" xfId="2" applyNumberFormat="1" applyFont="1" applyBorder="1" applyAlignment="1" applyProtection="1">
      <alignment vertical="center"/>
    </xf>
    <xf numFmtId="0" fontId="24" fillId="0" borderId="0" xfId="2" applyNumberFormat="1" applyFont="1" applyBorder="1" applyAlignment="1" applyProtection="1">
      <alignment vertical="center"/>
    </xf>
    <xf numFmtId="3" fontId="24" fillId="0" borderId="33" xfId="2" applyNumberFormat="1" applyFont="1" applyBorder="1" applyAlignment="1" applyProtection="1">
      <alignment vertical="center"/>
    </xf>
    <xf numFmtId="3" fontId="24" fillId="0" borderId="0" xfId="2" applyNumberFormat="1" applyFont="1" applyBorder="1" applyAlignment="1" applyProtection="1">
      <alignment vertical="center"/>
    </xf>
    <xf numFmtId="3" fontId="24" fillId="0" borderId="33" xfId="2" applyNumberFormat="1" applyFont="1" applyBorder="1" applyAlignment="1" applyProtection="1">
      <alignment horizontal="left" vertical="center"/>
    </xf>
    <xf numFmtId="0" fontId="24" fillId="9" borderId="37" xfId="2" applyFont="1" applyFill="1" applyBorder="1" applyAlignment="1" applyProtection="1">
      <alignment vertical="center"/>
    </xf>
    <xf numFmtId="0" fontId="24" fillId="0" borderId="27" xfId="2" applyNumberFormat="1" applyFont="1" applyBorder="1" applyAlignment="1" applyProtection="1">
      <alignment vertical="center"/>
    </xf>
    <xf numFmtId="3" fontId="24" fillId="0" borderId="32" xfId="2" applyNumberFormat="1" applyFont="1" applyBorder="1" applyAlignment="1" applyProtection="1">
      <alignment vertical="center"/>
    </xf>
    <xf numFmtId="3" fontId="24" fillId="0" borderId="26" xfId="2" applyNumberFormat="1" applyFont="1" applyBorder="1" applyAlignment="1" applyProtection="1">
      <alignment horizontal="left" vertical="center"/>
    </xf>
    <xf numFmtId="3" fontId="24" fillId="0" borderId="0" xfId="2" applyNumberFormat="1" applyFont="1" applyAlignment="1" applyProtection="1">
      <alignment horizontal="left" vertical="center"/>
    </xf>
    <xf numFmtId="0" fontId="24" fillId="0" borderId="32" xfId="2" applyNumberFormat="1" applyFont="1" applyBorder="1" applyAlignment="1" applyProtection="1">
      <alignment vertical="center"/>
    </xf>
    <xf numFmtId="3" fontId="24" fillId="0" borderId="26" xfId="2" applyNumberFormat="1" applyFont="1" applyBorder="1" applyAlignment="1" applyProtection="1">
      <alignment vertical="center"/>
    </xf>
    <xf numFmtId="0" fontId="24" fillId="10" borderId="37" xfId="2" applyNumberFormat="1" applyFont="1" applyFill="1" applyBorder="1" applyAlignment="1" applyProtection="1">
      <alignment vertical="center"/>
    </xf>
    <xf numFmtId="49" fontId="24" fillId="10" borderId="35" xfId="2" applyNumberFormat="1" applyFont="1" applyFill="1" applyBorder="1" applyAlignment="1" applyProtection="1">
      <alignment vertical="center"/>
    </xf>
    <xf numFmtId="0" fontId="24" fillId="10" borderId="35" xfId="2" applyNumberFormat="1" applyFont="1" applyFill="1" applyBorder="1" applyAlignment="1" applyProtection="1">
      <alignment vertical="center"/>
    </xf>
    <xf numFmtId="0" fontId="24" fillId="10" borderId="35" xfId="2" applyFont="1" applyFill="1" applyBorder="1" applyAlignment="1" applyProtection="1">
      <alignment vertical="center"/>
    </xf>
    <xf numFmtId="0" fontId="24" fillId="10" borderId="43" xfId="2" applyNumberFormat="1" applyFont="1" applyFill="1" applyBorder="1" applyAlignment="1" applyProtection="1">
      <alignment vertical="center"/>
    </xf>
    <xf numFmtId="0" fontId="24" fillId="10" borderId="37" xfId="2" applyFont="1" applyFill="1" applyBorder="1" applyAlignment="1" applyProtection="1">
      <alignment vertical="center"/>
    </xf>
    <xf numFmtId="0" fontId="24" fillId="11" borderId="37" xfId="2" applyNumberFormat="1" applyFont="1" applyFill="1" applyBorder="1" applyAlignment="1" applyProtection="1">
      <alignment vertical="center"/>
    </xf>
    <xf numFmtId="49" fontId="24" fillId="11" borderId="35" xfId="2" applyNumberFormat="1" applyFont="1" applyFill="1" applyBorder="1" applyAlignment="1" applyProtection="1">
      <alignment vertical="center"/>
    </xf>
    <xf numFmtId="0" fontId="24" fillId="11" borderId="35" xfId="2" applyNumberFormat="1" applyFont="1" applyFill="1" applyBorder="1" applyAlignment="1" applyProtection="1">
      <alignment vertical="center"/>
    </xf>
    <xf numFmtId="0" fontId="24" fillId="11" borderId="35" xfId="2" applyFont="1" applyFill="1" applyBorder="1" applyAlignment="1" applyProtection="1">
      <alignment vertical="center"/>
    </xf>
    <xf numFmtId="0" fontId="24" fillId="11" borderId="43" xfId="2" applyNumberFormat="1" applyFont="1" applyFill="1" applyBorder="1" applyAlignment="1" applyProtection="1">
      <alignment vertical="center"/>
    </xf>
    <xf numFmtId="0" fontId="24" fillId="11" borderId="37" xfId="2" applyFont="1" applyFill="1" applyBorder="1" applyAlignment="1" applyProtection="1">
      <alignment vertical="center"/>
    </xf>
    <xf numFmtId="0" fontId="24" fillId="12" borderId="37" xfId="2" applyNumberFormat="1" applyFont="1" applyFill="1" applyBorder="1" applyAlignment="1" applyProtection="1">
      <alignment vertical="center"/>
    </xf>
    <xf numFmtId="49" fontId="24" fillId="12" borderId="35" xfId="2" applyNumberFormat="1" applyFont="1" applyFill="1" applyBorder="1" applyAlignment="1" applyProtection="1">
      <alignment vertical="center"/>
    </xf>
    <xf numFmtId="0" fontId="24" fillId="12" borderId="35" xfId="2" applyNumberFormat="1" applyFont="1" applyFill="1" applyBorder="1" applyAlignment="1" applyProtection="1">
      <alignment vertical="center"/>
    </xf>
    <xf numFmtId="0" fontId="24" fillId="12" borderId="35" xfId="2" applyFont="1" applyFill="1" applyBorder="1" applyAlignment="1" applyProtection="1">
      <alignment vertical="center"/>
    </xf>
    <xf numFmtId="0" fontId="24" fillId="12" borderId="43" xfId="2" applyNumberFormat="1" applyFont="1" applyFill="1" applyBorder="1" applyAlignment="1" applyProtection="1">
      <alignment vertical="center"/>
    </xf>
    <xf numFmtId="0" fontId="24" fillId="12" borderId="37" xfId="2" applyFont="1" applyFill="1" applyBorder="1" applyAlignment="1" applyProtection="1">
      <alignment vertical="center"/>
    </xf>
    <xf numFmtId="0" fontId="24" fillId="13" borderId="37" xfId="2" applyNumberFormat="1" applyFont="1" applyFill="1" applyBorder="1" applyAlignment="1" applyProtection="1">
      <alignment vertical="center"/>
    </xf>
    <xf numFmtId="49" fontId="24" fillId="13" borderId="35" xfId="2" applyNumberFormat="1" applyFont="1" applyFill="1" applyBorder="1" applyAlignment="1" applyProtection="1">
      <alignment vertical="center"/>
    </xf>
    <xf numFmtId="0" fontId="24" fillId="13" borderId="35" xfId="2" applyNumberFormat="1" applyFont="1" applyFill="1" applyBorder="1" applyAlignment="1" applyProtection="1">
      <alignment vertical="center"/>
    </xf>
    <xf numFmtId="0" fontId="24" fillId="13" borderId="43" xfId="2" applyNumberFormat="1" applyFont="1" applyFill="1" applyBorder="1" applyAlignment="1" applyProtection="1">
      <alignment vertical="center"/>
    </xf>
    <xf numFmtId="0" fontId="24" fillId="13" borderId="37" xfId="2" applyFont="1" applyFill="1" applyBorder="1" applyAlignment="1" applyProtection="1">
      <alignment vertical="center"/>
    </xf>
    <xf numFmtId="0" fontId="24" fillId="13" borderId="35" xfId="2" applyFont="1" applyFill="1" applyBorder="1" applyAlignment="1" applyProtection="1">
      <alignment vertical="center"/>
    </xf>
    <xf numFmtId="49" fontId="25" fillId="4" borderId="40" xfId="2" applyNumberFormat="1" applyFont="1" applyFill="1" applyBorder="1" applyAlignment="1" applyProtection="1">
      <alignment vertical="center"/>
    </xf>
    <xf numFmtId="49" fontId="25" fillId="4" borderId="34" xfId="2" applyNumberFormat="1" applyFont="1" applyFill="1" applyBorder="1" applyAlignment="1" applyProtection="1">
      <alignment vertical="center"/>
    </xf>
    <xf numFmtId="0" fontId="25" fillId="4" borderId="38" xfId="2" applyNumberFormat="1" applyFont="1" applyFill="1" applyBorder="1" applyAlignment="1" applyProtection="1">
      <alignment vertical="center"/>
    </xf>
    <xf numFmtId="49" fontId="25" fillId="4" borderId="47" xfId="2" applyNumberFormat="1" applyFont="1" applyFill="1" applyBorder="1" applyAlignment="1" applyProtection="1">
      <alignment vertical="center"/>
    </xf>
    <xf numFmtId="49" fontId="25" fillId="4" borderId="48" xfId="2" applyNumberFormat="1" applyFont="1" applyFill="1" applyBorder="1" applyAlignment="1" applyProtection="1">
      <alignment vertical="center"/>
    </xf>
    <xf numFmtId="0" fontId="25" fillId="4" borderId="48" xfId="2" applyNumberFormat="1" applyFont="1" applyFill="1" applyBorder="1" applyAlignment="1" applyProtection="1">
      <alignment vertical="center"/>
    </xf>
    <xf numFmtId="0" fontId="25" fillId="8" borderId="51" xfId="0" applyFont="1" applyFill="1" applyBorder="1" applyAlignment="1" applyProtection="1">
      <alignment vertical="center"/>
    </xf>
    <xf numFmtId="0" fontId="25" fillId="8" borderId="52" xfId="0" applyFont="1" applyFill="1" applyBorder="1" applyAlignment="1" applyProtection="1">
      <alignment vertical="center"/>
    </xf>
    <xf numFmtId="0" fontId="25" fillId="8" borderId="53" xfId="0" applyFont="1" applyFill="1" applyBorder="1" applyAlignment="1" applyProtection="1">
      <alignment vertical="center"/>
    </xf>
    <xf numFmtId="0" fontId="24" fillId="0" borderId="54" xfId="0" applyFont="1" applyBorder="1" applyAlignment="1" applyProtection="1">
      <alignment vertical="center"/>
    </xf>
    <xf numFmtId="0" fontId="24" fillId="0" borderId="52" xfId="0" applyFont="1" applyBorder="1" applyAlignment="1" applyProtection="1">
      <alignment vertical="center"/>
    </xf>
    <xf numFmtId="0" fontId="24" fillId="0" borderId="55" xfId="0" applyFont="1" applyBorder="1" applyAlignment="1" applyProtection="1">
      <alignment vertical="center"/>
    </xf>
    <xf numFmtId="0" fontId="24" fillId="0" borderId="50" xfId="2" applyNumberFormat="1" applyFont="1" applyBorder="1" applyAlignment="1" applyProtection="1">
      <alignment vertical="center"/>
    </xf>
    <xf numFmtId="0" fontId="24" fillId="0" borderId="50" xfId="2" applyNumberFormat="1" applyFont="1" applyBorder="1" applyAlignment="1" applyProtection="1">
      <alignment horizontal="left" vertical="center"/>
    </xf>
    <xf numFmtId="0" fontId="24" fillId="0" borderId="50" xfId="2" applyFont="1" applyBorder="1" applyAlignment="1" applyProtection="1">
      <alignment vertical="center" wrapText="1"/>
    </xf>
    <xf numFmtId="0" fontId="24" fillId="0" borderId="0" xfId="2" applyFont="1" applyAlignment="1" applyProtection="1">
      <alignment vertical="center" wrapText="1"/>
    </xf>
    <xf numFmtId="0" fontId="7" fillId="0" borderId="0" xfId="0" applyNumberFormat="1" applyFont="1" applyAlignment="1" applyProtection="1">
      <alignment horizontal="left" vertical="top"/>
    </xf>
    <xf numFmtId="0" fontId="10" fillId="0" borderId="0" xfId="0" applyNumberFormat="1" applyFont="1" applyAlignment="1" applyProtection="1">
      <alignment horizontal="left" vertical="top"/>
    </xf>
    <xf numFmtId="0" fontId="7" fillId="0" borderId="0" xfId="0" applyNumberFormat="1" applyFont="1" applyAlignment="1" applyProtection="1">
      <alignment horizontal="left" vertical="top" wrapText="1"/>
    </xf>
    <xf numFmtId="0" fontId="7" fillId="0" borderId="0" xfId="0" applyNumberFormat="1" applyFont="1" applyAlignment="1" applyProtection="1">
      <alignment horizontal="left" vertical="top" wrapText="1"/>
      <protection hidden="1"/>
    </xf>
    <xf numFmtId="0" fontId="7" fillId="0" borderId="0" xfId="0" applyNumberFormat="1" applyFont="1" applyAlignment="1" applyProtection="1">
      <alignment horizontal="left" vertical="top"/>
      <protection hidden="1"/>
    </xf>
    <xf numFmtId="0" fontId="26" fillId="0" borderId="0" xfId="0" applyNumberFormat="1" applyFont="1" applyAlignment="1" applyProtection="1">
      <alignment horizontal="left" vertical="top"/>
    </xf>
    <xf numFmtId="49" fontId="13"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vertical="center"/>
    </xf>
    <xf numFmtId="49" fontId="9" fillId="0" borderId="0" xfId="0" applyNumberFormat="1" applyFont="1" applyFill="1" applyBorder="1" applyAlignment="1" applyProtection="1">
      <alignment vertical="center" wrapText="1"/>
    </xf>
    <xf numFmtId="49" fontId="30" fillId="0" borderId="0" xfId="0" applyNumberFormat="1" applyFont="1" applyFill="1" applyBorder="1" applyProtection="1">
      <alignment vertical="top" wrapText="1"/>
    </xf>
    <xf numFmtId="0" fontId="30" fillId="0" borderId="0" xfId="0" applyNumberFormat="1" applyFont="1" applyFill="1" applyBorder="1" applyAlignment="1" applyProtection="1">
      <alignment vertical="top" wrapText="1"/>
    </xf>
    <xf numFmtId="0" fontId="33" fillId="0" borderId="0" xfId="0" applyNumberFormat="1" applyFont="1" applyFill="1" applyBorder="1" applyAlignment="1" applyProtection="1">
      <alignment vertical="top" wrapText="1"/>
    </xf>
    <xf numFmtId="0" fontId="7" fillId="5" borderId="56" xfId="0" applyFont="1" applyFill="1" applyBorder="1" applyAlignment="1" applyProtection="1">
      <alignment vertical="top" wrapText="1"/>
    </xf>
    <xf numFmtId="0" fontId="7" fillId="5" borderId="57" xfId="0" applyFont="1" applyFill="1" applyBorder="1" applyAlignment="1" applyProtection="1">
      <alignment vertical="top" wrapText="1"/>
    </xf>
    <xf numFmtId="0" fontId="19" fillId="5" borderId="57" xfId="0" applyFont="1" applyFill="1" applyBorder="1" applyAlignment="1" applyProtection="1">
      <alignment vertical="top" wrapText="1"/>
    </xf>
    <xf numFmtId="0" fontId="7" fillId="5" borderId="57" xfId="0" applyNumberFormat="1" applyFont="1" applyFill="1" applyBorder="1" applyAlignment="1" applyProtection="1">
      <alignment vertical="top" wrapText="1"/>
    </xf>
    <xf numFmtId="0" fontId="7" fillId="5" borderId="58" xfId="0" applyNumberFormat="1" applyFont="1" applyFill="1" applyBorder="1" applyAlignment="1" applyProtection="1">
      <alignment vertical="top" wrapText="1"/>
    </xf>
    <xf numFmtId="0" fontId="7" fillId="5" borderId="59" xfId="0" applyFont="1" applyFill="1" applyBorder="1" applyAlignment="1" applyProtection="1">
      <alignment vertical="top" wrapText="1"/>
    </xf>
    <xf numFmtId="0" fontId="7" fillId="5" borderId="60" xfId="0" applyNumberFormat="1" applyFont="1" applyFill="1" applyBorder="1" applyAlignment="1" applyProtection="1">
      <alignment vertical="top" wrapText="1"/>
    </xf>
    <xf numFmtId="0" fontId="7" fillId="5" borderId="61" xfId="0" applyFont="1" applyFill="1" applyBorder="1" applyAlignment="1" applyProtection="1">
      <alignment vertical="top" wrapText="1"/>
    </xf>
    <xf numFmtId="0" fontId="7" fillId="5" borderId="62" xfId="0" applyNumberFormat="1" applyFont="1" applyFill="1" applyBorder="1" applyAlignment="1" applyProtection="1">
      <alignment vertical="top" wrapText="1"/>
    </xf>
    <xf numFmtId="0" fontId="7" fillId="5" borderId="63" xfId="0" applyNumberFormat="1" applyFont="1" applyFill="1" applyBorder="1" applyAlignment="1" applyProtection="1">
      <alignment vertical="top" wrapText="1"/>
    </xf>
    <xf numFmtId="0" fontId="0" fillId="0" borderId="13" xfId="0" applyFont="1" applyBorder="1" applyAlignment="1" applyProtection="1">
      <alignment vertical="top" wrapText="1"/>
    </xf>
    <xf numFmtId="0" fontId="0" fillId="0" borderId="14" xfId="0" applyNumberFormat="1" applyFont="1" applyBorder="1" applyAlignment="1" applyProtection="1">
      <alignment vertical="top" wrapText="1"/>
    </xf>
    <xf numFmtId="49" fontId="33" fillId="7" borderId="18" xfId="0" applyNumberFormat="1" applyFont="1" applyFill="1" applyBorder="1" applyAlignment="1" applyProtection="1">
      <alignment vertical="top" wrapText="1"/>
    </xf>
    <xf numFmtId="49" fontId="30" fillId="7" borderId="20" xfId="0" applyNumberFormat="1" applyFont="1" applyFill="1" applyBorder="1" applyProtection="1">
      <alignment vertical="top" wrapText="1"/>
    </xf>
    <xf numFmtId="49" fontId="33" fillId="7" borderId="21" xfId="0" applyNumberFormat="1" applyFont="1" applyFill="1" applyBorder="1" applyAlignment="1" applyProtection="1">
      <alignment vertical="top" wrapText="1"/>
    </xf>
    <xf numFmtId="49" fontId="30" fillId="7" borderId="22" xfId="0" applyNumberFormat="1" applyFont="1" applyFill="1" applyBorder="1" applyProtection="1">
      <alignment vertical="top" wrapText="1"/>
    </xf>
    <xf numFmtId="49" fontId="33" fillId="7" borderId="23" xfId="0" applyNumberFormat="1" applyFont="1" applyFill="1" applyBorder="1" applyAlignment="1" applyProtection="1">
      <alignment vertical="top" wrapText="1"/>
    </xf>
    <xf numFmtId="49" fontId="30" fillId="7" borderId="25" xfId="0" applyNumberFormat="1" applyFont="1" applyFill="1" applyBorder="1" applyProtection="1">
      <alignment vertical="top" wrapText="1"/>
    </xf>
    <xf numFmtId="49" fontId="33" fillId="7" borderId="64" xfId="0" applyNumberFormat="1" applyFont="1" applyFill="1" applyBorder="1" applyAlignment="1" applyProtection="1">
      <alignment vertical="top" wrapText="1"/>
    </xf>
    <xf numFmtId="49" fontId="30" fillId="7" borderId="65" xfId="0" applyNumberFormat="1" applyFont="1" applyFill="1" applyBorder="1" applyProtection="1">
      <alignment vertical="top" wrapText="1"/>
    </xf>
    <xf numFmtId="49" fontId="30" fillId="7" borderId="21" xfId="0" applyNumberFormat="1" applyFont="1" applyFill="1" applyBorder="1" applyAlignment="1" applyProtection="1">
      <alignment horizontal="left" vertical="top" wrapText="1"/>
    </xf>
    <xf numFmtId="49" fontId="30" fillId="7" borderId="23" xfId="0" applyNumberFormat="1" applyFont="1" applyFill="1" applyBorder="1" applyAlignment="1" applyProtection="1">
      <alignment horizontal="left" vertical="top" wrapText="1"/>
    </xf>
    <xf numFmtId="0" fontId="33" fillId="7" borderId="64" xfId="0" applyFont="1" applyFill="1" applyBorder="1" applyAlignment="1" applyProtection="1">
      <alignment horizontal="left" vertical="top" wrapText="1"/>
    </xf>
    <xf numFmtId="0" fontId="30" fillId="7" borderId="65" xfId="0" applyFont="1" applyFill="1" applyBorder="1" applyProtection="1">
      <alignment vertical="top" wrapText="1"/>
    </xf>
    <xf numFmtId="49" fontId="30" fillId="7" borderId="67" xfId="0" applyNumberFormat="1" applyFont="1" applyFill="1" applyBorder="1" applyProtection="1">
      <alignment vertical="top" wrapText="1"/>
    </xf>
    <xf numFmtId="49" fontId="30" fillId="7" borderId="68" xfId="0" applyNumberFormat="1" applyFont="1" applyFill="1" applyBorder="1" applyProtection="1">
      <alignment vertical="top" wrapText="1"/>
    </xf>
    <xf numFmtId="49" fontId="30" fillId="7" borderId="69" xfId="0" applyNumberFormat="1" applyFont="1" applyFill="1" applyBorder="1" applyProtection="1">
      <alignment vertical="top" wrapText="1"/>
    </xf>
    <xf numFmtId="49" fontId="30" fillId="7" borderId="70" xfId="0" applyNumberFormat="1" applyFont="1" applyFill="1" applyBorder="1" applyProtection="1">
      <alignment vertical="top" wrapText="1"/>
    </xf>
    <xf numFmtId="49" fontId="30" fillId="0" borderId="0" xfId="0" applyNumberFormat="1" applyFont="1" applyFill="1" applyBorder="1" applyAlignment="1" applyProtection="1">
      <alignment horizontal="left" vertical="top" wrapText="1"/>
    </xf>
    <xf numFmtId="3" fontId="24" fillId="0" borderId="50" xfId="2" applyNumberFormat="1" applyFont="1" applyBorder="1" applyAlignment="1" applyProtection="1">
      <alignment vertical="center"/>
    </xf>
    <xf numFmtId="0" fontId="24" fillId="13" borderId="39" xfId="2" applyNumberFormat="1" applyFont="1" applyFill="1" applyBorder="1" applyAlignment="1" applyProtection="1">
      <alignment vertical="center"/>
    </xf>
    <xf numFmtId="0" fontId="24" fillId="13" borderId="48" xfId="2" applyNumberFormat="1" applyFont="1" applyFill="1" applyBorder="1" applyAlignment="1" applyProtection="1">
      <alignment vertical="center"/>
    </xf>
    <xf numFmtId="49" fontId="24" fillId="13" borderId="34" xfId="2" applyNumberFormat="1" applyFont="1" applyFill="1" applyBorder="1" applyAlignment="1" applyProtection="1">
      <alignment vertical="center"/>
    </xf>
    <xf numFmtId="49" fontId="24" fillId="13" borderId="48" xfId="2" applyNumberFormat="1" applyFont="1" applyFill="1" applyBorder="1" applyAlignment="1" applyProtection="1">
      <alignment vertical="center"/>
    </xf>
    <xf numFmtId="0" fontId="24" fillId="13" borderId="34" xfId="2" applyNumberFormat="1" applyFont="1" applyFill="1" applyBorder="1" applyAlignment="1" applyProtection="1">
      <alignment vertical="center"/>
    </xf>
    <xf numFmtId="0" fontId="24" fillId="13" borderId="42" xfId="2" applyNumberFormat="1" applyFont="1" applyFill="1" applyBorder="1" applyAlignment="1" applyProtection="1">
      <alignment vertical="center"/>
    </xf>
    <xf numFmtId="0" fontId="24" fillId="13" borderId="49" xfId="2" applyNumberFormat="1" applyFont="1" applyFill="1" applyBorder="1" applyAlignment="1" applyProtection="1">
      <alignment vertical="center"/>
    </xf>
    <xf numFmtId="0" fontId="24" fillId="0" borderId="33" xfId="2" applyNumberFormat="1" applyFont="1" applyBorder="1" applyAlignment="1" applyProtection="1">
      <alignment vertical="center"/>
    </xf>
    <xf numFmtId="3" fontId="24" fillId="0" borderId="66" xfId="2" applyNumberFormat="1" applyFont="1" applyBorder="1" applyAlignment="1" applyProtection="1">
      <alignment horizontal="left" vertical="center"/>
    </xf>
    <xf numFmtId="3" fontId="24" fillId="0" borderId="29" xfId="2" applyNumberFormat="1" applyFont="1" applyBorder="1" applyAlignment="1" applyProtection="1">
      <alignment vertical="center"/>
    </xf>
    <xf numFmtId="49" fontId="30" fillId="6" borderId="0" xfId="0" applyNumberFormat="1" applyFont="1" applyFill="1" applyBorder="1" applyAlignment="1" applyProtection="1">
      <alignment vertical="top" wrapText="1"/>
    </xf>
    <xf numFmtId="49" fontId="30" fillId="6" borderId="0" xfId="0" applyNumberFormat="1" applyFont="1" applyFill="1" applyBorder="1" applyProtection="1">
      <alignment vertical="top" wrapText="1"/>
    </xf>
    <xf numFmtId="0" fontId="7" fillId="0" borderId="0" xfId="0" applyNumberFormat="1" applyFont="1" applyBorder="1" applyAlignment="1" applyProtection="1">
      <alignment vertical="top" wrapText="1"/>
    </xf>
    <xf numFmtId="0" fontId="9" fillId="0" borderId="0" xfId="0" applyNumberFormat="1" applyFont="1" applyFill="1" applyBorder="1" applyAlignment="1" applyProtection="1">
      <alignment vertical="center" wrapText="1"/>
    </xf>
    <xf numFmtId="0" fontId="9" fillId="3" borderId="0" xfId="0" applyNumberFormat="1" applyFont="1" applyFill="1" applyBorder="1" applyAlignment="1" applyProtection="1">
      <alignment horizontal="center" vertical="top" wrapText="1"/>
    </xf>
    <xf numFmtId="49" fontId="41" fillId="0" borderId="0" xfId="0" applyNumberFormat="1" applyFont="1" applyFill="1" applyBorder="1" applyAlignment="1" applyProtection="1">
      <alignment horizontal="right" vertical="top" wrapText="1"/>
    </xf>
    <xf numFmtId="0" fontId="0" fillId="0" borderId="22" xfId="0" applyNumberFormat="1" applyFont="1" applyFill="1" applyBorder="1" applyAlignment="1" applyProtection="1">
      <alignment vertical="top" wrapText="1"/>
    </xf>
    <xf numFmtId="49" fontId="33" fillId="0" borderId="22" xfId="0" applyNumberFormat="1" applyFont="1" applyFill="1" applyBorder="1" applyAlignment="1" applyProtection="1">
      <alignment horizontal="right" vertical="top" wrapText="1"/>
    </xf>
    <xf numFmtId="49" fontId="30" fillId="0" borderId="22" xfId="0" applyNumberFormat="1" applyFont="1" applyFill="1" applyBorder="1" applyAlignment="1" applyProtection="1">
      <alignment horizontal="left" vertical="top" wrapText="1"/>
    </xf>
    <xf numFmtId="49" fontId="45" fillId="0" borderId="0" xfId="0" applyNumberFormat="1" applyFont="1" applyFill="1" applyBorder="1" applyAlignment="1" applyProtection="1">
      <alignment horizontal="right" wrapText="1"/>
    </xf>
    <xf numFmtId="49" fontId="44" fillId="0" borderId="0" xfId="0" applyNumberFormat="1" applyFont="1" applyFill="1" applyBorder="1" applyAlignment="1" applyProtection="1">
      <alignment horizontal="left" wrapText="1"/>
    </xf>
    <xf numFmtId="0" fontId="33" fillId="0" borderId="0" xfId="0" applyNumberFormat="1" applyFont="1" applyFill="1" applyBorder="1" applyAlignment="1" applyProtection="1">
      <alignment horizontal="right" vertical="top" wrapText="1"/>
    </xf>
    <xf numFmtId="0" fontId="44" fillId="0" borderId="13" xfId="0" applyFont="1" applyBorder="1" applyAlignment="1" applyProtection="1">
      <alignment vertical="top" wrapText="1"/>
    </xf>
    <xf numFmtId="0" fontId="44" fillId="0" borderId="14" xfId="0" applyNumberFormat="1" applyFont="1" applyBorder="1" applyAlignment="1" applyProtection="1">
      <alignment vertical="top" wrapText="1"/>
    </xf>
    <xf numFmtId="0" fontId="44" fillId="0" borderId="15" xfId="0" applyFont="1" applyBorder="1" applyAlignment="1" applyProtection="1">
      <alignment vertical="top" wrapText="1"/>
    </xf>
    <xf numFmtId="49" fontId="45" fillId="0" borderId="16" xfId="0" applyNumberFormat="1" applyFont="1" applyFill="1" applyBorder="1" applyAlignment="1" applyProtection="1">
      <alignment horizontal="right" wrapText="1"/>
    </xf>
    <xf numFmtId="49" fontId="44" fillId="0" borderId="16" xfId="0" applyNumberFormat="1" applyFont="1" applyFill="1" applyBorder="1" applyAlignment="1" applyProtection="1">
      <alignment horizontal="left" wrapText="1"/>
    </xf>
    <xf numFmtId="0" fontId="44" fillId="0" borderId="17" xfId="0" applyNumberFormat="1" applyFont="1" applyBorder="1" applyAlignment="1" applyProtection="1">
      <alignment vertical="top" wrapText="1"/>
    </xf>
    <xf numFmtId="10" fontId="7" fillId="0" borderId="0" xfId="0" applyNumberFormat="1" applyFont="1" applyAlignment="1" applyProtection="1">
      <alignment horizontal="right" vertical="top"/>
    </xf>
    <xf numFmtId="0" fontId="11" fillId="7" borderId="18" xfId="0" applyFont="1" applyFill="1" applyBorder="1" applyAlignment="1" applyProtection="1">
      <alignment horizontal="left" vertical="center"/>
    </xf>
    <xf numFmtId="0" fontId="12" fillId="7" borderId="19" xfId="0" applyFont="1" applyFill="1" applyBorder="1" applyAlignment="1" applyProtection="1">
      <alignment horizontal="left" vertical="center"/>
    </xf>
    <xf numFmtId="0" fontId="11" fillId="7" borderId="20" xfId="0" applyFont="1" applyFill="1" applyBorder="1" applyAlignment="1" applyProtection="1">
      <alignment horizontal="left" vertical="center"/>
    </xf>
    <xf numFmtId="0" fontId="11" fillId="7" borderId="21" xfId="0" applyFont="1" applyFill="1" applyBorder="1" applyAlignment="1" applyProtection="1">
      <alignment horizontal="left" vertical="center"/>
    </xf>
    <xf numFmtId="0" fontId="11" fillId="7" borderId="22" xfId="0" applyFont="1" applyFill="1" applyBorder="1" applyAlignment="1" applyProtection="1">
      <alignment horizontal="left" vertical="center"/>
    </xf>
    <xf numFmtId="0" fontId="11" fillId="7" borderId="23" xfId="0" applyFont="1" applyFill="1" applyBorder="1" applyAlignment="1" applyProtection="1">
      <alignment horizontal="left" vertical="center"/>
    </xf>
    <xf numFmtId="0" fontId="12" fillId="7" borderId="24" xfId="0" applyFont="1" applyFill="1" applyBorder="1" applyAlignment="1" applyProtection="1">
      <alignment horizontal="left" vertical="center"/>
    </xf>
    <xf numFmtId="0" fontId="11" fillId="7" borderId="25" xfId="0" applyFont="1" applyFill="1" applyBorder="1" applyAlignment="1" applyProtection="1">
      <alignment horizontal="left" vertical="center"/>
    </xf>
    <xf numFmtId="0" fontId="13" fillId="7" borderId="19" xfId="0" applyFont="1" applyFill="1" applyBorder="1" applyAlignment="1" applyProtection="1">
      <alignment horizontal="left" vertical="center"/>
    </xf>
    <xf numFmtId="10" fontId="7" fillId="7" borderId="24" xfId="0" applyNumberFormat="1" applyFont="1" applyFill="1" applyBorder="1" applyAlignment="1" applyProtection="1">
      <alignment horizontal="right" vertical="top"/>
    </xf>
    <xf numFmtId="2" fontId="7" fillId="7" borderId="0" xfId="0" applyNumberFormat="1" applyFont="1" applyFill="1" applyBorder="1" applyAlignment="1" applyProtection="1">
      <alignment horizontal="right" vertical="top"/>
    </xf>
    <xf numFmtId="2" fontId="7" fillId="7" borderId="24" xfId="0" applyNumberFormat="1" applyFont="1" applyFill="1" applyBorder="1" applyAlignment="1" applyProtection="1">
      <alignment horizontal="right" vertical="top"/>
    </xf>
    <xf numFmtId="0" fontId="14" fillId="7" borderId="21" xfId="0" applyFont="1" applyFill="1" applyBorder="1" applyAlignment="1" applyProtection="1">
      <alignment horizontal="left" vertical="center"/>
    </xf>
    <xf numFmtId="9" fontId="46" fillId="7" borderId="21" xfId="0" applyNumberFormat="1" applyFont="1" applyFill="1" applyBorder="1" applyAlignment="1" applyProtection="1">
      <alignment horizontal="left" vertical="center"/>
    </xf>
    <xf numFmtId="0" fontId="11" fillId="7" borderId="75" xfId="0" applyFont="1" applyFill="1" applyBorder="1" applyAlignment="1" applyProtection="1">
      <alignment horizontal="left" vertical="center"/>
    </xf>
    <xf numFmtId="10" fontId="12" fillId="7" borderId="0" xfId="0" applyNumberFormat="1" applyFont="1" applyFill="1" applyBorder="1" applyAlignment="1" applyProtection="1">
      <alignment horizontal="right" vertical="center"/>
    </xf>
    <xf numFmtId="0" fontId="7" fillId="0" borderId="0" xfId="0" applyFont="1" applyAlignment="1" applyProtection="1"/>
    <xf numFmtId="0" fontId="7" fillId="5" borderId="5" xfId="0" applyFont="1" applyFill="1" applyBorder="1" applyAlignment="1" applyProtection="1"/>
    <xf numFmtId="0" fontId="7" fillId="0" borderId="13" xfId="0" applyFont="1" applyFill="1" applyBorder="1" applyAlignment="1" applyProtection="1"/>
    <xf numFmtId="0" fontId="12" fillId="7" borderId="0" xfId="0" applyFont="1" applyFill="1" applyBorder="1" applyAlignment="1" applyProtection="1">
      <alignment horizontal="left"/>
    </xf>
    <xf numFmtId="0" fontId="11" fillId="7" borderId="0" xfId="0" applyFont="1" applyFill="1" applyBorder="1" applyAlignment="1" applyProtection="1">
      <alignment horizontal="left"/>
    </xf>
    <xf numFmtId="0" fontId="11" fillId="7" borderId="22" xfId="0" applyFont="1" applyFill="1" applyBorder="1" applyAlignment="1" applyProtection="1">
      <alignment horizontal="left"/>
    </xf>
    <xf numFmtId="0" fontId="12" fillId="0" borderId="14" xfId="0" applyFont="1" applyFill="1" applyBorder="1" applyAlignment="1" applyProtection="1">
      <alignment horizontal="left"/>
    </xf>
    <xf numFmtId="0" fontId="7" fillId="5" borderId="1" xfId="0" applyNumberFormat="1" applyFont="1" applyFill="1" applyBorder="1" applyAlignment="1" applyProtection="1"/>
    <xf numFmtId="0" fontId="7" fillId="0" borderId="0" xfId="0" applyNumberFormat="1" applyFont="1" applyAlignment="1" applyProtection="1"/>
    <xf numFmtId="0" fontId="7" fillId="0" borderId="0" xfId="0" applyNumberFormat="1" applyFont="1" applyAlignment="1" applyProtection="1">
      <alignment horizontal="left"/>
    </xf>
    <xf numFmtId="0" fontId="14" fillId="7" borderId="21" xfId="0" applyFont="1" applyFill="1" applyBorder="1" applyAlignment="1" applyProtection="1">
      <alignment horizontal="right"/>
    </xf>
    <xf numFmtId="0" fontId="13" fillId="7" borderId="0" xfId="0" applyFont="1" applyFill="1" applyBorder="1" applyAlignment="1" applyProtection="1">
      <alignment horizontal="left"/>
    </xf>
    <xf numFmtId="4" fontId="10" fillId="6" borderId="9" xfId="0" applyNumberFormat="1" applyFont="1" applyFill="1" applyBorder="1" applyAlignment="1" applyProtection="1">
      <alignment horizontal="left" vertical="top"/>
      <protection locked="0"/>
    </xf>
    <xf numFmtId="0" fontId="11" fillId="0" borderId="9" xfId="0" applyFont="1" applyFill="1" applyBorder="1" applyAlignment="1" applyProtection="1">
      <alignment horizontal="left"/>
      <protection locked="0"/>
    </xf>
    <xf numFmtId="1" fontId="46" fillId="7" borderId="21" xfId="0" applyNumberFormat="1" applyFont="1" applyFill="1" applyBorder="1" applyAlignment="1" applyProtection="1">
      <alignment horizontal="left" vertical="center"/>
    </xf>
    <xf numFmtId="0" fontId="14" fillId="7" borderId="21" xfId="0" applyFont="1" applyFill="1" applyBorder="1" applyAlignment="1" applyProtection="1"/>
    <xf numFmtId="9" fontId="46" fillId="7" borderId="21" xfId="0" applyNumberFormat="1" applyFont="1" applyFill="1" applyBorder="1" applyAlignment="1" applyProtection="1">
      <alignment vertical="center"/>
    </xf>
    <xf numFmtId="0" fontId="11" fillId="7" borderId="21" xfId="0" applyFont="1" applyFill="1" applyBorder="1" applyAlignment="1" applyProtection="1">
      <alignment vertical="center"/>
    </xf>
    <xf numFmtId="0" fontId="11" fillId="7" borderId="23" xfId="0" applyFont="1" applyFill="1" applyBorder="1" applyAlignment="1" applyProtection="1">
      <alignment vertical="center"/>
    </xf>
    <xf numFmtId="0" fontId="11" fillId="0" borderId="0" xfId="0" applyFont="1" applyFill="1" applyBorder="1" applyAlignment="1" applyProtection="1">
      <alignment vertical="center"/>
    </xf>
    <xf numFmtId="0" fontId="11" fillId="7" borderId="18" xfId="0" applyFont="1" applyFill="1" applyBorder="1" applyAlignment="1" applyProtection="1">
      <alignment vertical="center"/>
    </xf>
    <xf numFmtId="0" fontId="14" fillId="7" borderId="21" xfId="0" applyFont="1" applyFill="1" applyBorder="1" applyAlignment="1" applyProtection="1">
      <alignment vertical="center"/>
    </xf>
    <xf numFmtId="3" fontId="10" fillId="6" borderId="9" xfId="0" applyNumberFormat="1" applyFont="1" applyFill="1" applyBorder="1" applyAlignment="1" applyProtection="1">
      <alignment horizontal="right" vertical="top"/>
      <protection locked="0"/>
    </xf>
    <xf numFmtId="3" fontId="12" fillId="7" borderId="0" xfId="0" applyNumberFormat="1" applyFont="1" applyFill="1" applyBorder="1" applyAlignment="1" applyProtection="1">
      <alignment horizontal="left"/>
    </xf>
    <xf numFmtId="3" fontId="13" fillId="7" borderId="0" xfId="0" applyNumberFormat="1" applyFont="1" applyFill="1" applyBorder="1" applyAlignment="1" applyProtection="1">
      <alignment horizontal="left"/>
    </xf>
    <xf numFmtId="3" fontId="10" fillId="0" borderId="9" xfId="0" applyNumberFormat="1" applyFont="1" applyFill="1" applyBorder="1" applyAlignment="1" applyProtection="1">
      <alignment horizontal="right" vertical="top"/>
      <protection locked="0"/>
    </xf>
    <xf numFmtId="3" fontId="7" fillId="7" borderId="0" xfId="0" applyNumberFormat="1" applyFont="1" applyFill="1" applyBorder="1" applyAlignment="1" applyProtection="1">
      <alignment horizontal="right" vertical="top"/>
    </xf>
    <xf numFmtId="3" fontId="10" fillId="7" borderId="74" xfId="0" applyNumberFormat="1" applyFont="1" applyFill="1" applyBorder="1" applyAlignment="1" applyProtection="1">
      <alignment horizontal="right" vertical="center"/>
    </xf>
    <xf numFmtId="0" fontId="10" fillId="0" borderId="9" xfId="0" applyFont="1" applyBorder="1" applyAlignment="1" applyProtection="1">
      <alignment vertical="top"/>
      <protection locked="0"/>
    </xf>
    <xf numFmtId="0" fontId="11" fillId="7" borderId="24" xfId="0" quotePrefix="1" applyFont="1" applyFill="1" applyBorder="1" applyAlignment="1" applyProtection="1">
      <alignment horizontal="left" vertical="center"/>
    </xf>
    <xf numFmtId="0" fontId="24" fillId="0" borderId="30" xfId="2" applyNumberFormat="1" applyFont="1" applyBorder="1" applyAlignment="1" applyProtection="1">
      <alignment vertical="center"/>
    </xf>
    <xf numFmtId="49" fontId="45" fillId="0" borderId="0" xfId="0" applyNumberFormat="1" applyFont="1" applyFill="1" applyBorder="1" applyAlignment="1" applyProtection="1">
      <alignment horizontal="right"/>
    </xf>
    <xf numFmtId="3" fontId="10" fillId="0" borderId="9" xfId="0" applyNumberFormat="1" applyFont="1" applyBorder="1" applyAlignment="1" applyProtection="1">
      <alignment horizontal="right" vertical="top"/>
      <protection locked="0"/>
    </xf>
    <xf numFmtId="3" fontId="47" fillId="0" borderId="0" xfId="0" applyNumberFormat="1" applyFont="1" applyFill="1" applyBorder="1" applyAlignment="1" applyProtection="1">
      <alignment horizontal="left" wrapText="1"/>
    </xf>
    <xf numFmtId="0" fontId="45" fillId="0" borderId="0" xfId="0" applyNumberFormat="1" applyFont="1" applyFill="1" applyBorder="1" applyAlignment="1" applyProtection="1">
      <alignment horizontal="right"/>
    </xf>
    <xf numFmtId="0" fontId="7" fillId="0" borderId="76" xfId="0" applyFont="1" applyFill="1" applyBorder="1" applyAlignment="1" applyProtection="1"/>
    <xf numFmtId="0" fontId="7" fillId="0" borderId="76" xfId="0" applyFont="1" applyFill="1" applyBorder="1" applyAlignment="1" applyProtection="1">
      <alignment vertical="top"/>
    </xf>
    <xf numFmtId="3" fontId="5" fillId="0" borderId="76" xfId="0" applyNumberFormat="1" applyFont="1" applyFill="1" applyBorder="1" applyAlignment="1" applyProtection="1">
      <alignment horizontal="right" vertical="top"/>
    </xf>
    <xf numFmtId="0" fontId="6" fillId="0" borderId="76" xfId="0" applyFont="1" applyFill="1" applyBorder="1" applyAlignment="1" applyProtection="1"/>
    <xf numFmtId="0" fontId="6" fillId="0" borderId="76" xfId="0" applyFont="1" applyFill="1" applyBorder="1" applyAlignment="1" applyProtection="1">
      <alignment vertical="top"/>
    </xf>
    <xf numFmtId="3" fontId="5" fillId="0" borderId="76" xfId="0" applyNumberFormat="1" applyFont="1" applyFill="1" applyBorder="1" applyAlignment="1" applyProtection="1">
      <alignment horizontal="right" vertical="center"/>
    </xf>
    <xf numFmtId="0" fontId="6" fillId="6" borderId="0" xfId="0" applyFont="1" applyFill="1" applyBorder="1" applyAlignment="1" applyProtection="1">
      <alignment vertical="top" wrapText="1"/>
      <protection hidden="1"/>
    </xf>
    <xf numFmtId="0" fontId="6" fillId="6" borderId="0" xfId="0" applyFont="1" applyFill="1" applyBorder="1" applyAlignment="1" applyProtection="1">
      <alignment vertical="top"/>
      <protection hidden="1"/>
    </xf>
    <xf numFmtId="0" fontId="6" fillId="0" borderId="0" xfId="0" applyFont="1" applyAlignment="1" applyProtection="1">
      <alignment vertical="top" wrapText="1"/>
      <protection hidden="1"/>
    </xf>
    <xf numFmtId="0" fontId="13" fillId="7" borderId="0" xfId="0" applyFont="1" applyFill="1" applyBorder="1" applyAlignment="1" applyProtection="1">
      <alignment horizontal="left" vertical="center"/>
    </xf>
    <xf numFmtId="0" fontId="30" fillId="0" borderId="0" xfId="0" applyNumberFormat="1" applyFont="1" applyFill="1" applyBorder="1" applyAlignment="1" applyProtection="1">
      <alignment horizontal="left" vertical="top" wrapText="1"/>
    </xf>
    <xf numFmtId="0" fontId="31" fillId="0" borderId="0" xfId="0" applyNumberFormat="1" applyFont="1" applyFill="1" applyBorder="1" applyAlignment="1" applyProtection="1">
      <alignment horizontal="left" vertical="top" wrapText="1"/>
    </xf>
    <xf numFmtId="0" fontId="30" fillId="7" borderId="71" xfId="0" applyNumberFormat="1" applyFont="1" applyFill="1" applyBorder="1" applyAlignment="1" applyProtection="1">
      <alignment horizontal="left" vertical="top" wrapText="1"/>
    </xf>
    <xf numFmtId="0" fontId="30" fillId="7" borderId="72" xfId="0" applyNumberFormat="1" applyFont="1" applyFill="1" applyBorder="1" applyAlignment="1" applyProtection="1">
      <alignment horizontal="left" vertical="top" wrapText="1"/>
    </xf>
    <xf numFmtId="3" fontId="30" fillId="7" borderId="72" xfId="0" applyNumberFormat="1" applyFont="1" applyFill="1" applyBorder="1" applyAlignment="1" applyProtection="1">
      <alignment horizontal="left" vertical="top" wrapText="1"/>
    </xf>
    <xf numFmtId="0" fontId="31" fillId="7" borderId="72" xfId="0" applyNumberFormat="1" applyFont="1" applyFill="1" applyBorder="1" applyAlignment="1" applyProtection="1">
      <alignment horizontal="left" vertical="top" wrapText="1"/>
    </xf>
    <xf numFmtId="49" fontId="30" fillId="7" borderId="72" xfId="0" applyNumberFormat="1" applyFont="1" applyFill="1" applyBorder="1" applyAlignment="1" applyProtection="1">
      <alignment horizontal="left" vertical="top" wrapText="1"/>
    </xf>
    <xf numFmtId="0" fontId="30" fillId="7" borderId="73" xfId="0" applyNumberFormat="1" applyFont="1" applyFill="1" applyBorder="1" applyProtection="1">
      <alignment vertical="top" wrapText="1"/>
    </xf>
    <xf numFmtId="0" fontId="33" fillId="7" borderId="20" xfId="0" applyNumberFormat="1" applyFont="1" applyFill="1" applyBorder="1" applyAlignment="1" applyProtection="1">
      <alignment horizontal="left" vertical="top"/>
    </xf>
    <xf numFmtId="0" fontId="23" fillId="7" borderId="22" xfId="0" applyNumberFormat="1" applyFont="1" applyFill="1" applyBorder="1" applyAlignment="1" applyProtection="1">
      <alignment vertical="top" wrapText="1"/>
    </xf>
    <xf numFmtId="0" fontId="30" fillId="7" borderId="22" xfId="0" applyNumberFormat="1" applyFont="1" applyFill="1" applyBorder="1" applyProtection="1">
      <alignment vertical="top" wrapText="1"/>
    </xf>
    <xf numFmtId="0" fontId="33" fillId="7" borderId="22" xfId="0" applyNumberFormat="1" applyFont="1" applyFill="1" applyBorder="1" applyProtection="1">
      <alignment vertical="top" wrapText="1"/>
    </xf>
    <xf numFmtId="0" fontId="33" fillId="7" borderId="22" xfId="0" applyNumberFormat="1" applyFont="1" applyFill="1" applyBorder="1" applyAlignment="1" applyProtection="1">
      <alignment vertical="top" wrapText="1"/>
    </xf>
    <xf numFmtId="0" fontId="30" fillId="7" borderId="22" xfId="0" applyNumberFormat="1" applyFont="1" applyFill="1" applyBorder="1" applyAlignment="1" applyProtection="1">
      <alignment vertical="top" wrapText="1"/>
    </xf>
    <xf numFmtId="3" fontId="43" fillId="7" borderId="71" xfId="0" applyNumberFormat="1" applyFont="1" applyFill="1" applyBorder="1" applyAlignment="1" applyProtection="1">
      <alignment horizontal="left" wrapText="1"/>
    </xf>
    <xf numFmtId="0" fontId="44" fillId="7" borderId="72" xfId="0" applyNumberFormat="1" applyFont="1" applyFill="1" applyBorder="1" applyAlignment="1" applyProtection="1">
      <alignment horizontal="left" wrapText="1"/>
    </xf>
    <xf numFmtId="0" fontId="43" fillId="7" borderId="72" xfId="0" applyNumberFormat="1" applyFont="1" applyFill="1" applyBorder="1" applyAlignment="1" applyProtection="1">
      <alignment horizontal="left" wrapText="1"/>
    </xf>
    <xf numFmtId="0" fontId="44" fillId="7" borderId="73" xfId="0" applyNumberFormat="1" applyFont="1" applyFill="1" applyBorder="1" applyAlignment="1" applyProtection="1">
      <alignment horizontal="left" wrapText="1"/>
    </xf>
    <xf numFmtId="3" fontId="43" fillId="7" borderId="72" xfId="0" applyNumberFormat="1" applyFont="1" applyFill="1" applyBorder="1" applyAlignment="1" applyProtection="1">
      <alignment horizontal="left" wrapText="1"/>
    </xf>
    <xf numFmtId="0" fontId="45" fillId="7" borderId="71" xfId="0" applyNumberFormat="1" applyFont="1" applyFill="1" applyBorder="1" applyAlignment="1" applyProtection="1">
      <alignment horizontal="left" wrapText="1"/>
    </xf>
    <xf numFmtId="49" fontId="45" fillId="7" borderId="72" xfId="0" applyNumberFormat="1" applyFont="1" applyFill="1" applyBorder="1" applyAlignment="1" applyProtection="1">
      <alignment horizontal="left" wrapText="1"/>
    </xf>
    <xf numFmtId="49" fontId="44" fillId="7" borderId="72" xfId="0" applyNumberFormat="1" applyFont="1" applyFill="1" applyBorder="1" applyAlignment="1" applyProtection="1">
      <alignment horizontal="left" wrapText="1"/>
    </xf>
    <xf numFmtId="0" fontId="49" fillId="14" borderId="0" xfId="0" applyNumberFormat="1" applyFont="1" applyFill="1" applyBorder="1" applyAlignment="1" applyProtection="1">
      <alignment horizontal="left" vertical="center" wrapText="1"/>
    </xf>
    <xf numFmtId="0" fontId="6" fillId="14" borderId="15" xfId="0" applyFont="1" applyFill="1" applyBorder="1" applyAlignment="1" applyProtection="1">
      <alignment vertical="top" wrapText="1"/>
    </xf>
    <xf numFmtId="0" fontId="6" fillId="14" borderId="16" xfId="0" applyNumberFormat="1" applyFont="1" applyFill="1" applyBorder="1" applyAlignment="1" applyProtection="1">
      <alignment vertical="top"/>
    </xf>
    <xf numFmtId="0" fontId="16" fillId="14" borderId="16" xfId="0" applyFont="1" applyFill="1" applyBorder="1" applyAlignment="1" applyProtection="1">
      <alignment horizontal="left" vertical="center"/>
    </xf>
    <xf numFmtId="0" fontId="16" fillId="14" borderId="17" xfId="0" applyFont="1" applyFill="1" applyBorder="1" applyAlignment="1" applyProtection="1">
      <alignment horizontal="left" vertical="center"/>
    </xf>
    <xf numFmtId="0" fontId="50" fillId="14" borderId="16" xfId="0" applyNumberFormat="1" applyFont="1" applyFill="1" applyBorder="1" applyAlignment="1" applyProtection="1"/>
    <xf numFmtId="0" fontId="3"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horizontal="left" vertical="top" wrapText="1"/>
    </xf>
    <xf numFmtId="0" fontId="14" fillId="0" borderId="0" xfId="0" applyNumberFormat="1" applyFont="1" applyFill="1" applyBorder="1" applyAlignment="1" applyProtection="1"/>
    <xf numFmtId="0" fontId="3" fillId="0" borderId="0" xfId="0" applyFont="1" applyAlignment="1" applyProtection="1">
      <alignment vertical="top" wrapText="1"/>
    </xf>
    <xf numFmtId="0" fontId="3" fillId="0" borderId="0" xfId="0" applyNumberFormat="1" applyFont="1" applyAlignment="1" applyProtection="1">
      <alignment vertical="top" wrapText="1"/>
    </xf>
    <xf numFmtId="0" fontId="5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center" wrapText="1"/>
    </xf>
    <xf numFmtId="0" fontId="3" fillId="5" borderId="77" xfId="0" applyFont="1" applyFill="1" applyBorder="1" applyAlignment="1" applyProtection="1">
      <alignment vertical="top" wrapText="1"/>
    </xf>
    <xf numFmtId="0" fontId="3" fillId="5" borderId="78" xfId="0" applyFont="1" applyFill="1" applyBorder="1" applyAlignment="1" applyProtection="1">
      <alignment vertical="top" wrapText="1"/>
    </xf>
    <xf numFmtId="49" fontId="4" fillId="5" borderId="78" xfId="0" applyNumberFormat="1" applyFont="1" applyFill="1" applyBorder="1" applyAlignment="1" applyProtection="1">
      <alignment horizontal="center" vertical="top" wrapText="1"/>
    </xf>
    <xf numFmtId="0" fontId="2" fillId="5" borderId="78" xfId="0" applyFont="1" applyFill="1" applyBorder="1" applyAlignment="1" applyProtection="1">
      <alignment vertical="top" wrapText="1"/>
    </xf>
    <xf numFmtId="0" fontId="3" fillId="5" borderId="78" xfId="0" applyNumberFormat="1" applyFont="1" applyFill="1" applyBorder="1" applyAlignment="1" applyProtection="1">
      <alignment vertical="top" wrapText="1"/>
    </xf>
    <xf numFmtId="0" fontId="3" fillId="5" borderId="79" xfId="0" applyNumberFormat="1" applyFont="1" applyFill="1" applyBorder="1" applyAlignment="1" applyProtection="1">
      <alignment vertical="top" wrapText="1"/>
    </xf>
    <xf numFmtId="0" fontId="3" fillId="5" borderId="80" xfId="0" applyFont="1" applyFill="1" applyBorder="1" applyAlignment="1" applyProtection="1">
      <alignment vertical="top" wrapText="1"/>
    </xf>
    <xf numFmtId="0" fontId="3" fillId="0" borderId="10" xfId="0" applyFont="1" applyBorder="1" applyAlignment="1" applyProtection="1">
      <alignment vertical="top" wrapText="1"/>
    </xf>
    <xf numFmtId="49" fontId="4" fillId="0" borderId="11" xfId="0" applyNumberFormat="1" applyFont="1" applyFill="1" applyBorder="1" applyAlignment="1" applyProtection="1">
      <alignment horizontal="center" vertical="top" wrapText="1"/>
    </xf>
    <xf numFmtId="0" fontId="2" fillId="0" borderId="11" xfId="0" applyFont="1" applyFill="1" applyBorder="1" applyAlignment="1" applyProtection="1">
      <alignment vertical="top" wrapText="1"/>
    </xf>
    <xf numFmtId="0" fontId="3" fillId="0" borderId="12" xfId="0" applyNumberFormat="1" applyFont="1" applyBorder="1" applyAlignment="1" applyProtection="1">
      <alignment vertical="top" wrapText="1"/>
    </xf>
    <xf numFmtId="0" fontId="3" fillId="5" borderId="81" xfId="0" applyNumberFormat="1" applyFont="1" applyFill="1" applyBorder="1" applyAlignment="1" applyProtection="1">
      <alignment vertical="top" wrapText="1"/>
    </xf>
    <xf numFmtId="0" fontId="3" fillId="0" borderId="13" xfId="0" applyFont="1" applyBorder="1" applyAlignment="1" applyProtection="1">
      <alignment vertical="top" wrapText="1"/>
    </xf>
    <xf numFmtId="0" fontId="3" fillId="0" borderId="14" xfId="0" applyNumberFormat="1" applyFont="1" applyBorder="1" applyAlignment="1" applyProtection="1">
      <alignment vertical="top" wrapText="1"/>
    </xf>
    <xf numFmtId="0" fontId="3" fillId="0" borderId="15" xfId="0" applyFont="1" applyBorder="1" applyAlignment="1" applyProtection="1">
      <alignment vertical="top" wrapText="1"/>
    </xf>
    <xf numFmtId="0" fontId="3" fillId="0" borderId="16" xfId="0" applyNumberFormat="1" applyFont="1" applyBorder="1" applyAlignment="1" applyProtection="1">
      <alignment vertical="top" wrapText="1"/>
    </xf>
    <xf numFmtId="0" fontId="3" fillId="0" borderId="17" xfId="0" applyNumberFormat="1" applyFont="1" applyBorder="1" applyAlignment="1" applyProtection="1">
      <alignment vertical="top" wrapText="1"/>
    </xf>
    <xf numFmtId="0" fontId="3" fillId="5" borderId="82" xfId="0" applyFont="1" applyFill="1" applyBorder="1" applyAlignment="1" applyProtection="1">
      <alignment vertical="top" wrapText="1"/>
    </xf>
    <xf numFmtId="0" fontId="3" fillId="5" borderId="83" xfId="0" applyFont="1" applyFill="1" applyBorder="1" applyAlignment="1" applyProtection="1">
      <alignment vertical="top" wrapText="1"/>
    </xf>
    <xf numFmtId="0" fontId="3" fillId="5" borderId="83" xfId="0" applyNumberFormat="1" applyFont="1" applyFill="1" applyBorder="1" applyAlignment="1" applyProtection="1">
      <alignment vertical="top" wrapText="1"/>
    </xf>
    <xf numFmtId="0" fontId="3" fillId="5" borderId="84" xfId="0" applyNumberFormat="1" applyFont="1" applyFill="1" applyBorder="1" applyAlignment="1" applyProtection="1">
      <alignment vertical="top" wrapText="1"/>
    </xf>
    <xf numFmtId="0" fontId="3" fillId="5" borderId="80" xfId="0" applyFont="1" applyFill="1" applyBorder="1" applyAlignment="1" applyProtection="1">
      <alignment wrapText="1"/>
    </xf>
    <xf numFmtId="0" fontId="3" fillId="0" borderId="13" xfId="0" applyFont="1" applyBorder="1" applyAlignment="1" applyProtection="1">
      <alignment wrapText="1"/>
    </xf>
    <xf numFmtId="0" fontId="3" fillId="0" borderId="14" xfId="0" applyNumberFormat="1" applyFont="1" applyBorder="1" applyAlignment="1" applyProtection="1">
      <alignment wrapText="1"/>
    </xf>
    <xf numFmtId="0" fontId="3" fillId="5" borderId="81" xfId="0" applyNumberFormat="1" applyFont="1" applyFill="1" applyBorder="1" applyAlignment="1" applyProtection="1">
      <alignment wrapText="1"/>
    </xf>
    <xf numFmtId="0" fontId="3" fillId="0" borderId="0" xfId="0" applyNumberFormat="1" applyFont="1" applyAlignment="1" applyProtection="1">
      <alignment wrapText="1"/>
    </xf>
    <xf numFmtId="0" fontId="3" fillId="0" borderId="0" xfId="0" applyFont="1" applyAlignment="1" applyProtection="1">
      <alignment wrapText="1"/>
    </xf>
    <xf numFmtId="0" fontId="3" fillId="7" borderId="0" xfId="0" applyNumberFormat="1" applyFont="1" applyFill="1" applyBorder="1" applyAlignment="1" applyProtection="1">
      <alignment horizontal="left" wrapText="1"/>
    </xf>
    <xf numFmtId="0" fontId="52" fillId="0" borderId="0" xfId="0" applyFont="1" applyAlignment="1" applyProtection="1">
      <alignment vertical="center" wrapText="1"/>
    </xf>
    <xf numFmtId="0" fontId="52" fillId="5" borderId="78" xfId="0" applyFont="1" applyFill="1" applyBorder="1" applyAlignment="1" applyProtection="1">
      <alignment vertical="center" wrapText="1"/>
    </xf>
    <xf numFmtId="0" fontId="52" fillId="0" borderId="11" xfId="0" applyFont="1" applyBorder="1" applyAlignment="1" applyProtection="1">
      <alignment vertical="center" wrapText="1"/>
    </xf>
    <xf numFmtId="0" fontId="52" fillId="0" borderId="0" xfId="0" applyFont="1" applyBorder="1" applyAlignment="1" applyProtection="1">
      <alignment vertical="center" wrapText="1"/>
    </xf>
    <xf numFmtId="0" fontId="52" fillId="0" borderId="16" xfId="0" applyFont="1" applyBorder="1" applyAlignment="1" applyProtection="1">
      <alignment vertical="center" wrapText="1"/>
    </xf>
    <xf numFmtId="0" fontId="52" fillId="5" borderId="83" xfId="0" applyFont="1" applyFill="1" applyBorder="1" applyAlignment="1" applyProtection="1">
      <alignment vertical="center" wrapText="1"/>
    </xf>
    <xf numFmtId="0" fontId="14" fillId="7" borderId="0" xfId="0" applyNumberFormat="1" applyFont="1" applyFill="1" applyBorder="1" applyAlignment="1" applyProtection="1"/>
    <xf numFmtId="0" fontId="3" fillId="7" borderId="0" xfId="0" applyNumberFormat="1" applyFont="1" applyFill="1" applyBorder="1" applyAlignment="1" applyProtection="1">
      <alignment horizontal="left"/>
    </xf>
    <xf numFmtId="49" fontId="3" fillId="7" borderId="0" xfId="0" applyNumberFormat="1" applyFont="1" applyFill="1" applyBorder="1" applyAlignment="1" applyProtection="1">
      <alignment horizontal="right" wrapText="1"/>
    </xf>
    <xf numFmtId="0" fontId="3" fillId="7" borderId="0" xfId="0" applyFont="1" applyFill="1" applyBorder="1" applyAlignment="1" applyProtection="1">
      <alignment horizontal="left" wrapText="1"/>
    </xf>
    <xf numFmtId="0" fontId="4" fillId="7" borderId="0" xfId="0" applyNumberFormat="1" applyFont="1" applyFill="1" applyBorder="1" applyAlignment="1" applyProtection="1">
      <alignment horizontal="left" wrapText="1"/>
    </xf>
    <xf numFmtId="0" fontId="3" fillId="7" borderId="0" xfId="0" applyFont="1" applyFill="1" applyBorder="1" applyAlignment="1" applyProtection="1">
      <alignment horizontal="right"/>
    </xf>
    <xf numFmtId="0" fontId="3" fillId="0" borderId="0" xfId="0" applyNumberFormat="1" applyFont="1" applyFill="1" applyBorder="1" applyAlignment="1" applyProtection="1">
      <alignment horizontal="left"/>
    </xf>
    <xf numFmtId="0" fontId="3" fillId="0" borderId="0" xfId="0" applyFont="1" applyFill="1" applyBorder="1" applyAlignment="1" applyProtection="1">
      <alignment horizontal="left" wrapText="1"/>
    </xf>
    <xf numFmtId="0" fontId="3" fillId="0" borderId="9" xfId="0" applyFont="1" applyFill="1" applyBorder="1" applyAlignment="1" applyProtection="1">
      <alignment horizontal="left" wrapText="1"/>
      <protection locked="0"/>
    </xf>
    <xf numFmtId="49" fontId="3" fillId="7" borderId="0" xfId="0" applyNumberFormat="1" applyFont="1" applyFill="1" applyBorder="1" applyAlignment="1" applyProtection="1"/>
    <xf numFmtId="0" fontId="4" fillId="7" borderId="0" xfId="0" applyFont="1" applyFill="1" applyBorder="1" applyAlignment="1" applyProtection="1">
      <alignment horizontal="left" wrapText="1"/>
    </xf>
    <xf numFmtId="49" fontId="3" fillId="7" borderId="0" xfId="0" applyNumberFormat="1" applyFont="1" applyFill="1" applyBorder="1" applyAlignment="1" applyProtection="1">
      <alignment horizontal="left"/>
    </xf>
    <xf numFmtId="0" fontId="3" fillId="0" borderId="13" xfId="0" applyFont="1" applyFill="1" applyBorder="1" applyAlignment="1" applyProtection="1">
      <alignment wrapText="1"/>
    </xf>
    <xf numFmtId="0" fontId="3" fillId="0" borderId="0" xfId="0" applyNumberFormat="1" applyFont="1" applyFill="1" applyBorder="1" applyAlignment="1" applyProtection="1">
      <alignment wrapText="1"/>
    </xf>
    <xf numFmtId="0" fontId="3" fillId="0" borderId="14" xfId="0" applyNumberFormat="1" applyFont="1" applyFill="1" applyBorder="1" applyAlignment="1" applyProtection="1">
      <alignment wrapText="1"/>
    </xf>
    <xf numFmtId="0" fontId="3" fillId="0" borderId="0" xfId="0" applyFont="1" applyFill="1" applyBorder="1" applyAlignment="1" applyProtection="1">
      <alignment wrapText="1"/>
    </xf>
    <xf numFmtId="0" fontId="52" fillId="0" borderId="0" xfId="0" applyFont="1" applyFill="1" applyBorder="1" applyAlignment="1" applyProtection="1">
      <alignment wrapText="1"/>
    </xf>
    <xf numFmtId="0" fontId="3" fillId="0" borderId="0" xfId="0" applyNumberFormat="1" applyFont="1" applyFill="1" applyBorder="1" applyAlignment="1" applyProtection="1">
      <alignment horizontal="center" wrapText="1"/>
    </xf>
    <xf numFmtId="0" fontId="3" fillId="0" borderId="0" xfId="0" applyNumberFormat="1" applyFont="1" applyFill="1" applyBorder="1" applyAlignment="1" applyProtection="1">
      <alignment horizontal="left" wrapText="1"/>
    </xf>
    <xf numFmtId="0" fontId="3" fillId="7" borderId="85" xfId="0" applyNumberFormat="1" applyFont="1" applyFill="1" applyBorder="1" applyAlignment="1" applyProtection="1">
      <alignment horizontal="left" wrapText="1"/>
    </xf>
    <xf numFmtId="0" fontId="3" fillId="7" borderId="86" xfId="0" applyNumberFormat="1" applyFont="1" applyFill="1" applyBorder="1" applyAlignment="1" applyProtection="1">
      <alignment horizontal="left" wrapText="1"/>
    </xf>
    <xf numFmtId="0" fontId="2" fillId="7" borderId="66" xfId="0" applyNumberFormat="1" applyFont="1" applyFill="1" applyBorder="1" applyAlignment="1" applyProtection="1">
      <alignment horizontal="left" wrapText="1"/>
    </xf>
    <xf numFmtId="0" fontId="4" fillId="7" borderId="85" xfId="0" applyNumberFormat="1" applyFont="1" applyFill="1" applyBorder="1" applyAlignment="1" applyProtection="1">
      <alignment horizontal="left" wrapText="1"/>
    </xf>
    <xf numFmtId="0" fontId="2" fillId="7" borderId="85" xfId="0" applyNumberFormat="1" applyFont="1" applyFill="1" applyBorder="1" applyAlignment="1" applyProtection="1">
      <alignment horizontal="left" wrapText="1"/>
    </xf>
    <xf numFmtId="0" fontId="20" fillId="7" borderId="0" xfId="0" applyFont="1" applyFill="1" applyBorder="1" applyAlignment="1" applyProtection="1">
      <alignment vertical="top"/>
    </xf>
    <xf numFmtId="0" fontId="20" fillId="7" borderId="0" xfId="0" applyNumberFormat="1" applyFont="1" applyFill="1" applyBorder="1" applyAlignment="1" applyProtection="1">
      <alignment vertical="top"/>
    </xf>
    <xf numFmtId="0" fontId="3" fillId="5" borderId="87" xfId="0" applyFont="1" applyFill="1" applyBorder="1" applyAlignment="1" applyProtection="1">
      <alignment wrapText="1"/>
    </xf>
    <xf numFmtId="0" fontId="3" fillId="5" borderId="88" xfId="0" applyNumberFormat="1" applyFont="1" applyFill="1" applyBorder="1" applyAlignment="1" applyProtection="1">
      <alignment wrapText="1"/>
    </xf>
    <xf numFmtId="0" fontId="7" fillId="5" borderId="88" xfId="0" applyNumberFormat="1" applyFont="1" applyFill="1" applyBorder="1" applyAlignment="1" applyProtection="1">
      <alignment vertical="top"/>
    </xf>
    <xf numFmtId="0" fontId="4" fillId="0" borderId="0" xfId="0" applyNumberFormat="1" applyFont="1" applyFill="1" applyBorder="1" applyAlignment="1" applyProtection="1">
      <alignment horizontal="left" wrapText="1"/>
    </xf>
    <xf numFmtId="0" fontId="2" fillId="0" borderId="0" xfId="0" applyNumberFormat="1" applyFont="1" applyFill="1" applyBorder="1" applyAlignment="1" applyProtection="1">
      <alignment horizontal="left"/>
    </xf>
    <xf numFmtId="49" fontId="4" fillId="0" borderId="0" xfId="0" applyNumberFormat="1" applyFont="1" applyFill="1" applyBorder="1" applyAlignment="1" applyProtection="1">
      <alignment horizontal="left" wrapText="1"/>
    </xf>
    <xf numFmtId="0" fontId="52" fillId="7" borderId="18" xfId="0" applyFont="1" applyFill="1" applyBorder="1" applyAlignment="1" applyProtection="1">
      <alignment wrapText="1"/>
    </xf>
    <xf numFmtId="49" fontId="3" fillId="7" borderId="19" xfId="0" applyNumberFormat="1" applyFont="1" applyFill="1" applyBorder="1" applyAlignment="1" applyProtection="1">
      <alignment horizontal="left"/>
    </xf>
    <xf numFmtId="0" fontId="3" fillId="7" borderId="19" xfId="0" applyFont="1" applyFill="1" applyBorder="1" applyAlignment="1" applyProtection="1">
      <alignment horizontal="left" wrapText="1"/>
    </xf>
    <xf numFmtId="0" fontId="3" fillId="7" borderId="20" xfId="0" applyFont="1" applyFill="1" applyBorder="1" applyAlignment="1" applyProtection="1">
      <alignment horizontal="left" wrapText="1"/>
    </xf>
    <xf numFmtId="0" fontId="52" fillId="7" borderId="21" xfId="0" applyFont="1" applyFill="1" applyBorder="1" applyAlignment="1" applyProtection="1">
      <alignment wrapText="1"/>
    </xf>
    <xf numFmtId="0" fontId="3" fillId="7" borderId="22" xfId="0" applyFont="1" applyFill="1" applyBorder="1" applyAlignment="1" applyProtection="1">
      <alignment horizontal="left" wrapText="1"/>
    </xf>
    <xf numFmtId="0" fontId="3" fillId="7" borderId="22" xfId="0" applyNumberFormat="1" applyFont="1" applyFill="1" applyBorder="1" applyAlignment="1" applyProtection="1">
      <alignment wrapText="1"/>
    </xf>
    <xf numFmtId="0" fontId="52" fillId="7" borderId="23" xfId="0" applyFont="1" applyFill="1" applyBorder="1" applyAlignment="1" applyProtection="1">
      <alignment wrapText="1"/>
    </xf>
    <xf numFmtId="0" fontId="3" fillId="7" borderId="24" xfId="0" applyNumberFormat="1" applyFont="1" applyFill="1" applyBorder="1" applyAlignment="1" applyProtection="1">
      <alignment horizontal="left"/>
    </xf>
    <xf numFmtId="0" fontId="3" fillId="7" borderId="25" xfId="0" applyNumberFormat="1" applyFont="1" applyFill="1" applyBorder="1" applyAlignment="1" applyProtection="1">
      <alignment wrapText="1"/>
    </xf>
    <xf numFmtId="0" fontId="3" fillId="7" borderId="19" xfId="0" applyNumberFormat="1" applyFont="1" applyFill="1" applyBorder="1" applyAlignment="1" applyProtection="1">
      <alignment horizontal="left"/>
    </xf>
    <xf numFmtId="0" fontId="3" fillId="7" borderId="20" xfId="0" applyNumberFormat="1" applyFont="1" applyFill="1" applyBorder="1" applyAlignment="1" applyProtection="1">
      <alignment horizontal="left"/>
    </xf>
    <xf numFmtId="0" fontId="3" fillId="7" borderId="22" xfId="0" applyNumberFormat="1" applyFont="1" applyFill="1" applyBorder="1" applyAlignment="1" applyProtection="1">
      <alignment horizontal="left"/>
    </xf>
    <xf numFmtId="0" fontId="2" fillId="7" borderId="22" xfId="0" applyNumberFormat="1" applyFont="1" applyFill="1" applyBorder="1" applyAlignment="1" applyProtection="1">
      <alignment horizontal="left" wrapText="1"/>
    </xf>
    <xf numFmtId="49" fontId="4" fillId="7" borderId="22" xfId="0" applyNumberFormat="1" applyFont="1" applyFill="1" applyBorder="1" applyAlignment="1" applyProtection="1">
      <alignment horizontal="left" wrapText="1"/>
    </xf>
    <xf numFmtId="0" fontId="4" fillId="7" borderId="24" xfId="0" applyNumberFormat="1" applyFont="1" applyFill="1" applyBorder="1" applyAlignment="1" applyProtection="1">
      <alignment horizontal="left" wrapText="1"/>
    </xf>
    <xf numFmtId="49" fontId="4" fillId="7" borderId="25" xfId="0" applyNumberFormat="1" applyFont="1" applyFill="1" applyBorder="1" applyAlignment="1" applyProtection="1">
      <alignment horizontal="left" wrapText="1"/>
    </xf>
    <xf numFmtId="0" fontId="14" fillId="7" borderId="24" xfId="0" applyNumberFormat="1" applyFont="1" applyFill="1" applyBorder="1" applyAlignment="1" applyProtection="1"/>
    <xf numFmtId="0" fontId="3" fillId="7" borderId="25" xfId="0" applyNumberFormat="1" applyFont="1" applyFill="1" applyBorder="1" applyAlignment="1" applyProtection="1">
      <alignment horizontal="left"/>
    </xf>
    <xf numFmtId="0" fontId="2" fillId="0" borderId="0" xfId="0" applyNumberFormat="1" applyFont="1" applyFill="1" applyBorder="1" applyAlignment="1" applyProtection="1">
      <alignment horizontal="left" wrapText="1"/>
    </xf>
    <xf numFmtId="0" fontId="3" fillId="7" borderId="19" xfId="0" applyFont="1" applyFill="1" applyBorder="1" applyAlignment="1" applyProtection="1">
      <alignment horizontal="left"/>
    </xf>
    <xf numFmtId="0" fontId="3" fillId="7" borderId="19" xfId="0" applyNumberFormat="1" applyFont="1" applyFill="1" applyBorder="1" applyAlignment="1" applyProtection="1">
      <alignment horizontal="left" wrapText="1"/>
    </xf>
    <xf numFmtId="0" fontId="2" fillId="7" borderId="20" xfId="0" applyNumberFormat="1" applyFont="1" applyFill="1" applyBorder="1" applyAlignment="1" applyProtection="1">
      <alignment horizontal="left" wrapText="1"/>
    </xf>
    <xf numFmtId="49" fontId="4" fillId="7" borderId="24" xfId="0" applyNumberFormat="1" applyFont="1" applyFill="1" applyBorder="1" applyAlignment="1" applyProtection="1">
      <alignment wrapText="1"/>
    </xf>
    <xf numFmtId="0" fontId="3" fillId="7" borderId="24" xfId="0" applyFont="1" applyFill="1" applyBorder="1" applyAlignment="1" applyProtection="1">
      <alignment horizontal="left" wrapText="1"/>
    </xf>
    <xf numFmtId="0" fontId="3" fillId="7" borderId="25" xfId="0" applyFont="1" applyFill="1" applyBorder="1" applyAlignment="1" applyProtection="1">
      <alignment horizontal="left" wrapText="1"/>
    </xf>
    <xf numFmtId="49" fontId="4" fillId="0" borderId="0" xfId="0" applyNumberFormat="1" applyFont="1" applyFill="1" applyBorder="1" applyAlignment="1" applyProtection="1">
      <alignment wrapText="1"/>
    </xf>
    <xf numFmtId="0" fontId="3" fillId="15" borderId="13" xfId="0" applyFont="1" applyFill="1" applyBorder="1" applyAlignment="1" applyProtection="1">
      <alignment wrapText="1"/>
    </xf>
    <xf numFmtId="0" fontId="52" fillId="15" borderId="0" xfId="0" applyFont="1" applyFill="1" applyBorder="1" applyAlignment="1" applyProtection="1">
      <alignment wrapText="1"/>
    </xf>
    <xf numFmtId="0" fontId="48" fillId="15" borderId="0" xfId="0" applyNumberFormat="1" applyFont="1" applyFill="1" applyBorder="1" applyAlignment="1" applyProtection="1">
      <alignment horizontal="left"/>
    </xf>
    <xf numFmtId="0" fontId="3" fillId="15" borderId="0" xfId="0" applyNumberFormat="1" applyFont="1" applyFill="1" applyBorder="1" applyAlignment="1" applyProtection="1">
      <alignment wrapText="1"/>
    </xf>
    <xf numFmtId="0" fontId="3" fillId="15" borderId="14" xfId="0" applyNumberFormat="1" applyFont="1" applyFill="1" applyBorder="1" applyAlignment="1" applyProtection="1">
      <alignment wrapText="1"/>
    </xf>
    <xf numFmtId="0" fontId="3" fillId="0" borderId="0" xfId="0" applyNumberFormat="1" applyFont="1" applyFill="1" applyBorder="1" applyAlignment="1" applyProtection="1"/>
    <xf numFmtId="0" fontId="2" fillId="0" borderId="0" xfId="0" applyNumberFormat="1" applyFont="1" applyFill="1" applyBorder="1" applyAlignment="1" applyProtection="1"/>
    <xf numFmtId="0" fontId="3" fillId="0" borderId="9" xfId="0" applyNumberFormat="1" applyFont="1" applyFill="1" applyBorder="1" applyAlignment="1" applyProtection="1">
      <alignment horizontal="left"/>
      <protection locked="0"/>
    </xf>
    <xf numFmtId="0" fontId="53" fillId="6" borderId="0" xfId="0" applyFont="1" applyFill="1" applyBorder="1" applyAlignment="1" applyProtection="1">
      <alignment vertical="top" wrapText="1"/>
      <protection hidden="1"/>
    </xf>
    <xf numFmtId="0" fontId="5" fillId="6" borderId="0" xfId="0" applyNumberFormat="1" applyFont="1" applyFill="1" applyBorder="1" applyAlignment="1" applyProtection="1">
      <alignment vertical="top"/>
      <protection hidden="1"/>
    </xf>
    <xf numFmtId="0" fontId="6" fillId="6" borderId="0" xfId="0" applyNumberFormat="1" applyFont="1" applyFill="1" applyBorder="1" applyAlignment="1" applyProtection="1">
      <alignment vertical="top" wrapText="1"/>
      <protection hidden="1"/>
    </xf>
    <xf numFmtId="0" fontId="6" fillId="6" borderId="0" xfId="0" applyNumberFormat="1" applyFont="1" applyFill="1" applyBorder="1" applyAlignment="1" applyProtection="1">
      <alignment vertical="top"/>
      <protection hidden="1"/>
    </xf>
    <xf numFmtId="0" fontId="16" fillId="0" borderId="0" xfId="0" applyFont="1" applyFill="1" applyBorder="1" applyAlignment="1" applyProtection="1">
      <alignment horizontal="left" vertical="center"/>
    </xf>
    <xf numFmtId="0" fontId="6" fillId="0" borderId="0" xfId="0" applyNumberFormat="1" applyFont="1" applyAlignment="1" applyProtection="1">
      <alignment horizontal="left" vertical="top"/>
    </xf>
    <xf numFmtId="0" fontId="6" fillId="6" borderId="0" xfId="0" applyNumberFormat="1" applyFont="1" applyFill="1" applyBorder="1" applyAlignment="1" applyProtection="1">
      <alignment horizontal="left" vertical="top"/>
      <protection hidden="1"/>
    </xf>
    <xf numFmtId="0" fontId="6" fillId="6" borderId="0" xfId="0" applyFont="1" applyFill="1" applyBorder="1" applyAlignment="1" applyProtection="1">
      <alignment horizontal="left" vertical="top"/>
      <protection hidden="1"/>
    </xf>
    <xf numFmtId="3" fontId="6" fillId="0" borderId="0" xfId="0" applyNumberFormat="1" applyFont="1" applyAlignment="1" applyProtection="1">
      <alignment horizontal="left" vertical="top" wrapText="1"/>
      <protection hidden="1"/>
    </xf>
    <xf numFmtId="0" fontId="53" fillId="6" borderId="0" xfId="0" applyFont="1" applyFill="1" applyBorder="1" applyAlignment="1" applyProtection="1">
      <alignment vertical="top"/>
      <protection hidden="1"/>
    </xf>
    <xf numFmtId="49" fontId="48" fillId="6" borderId="0" xfId="0" applyNumberFormat="1" applyFont="1" applyFill="1" applyBorder="1" applyAlignment="1" applyProtection="1">
      <alignment vertical="center"/>
      <protection hidden="1"/>
    </xf>
    <xf numFmtId="0" fontId="16" fillId="6" borderId="0" xfId="0" applyFont="1" applyFill="1" applyBorder="1" applyAlignment="1" applyProtection="1">
      <alignment horizontal="left" vertical="center"/>
      <protection hidden="1"/>
    </xf>
    <xf numFmtId="49" fontId="16" fillId="6" borderId="0" xfId="0" applyNumberFormat="1" applyFont="1" applyFill="1" applyBorder="1" applyAlignment="1" applyProtection="1">
      <alignment vertical="center"/>
      <protection hidden="1"/>
    </xf>
    <xf numFmtId="0" fontId="53" fillId="0" borderId="0" xfId="0" applyFont="1" applyAlignment="1" applyProtection="1">
      <alignment vertical="top" wrapText="1"/>
      <protection hidden="1"/>
    </xf>
    <xf numFmtId="0" fontId="6" fillId="0" borderId="0" xfId="0" applyNumberFormat="1" applyFont="1" applyAlignment="1" applyProtection="1">
      <alignment vertical="top" wrapText="1"/>
      <protection hidden="1"/>
    </xf>
    <xf numFmtId="0" fontId="6" fillId="0" borderId="0" xfId="0" applyFont="1" applyAlignment="1" applyProtection="1">
      <alignment vertical="top" wrapText="1"/>
    </xf>
    <xf numFmtId="0" fontId="53" fillId="0" borderId="0" xfId="0" applyFont="1" applyAlignment="1" applyProtection="1">
      <alignment vertical="top" wrapText="1"/>
    </xf>
    <xf numFmtId="0" fontId="6" fillId="0" borderId="0" xfId="0" applyNumberFormat="1" applyFont="1" applyAlignment="1" applyProtection="1">
      <alignment vertical="top" wrapText="1"/>
    </xf>
    <xf numFmtId="49" fontId="34" fillId="0" borderId="0" xfId="0" applyNumberFormat="1" applyFont="1" applyFill="1" applyBorder="1" applyAlignment="1" applyProtection="1">
      <alignment horizontal="center" vertical="top" wrapText="1"/>
    </xf>
    <xf numFmtId="49" fontId="31" fillId="0" borderId="0" xfId="0" applyNumberFormat="1" applyFont="1" applyFill="1" applyBorder="1" applyAlignment="1" applyProtection="1">
      <alignment horizontal="center" vertical="top" wrapText="1"/>
    </xf>
    <xf numFmtId="0" fontId="28"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center" vertical="center" wrapText="1"/>
    </xf>
    <xf numFmtId="0" fontId="39" fillId="0" borderId="0"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vertical="center"/>
    </xf>
    <xf numFmtId="0" fontId="51"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0" applyFont="1" applyAlignment="1" applyProtection="1">
      <alignment horizontal="center" vertical="center" wrapText="1"/>
    </xf>
    <xf numFmtId="0" fontId="24" fillId="0" borderId="0" xfId="2" applyFont="1" applyAlignment="1" applyProtection="1">
      <alignment horizontal="center" vertical="center"/>
    </xf>
  </cellXfs>
  <cellStyles count="3">
    <cellStyle name="Normal" xfId="0" builtinId="0"/>
    <cellStyle name="Normal 2" xfId="1" xr:uid="{EAEFC81E-E7A7-A74C-819F-C703CF26475F}"/>
    <cellStyle name="Normal 3" xfId="2" xr:uid="{6BB48172-976B-9B45-8EED-EC20461D2147}"/>
  </cellStyles>
  <dxfs count="72">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0" formatCode="General"/>
      <alignment horizontal="general" vertical="center" textRotation="0" wrapText="0" indent="0" justifyLastLine="0" shrinkToFit="0" readingOrder="0"/>
      <border diagonalUp="0" diagonalDown="0">
        <left style="thin">
          <color indexed="10"/>
        </left>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0" formatCode="General"/>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30" formatCode="@"/>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30" formatCode="@"/>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30" formatCode="@"/>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30" formatCode="@"/>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30" formatCode="@"/>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30" formatCode="@"/>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0" formatCode="General"/>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0" formatCode="General"/>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30" formatCode="@"/>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30" formatCode="@"/>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0" formatCode="General"/>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30" formatCode="@"/>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30" formatCode="@"/>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0" formatCode="General"/>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0" formatCode="General"/>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0" formatCode="General"/>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30" formatCode="@"/>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0" formatCode="General"/>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0" formatCode="General"/>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30" formatCode="@"/>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30" formatCode="@"/>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30" formatCode="@"/>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0" formatCode="General"/>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30" formatCode="@"/>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30" formatCode="@"/>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val="0"/>
        <i val="0"/>
        <strike val="0"/>
        <condense val="0"/>
        <extend val="0"/>
        <outline val="0"/>
        <shadow val="0"/>
        <u val="none"/>
        <vertAlign val="baseline"/>
        <sz val="12"/>
        <color indexed="8"/>
        <name val="Helvetica Neue"/>
        <family val="2"/>
        <scheme val="minor"/>
      </font>
      <alignment horizontal="general" vertical="center" textRotation="0" wrapText="0" indent="0" justifyLastLine="0" shrinkToFit="0" readingOrder="0"/>
      <border diagonalUp="0" diagonalDown="0" outline="0">
        <left style="thin">
          <color indexed="11"/>
        </left>
        <right style="thin">
          <color indexed="10"/>
        </right>
        <top style="thick">
          <color auto="1"/>
        </top>
        <bottom/>
      </border>
      <protection locked="1" hidden="0"/>
    </dxf>
    <dxf>
      <font>
        <b val="0"/>
        <i val="0"/>
        <strike val="0"/>
        <condense val="0"/>
        <extend val="0"/>
        <outline val="0"/>
        <shadow val="0"/>
        <u val="none"/>
        <vertAlign val="baseline"/>
        <sz val="12"/>
        <color indexed="8"/>
        <name val="Helvetica Neue"/>
        <family val="2"/>
        <scheme val="minor"/>
      </font>
      <numFmt numFmtId="0" formatCode="General"/>
      <alignment horizontal="general" vertical="center" textRotation="0" wrapText="0" indent="0" justifyLastLine="0" shrinkToFit="0" readingOrder="0"/>
      <border diagonalUp="0" diagonalDown="0">
        <left style="thin">
          <color indexed="11"/>
        </left>
        <right style="thin">
          <color indexed="10"/>
        </right>
        <top style="thin">
          <color indexed="10"/>
        </top>
        <bottom style="thin">
          <color indexed="11"/>
        </bottom>
        <vertical/>
        <horizontal/>
      </border>
      <protection locked="1" hidden="0"/>
    </dxf>
    <dxf>
      <font>
        <b/>
        <i val="0"/>
        <strike val="0"/>
        <condense val="0"/>
        <extend val="0"/>
        <outline val="0"/>
        <shadow val="0"/>
        <u val="none"/>
        <vertAlign val="baseline"/>
        <sz val="12"/>
        <color indexed="8"/>
        <name val="Helvetica Neue"/>
        <family val="2"/>
        <scheme val="minor"/>
      </font>
      <fill>
        <patternFill patternType="solid">
          <fgColor indexed="64"/>
          <bgColor indexed="12"/>
        </patternFill>
      </fill>
      <alignment horizontal="general" vertical="center" textRotation="0" wrapText="0" indent="0" justifyLastLine="0" shrinkToFit="0" readingOrder="0"/>
      <border diagonalUp="0" diagonalDown="0" outline="0">
        <left style="thin">
          <color indexed="10"/>
        </left>
        <right style="thin">
          <color indexed="11"/>
        </right>
        <top style="thick">
          <color auto="1"/>
        </top>
        <bottom/>
      </border>
      <protection locked="1" hidden="0"/>
    </dxf>
    <dxf>
      <font>
        <b/>
        <i val="0"/>
        <strike val="0"/>
        <condense val="0"/>
        <extend val="0"/>
        <outline val="0"/>
        <shadow val="0"/>
        <u val="none"/>
        <vertAlign val="baseline"/>
        <sz val="12"/>
        <color indexed="8"/>
        <name val="Helvetica Neue"/>
        <family val="2"/>
        <scheme val="minor"/>
      </font>
      <numFmt numFmtId="0" formatCode="General"/>
      <fill>
        <patternFill patternType="solid">
          <fgColor indexed="64"/>
          <bgColor indexed="12"/>
        </patternFill>
      </fill>
      <alignment horizontal="general" vertical="center" textRotation="0" wrapText="0" indent="0" justifyLastLine="0" shrinkToFit="0" readingOrder="0"/>
      <border diagonalUp="0" diagonalDown="0">
        <left style="thin">
          <color indexed="10"/>
        </left>
        <right style="thin">
          <color indexed="11"/>
        </right>
        <top style="thin">
          <color indexed="10"/>
        </top>
        <bottom style="thin">
          <color indexed="11"/>
        </bottom>
        <vertical/>
        <horizontal/>
      </border>
      <protection locked="1" hidden="0"/>
    </dxf>
    <dxf>
      <font>
        <b/>
        <i val="0"/>
        <strike val="0"/>
        <condense val="0"/>
        <extend val="0"/>
        <outline val="0"/>
        <shadow val="0"/>
        <u val="none"/>
        <vertAlign val="baseline"/>
        <sz val="12"/>
        <color indexed="8"/>
        <name val="Helvetica Neue"/>
        <family val="2"/>
        <scheme val="minor"/>
      </font>
      <fill>
        <patternFill patternType="solid">
          <fgColor indexed="64"/>
          <bgColor indexed="12"/>
        </patternFill>
      </fill>
      <alignment horizontal="general" vertical="center" textRotation="0" wrapText="0" indent="0" justifyLastLine="0" shrinkToFit="0" readingOrder="0"/>
      <border diagonalUp="0" diagonalDown="0" outline="0">
        <left style="thin">
          <color indexed="10"/>
        </left>
        <right style="thin">
          <color indexed="10"/>
        </right>
        <top style="thick">
          <color auto="1"/>
        </top>
        <bottom/>
      </border>
      <protection locked="1" hidden="0"/>
    </dxf>
    <dxf>
      <font>
        <b/>
        <i val="0"/>
        <strike val="0"/>
        <condense val="0"/>
        <extend val="0"/>
        <outline val="0"/>
        <shadow val="0"/>
        <u val="none"/>
        <vertAlign val="baseline"/>
        <sz val="12"/>
        <color indexed="8"/>
        <name val="Helvetica Neue"/>
        <family val="2"/>
        <scheme val="minor"/>
      </font>
      <numFmt numFmtId="30" formatCode="@"/>
      <fill>
        <patternFill patternType="solid">
          <fgColor indexed="64"/>
          <bgColor indexed="12"/>
        </patternFill>
      </fill>
      <alignment horizontal="general" vertical="center" textRotation="0" wrapText="0" indent="0" justifyLastLine="0" shrinkToFit="0" readingOrder="0"/>
      <border diagonalUp="0" diagonalDown="0">
        <left style="thin">
          <color indexed="10"/>
        </left>
        <right style="thin">
          <color indexed="10"/>
        </right>
        <top style="thin">
          <color indexed="10"/>
        </top>
        <bottom style="thin">
          <color indexed="11"/>
        </bottom>
        <vertical/>
        <horizontal/>
      </border>
      <protection locked="1" hidden="0"/>
    </dxf>
    <dxf>
      <font>
        <b/>
        <i val="0"/>
        <strike val="0"/>
        <condense val="0"/>
        <extend val="0"/>
        <outline val="0"/>
        <shadow val="0"/>
        <u val="none"/>
        <vertAlign val="baseline"/>
        <sz val="12"/>
        <color indexed="8"/>
        <name val="Helvetica Neue"/>
        <family val="2"/>
        <scheme val="minor"/>
      </font>
      <fill>
        <patternFill patternType="solid">
          <fgColor indexed="64"/>
          <bgColor indexed="12"/>
        </patternFill>
      </fill>
      <alignment horizontal="general" vertical="center" textRotation="0" wrapText="0" indent="0" justifyLastLine="0" shrinkToFit="0" readingOrder="0"/>
      <border diagonalUp="0" diagonalDown="0" outline="0">
        <left/>
        <right style="thin">
          <color indexed="10"/>
        </right>
        <top style="thick">
          <color auto="1"/>
        </top>
        <bottom/>
      </border>
      <protection locked="1" hidden="0"/>
    </dxf>
    <dxf>
      <font>
        <b/>
        <i val="0"/>
        <strike val="0"/>
        <condense val="0"/>
        <extend val="0"/>
        <outline val="0"/>
        <shadow val="0"/>
        <u val="none"/>
        <vertAlign val="baseline"/>
        <sz val="12"/>
        <color indexed="8"/>
        <name val="Helvetica Neue"/>
        <family val="2"/>
        <scheme val="minor"/>
      </font>
      <numFmt numFmtId="30" formatCode="@"/>
      <fill>
        <patternFill patternType="solid">
          <fgColor indexed="64"/>
          <bgColor indexed="12"/>
        </patternFill>
      </fill>
      <alignment horizontal="general" vertical="center" textRotation="0" wrapText="0" indent="0" justifyLastLine="0" shrinkToFit="0" readingOrder="0"/>
      <border diagonalUp="0" diagonalDown="0">
        <left/>
        <right style="thin">
          <color indexed="10"/>
        </right>
        <top style="thin">
          <color indexed="10"/>
        </top>
        <bottom style="thin">
          <color indexed="11"/>
        </bottom>
        <vertical/>
        <horizontal/>
      </border>
      <protection locked="1" hidden="0"/>
    </dxf>
    <dxf>
      <border>
        <top style="thick">
          <color auto="1"/>
        </top>
      </border>
    </dxf>
    <dxf>
      <numFmt numFmtId="30" formatCode="@"/>
      <protection locked="1" hidden="0"/>
    </dxf>
    <dxf>
      <border outline="0">
        <left style="thin">
          <color indexed="10"/>
        </left>
        <right style="thin">
          <color indexed="10"/>
        </right>
        <top style="thin">
          <color indexed="10"/>
        </top>
        <bottom style="thin">
          <color indexed="10"/>
        </bottom>
      </border>
    </dxf>
    <dxf>
      <font>
        <b val="0"/>
        <i val="0"/>
        <strike val="0"/>
        <condense val="0"/>
        <extend val="0"/>
        <outline val="0"/>
        <shadow val="0"/>
        <u val="none"/>
        <vertAlign val="baseline"/>
        <sz val="12"/>
        <color indexed="8"/>
        <name val="Helvetica Neue"/>
        <family val="2"/>
        <scheme val="minor"/>
      </font>
      <numFmt numFmtId="30" formatCode="@"/>
      <alignment horizontal="general" vertical="center" textRotation="0" wrapText="0" indent="0" justifyLastLine="0" shrinkToFit="0" readingOrder="0"/>
      <protection locked="1" hidden="0"/>
    </dxf>
    <dxf>
      <border outline="0">
        <bottom style="thin">
          <color indexed="11"/>
        </bottom>
      </border>
    </dxf>
    <dxf>
      <font>
        <b/>
        <i val="0"/>
        <strike val="0"/>
        <condense val="0"/>
        <extend val="0"/>
        <outline val="0"/>
        <shadow val="0"/>
        <u val="none"/>
        <vertAlign val="baseline"/>
        <sz val="12"/>
        <color indexed="8"/>
        <name val="Helvetica Neue"/>
        <family val="2"/>
        <scheme val="minor"/>
      </font>
      <numFmt numFmtId="30" formatCode="@"/>
      <fill>
        <patternFill patternType="solid">
          <fgColor indexed="64"/>
          <bgColor indexed="9"/>
        </patternFill>
      </fill>
      <alignment horizontal="general" vertical="center" textRotation="0" wrapText="0" indent="0" justifyLastLine="0" shrinkToFit="0" readingOrder="0"/>
      <border diagonalUp="0" diagonalDown="0">
        <left style="thin">
          <color indexed="10"/>
        </left>
        <right style="thin">
          <color indexed="10"/>
        </right>
        <top/>
        <bottom/>
      </border>
      <protection locked="1" hidden="0"/>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EFFFE"/>
      <rgbColor rgb="FFD5D5D5"/>
      <rgbColor rgb="FFEFEEEE"/>
      <rgbColor rgb="FFDBB769"/>
      <rgbColor rgb="FFFFD478"/>
      <rgbColor rgb="FFEAEAEA"/>
      <rgbColor rgb="FFA7A7A7"/>
      <rgbColor rgb="FFD5D5D5"/>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A"/>
      <color rgb="FF0092EA"/>
      <color rgb="FFA0DCFF"/>
      <color rgb="FF6BE0FF"/>
      <color rgb="FFC8F1FF"/>
      <color rgb="FF00C6FF"/>
      <color rgb="FF1FD6FF"/>
      <color rgb="FFD5D5D5"/>
      <color rgb="FFDBB769"/>
      <color rgb="FFFFD5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2614386</xdr:colOff>
      <xdr:row>7</xdr:row>
      <xdr:rowOff>55356</xdr:rowOff>
    </xdr:from>
    <xdr:to>
      <xdr:col>6</xdr:col>
      <xdr:colOff>112117</xdr:colOff>
      <xdr:row>9</xdr:row>
      <xdr:rowOff>109582</xdr:rowOff>
    </xdr:to>
    <xdr:pic>
      <xdr:nvPicPr>
        <xdr:cNvPr id="2" name="Picture 1">
          <a:extLst>
            <a:ext uri="{FF2B5EF4-FFF2-40B4-BE49-F238E27FC236}">
              <a16:creationId xmlns:a16="http://schemas.microsoft.com/office/drawing/2014/main" id="{4F95729A-1CA0-7541-9720-B79D23DC7B20}"/>
            </a:ext>
          </a:extLst>
        </xdr:cNvPr>
        <xdr:cNvPicPr>
          <a:picLocks noChangeAspect="1"/>
        </xdr:cNvPicPr>
      </xdr:nvPicPr>
      <xdr:blipFill>
        <a:blip xmlns:r="http://schemas.openxmlformats.org/officeDocument/2006/relationships" r:embed="rId1"/>
        <a:stretch>
          <a:fillRect/>
        </a:stretch>
      </xdr:blipFill>
      <xdr:spPr>
        <a:xfrm>
          <a:off x="5027386" y="2442956"/>
          <a:ext cx="2895231" cy="409826"/>
        </a:xfrm>
        <a:prstGeom prst="rect">
          <a:avLst/>
        </a:prstGeom>
      </xdr:spPr>
    </xdr:pic>
    <xdr:clientData/>
  </xdr:twoCellAnchor>
  <xdr:twoCellAnchor editAs="oneCell">
    <xdr:from>
      <xdr:col>4</xdr:col>
      <xdr:colOff>3026163</xdr:colOff>
      <xdr:row>26</xdr:row>
      <xdr:rowOff>601180</xdr:rowOff>
    </xdr:from>
    <xdr:to>
      <xdr:col>6</xdr:col>
      <xdr:colOff>63065</xdr:colOff>
      <xdr:row>27</xdr:row>
      <xdr:rowOff>157473</xdr:rowOff>
    </xdr:to>
    <xdr:pic>
      <xdr:nvPicPr>
        <xdr:cNvPr id="3" name="Picture 2">
          <a:extLst>
            <a:ext uri="{FF2B5EF4-FFF2-40B4-BE49-F238E27FC236}">
              <a16:creationId xmlns:a16="http://schemas.microsoft.com/office/drawing/2014/main" id="{DCCD4A36-BAC9-C24F-B3F4-CFC0BD351A28}"/>
            </a:ext>
          </a:extLst>
        </xdr:cNvPr>
        <xdr:cNvPicPr>
          <a:picLocks noChangeAspect="1"/>
        </xdr:cNvPicPr>
      </xdr:nvPicPr>
      <xdr:blipFill>
        <a:blip xmlns:r="http://schemas.openxmlformats.org/officeDocument/2006/relationships" r:embed="rId2"/>
        <a:stretch>
          <a:fillRect/>
        </a:stretch>
      </xdr:blipFill>
      <xdr:spPr>
        <a:xfrm>
          <a:off x="5439163" y="6506680"/>
          <a:ext cx="2434402" cy="280193"/>
        </a:xfrm>
        <a:prstGeom prst="rect">
          <a:avLst/>
        </a:prstGeom>
      </xdr:spPr>
    </xdr:pic>
    <xdr:clientData/>
  </xdr:twoCellAnchor>
  <xdr:twoCellAnchor editAs="oneCell">
    <xdr:from>
      <xdr:col>4</xdr:col>
      <xdr:colOff>3565640</xdr:colOff>
      <xdr:row>22</xdr:row>
      <xdr:rowOff>70756</xdr:rowOff>
    </xdr:from>
    <xdr:to>
      <xdr:col>6</xdr:col>
      <xdr:colOff>71599</xdr:colOff>
      <xdr:row>25</xdr:row>
      <xdr:rowOff>155302</xdr:rowOff>
    </xdr:to>
    <xdr:pic>
      <xdr:nvPicPr>
        <xdr:cNvPr id="4" name="Picture 3">
          <a:extLst>
            <a:ext uri="{FF2B5EF4-FFF2-40B4-BE49-F238E27FC236}">
              <a16:creationId xmlns:a16="http://schemas.microsoft.com/office/drawing/2014/main" id="{A1479685-D7D1-5545-904F-8C56C4D2FFCB}"/>
            </a:ext>
          </a:extLst>
        </xdr:cNvPr>
        <xdr:cNvPicPr>
          <a:picLocks noChangeAspect="1"/>
        </xdr:cNvPicPr>
      </xdr:nvPicPr>
      <xdr:blipFill>
        <a:blip xmlns:r="http://schemas.openxmlformats.org/officeDocument/2006/relationships" r:embed="rId3"/>
        <a:stretch>
          <a:fillRect/>
        </a:stretch>
      </xdr:blipFill>
      <xdr:spPr>
        <a:xfrm>
          <a:off x="5978640" y="5277756"/>
          <a:ext cx="1903459" cy="617946"/>
        </a:xfrm>
        <a:prstGeom prst="rect">
          <a:avLst/>
        </a:prstGeom>
      </xdr:spPr>
    </xdr:pic>
    <xdr:clientData/>
  </xdr:twoCellAnchor>
  <xdr:twoCellAnchor editAs="oneCell">
    <xdr:from>
      <xdr:col>4</xdr:col>
      <xdr:colOff>4818380</xdr:colOff>
      <xdr:row>59</xdr:row>
      <xdr:rowOff>673100</xdr:rowOff>
    </xdr:from>
    <xdr:to>
      <xdr:col>6</xdr:col>
      <xdr:colOff>71120</xdr:colOff>
      <xdr:row>60</xdr:row>
      <xdr:rowOff>106680</xdr:rowOff>
    </xdr:to>
    <xdr:pic>
      <xdr:nvPicPr>
        <xdr:cNvPr id="5" name="Picture 4">
          <a:extLst>
            <a:ext uri="{FF2B5EF4-FFF2-40B4-BE49-F238E27FC236}">
              <a16:creationId xmlns:a16="http://schemas.microsoft.com/office/drawing/2014/main" id="{AF7F3C25-E0F7-0D4B-9672-51E9A86D23D1}"/>
            </a:ext>
          </a:extLst>
        </xdr:cNvPr>
        <xdr:cNvPicPr>
          <a:picLocks noChangeAspect="1"/>
        </xdr:cNvPicPr>
      </xdr:nvPicPr>
      <xdr:blipFill>
        <a:blip xmlns:r="http://schemas.openxmlformats.org/officeDocument/2006/relationships" r:embed="rId4"/>
        <a:stretch>
          <a:fillRect/>
        </a:stretch>
      </xdr:blipFill>
      <xdr:spPr>
        <a:xfrm>
          <a:off x="7226300" y="14155420"/>
          <a:ext cx="647700" cy="327660"/>
        </a:xfrm>
        <a:prstGeom prst="rect">
          <a:avLst/>
        </a:prstGeom>
      </xdr:spPr>
    </xdr:pic>
    <xdr:clientData/>
  </xdr:twoCellAnchor>
  <xdr:twoCellAnchor editAs="oneCell">
    <xdr:from>
      <xdr:col>4</xdr:col>
      <xdr:colOff>4798695</xdr:colOff>
      <xdr:row>79</xdr:row>
      <xdr:rowOff>678180</xdr:rowOff>
    </xdr:from>
    <xdr:to>
      <xdr:col>6</xdr:col>
      <xdr:colOff>61595</xdr:colOff>
      <xdr:row>80</xdr:row>
      <xdr:rowOff>103632</xdr:rowOff>
    </xdr:to>
    <xdr:pic>
      <xdr:nvPicPr>
        <xdr:cNvPr id="6" name="Picture 5">
          <a:extLst>
            <a:ext uri="{FF2B5EF4-FFF2-40B4-BE49-F238E27FC236}">
              <a16:creationId xmlns:a16="http://schemas.microsoft.com/office/drawing/2014/main" id="{B2362CC9-0587-2348-82F8-90CABA930DA1}"/>
            </a:ext>
          </a:extLst>
        </xdr:cNvPr>
        <xdr:cNvPicPr>
          <a:picLocks noChangeAspect="1"/>
        </xdr:cNvPicPr>
      </xdr:nvPicPr>
      <xdr:blipFill>
        <a:blip xmlns:r="http://schemas.openxmlformats.org/officeDocument/2006/relationships" r:embed="rId5"/>
        <a:stretch>
          <a:fillRect/>
        </a:stretch>
      </xdr:blipFill>
      <xdr:spPr>
        <a:xfrm>
          <a:off x="7206615" y="18569940"/>
          <a:ext cx="657860" cy="319532"/>
        </a:xfrm>
        <a:prstGeom prst="rect">
          <a:avLst/>
        </a:prstGeom>
      </xdr:spPr>
    </xdr:pic>
    <xdr:clientData/>
  </xdr:twoCellAnchor>
  <xdr:twoCellAnchor editAs="oneCell">
    <xdr:from>
      <xdr:col>4</xdr:col>
      <xdr:colOff>4983480</xdr:colOff>
      <xdr:row>80</xdr:row>
      <xdr:rowOff>165100</xdr:rowOff>
    </xdr:from>
    <xdr:to>
      <xdr:col>6</xdr:col>
      <xdr:colOff>55880</xdr:colOff>
      <xdr:row>82</xdr:row>
      <xdr:rowOff>59294</xdr:rowOff>
    </xdr:to>
    <xdr:pic>
      <xdr:nvPicPr>
        <xdr:cNvPr id="7" name="Picture 6">
          <a:extLst>
            <a:ext uri="{FF2B5EF4-FFF2-40B4-BE49-F238E27FC236}">
              <a16:creationId xmlns:a16="http://schemas.microsoft.com/office/drawing/2014/main" id="{70F4EE57-7015-2244-A2B8-32D21E26D5AB}"/>
            </a:ext>
          </a:extLst>
        </xdr:cNvPr>
        <xdr:cNvPicPr>
          <a:picLocks noChangeAspect="1"/>
        </xdr:cNvPicPr>
      </xdr:nvPicPr>
      <xdr:blipFill>
        <a:blip xmlns:r="http://schemas.openxmlformats.org/officeDocument/2006/relationships" r:embed="rId6"/>
        <a:stretch>
          <a:fillRect/>
        </a:stretch>
      </xdr:blipFill>
      <xdr:spPr>
        <a:xfrm>
          <a:off x="7391400" y="18950940"/>
          <a:ext cx="467360" cy="320914"/>
        </a:xfrm>
        <a:prstGeom prst="rect">
          <a:avLst/>
        </a:prstGeom>
      </xdr:spPr>
    </xdr:pic>
    <xdr:clientData/>
  </xdr:twoCellAnchor>
  <xdr:twoCellAnchor editAs="oneCell">
    <xdr:from>
      <xdr:col>4</xdr:col>
      <xdr:colOff>4987544</xdr:colOff>
      <xdr:row>82</xdr:row>
      <xdr:rowOff>100330</xdr:rowOff>
    </xdr:from>
    <xdr:to>
      <xdr:col>6</xdr:col>
      <xdr:colOff>53340</xdr:colOff>
      <xdr:row>84</xdr:row>
      <xdr:rowOff>19050</xdr:rowOff>
    </xdr:to>
    <xdr:pic>
      <xdr:nvPicPr>
        <xdr:cNvPr id="8" name="Picture 7">
          <a:extLst>
            <a:ext uri="{FF2B5EF4-FFF2-40B4-BE49-F238E27FC236}">
              <a16:creationId xmlns:a16="http://schemas.microsoft.com/office/drawing/2014/main" id="{15CDCD8E-2C00-5C46-92D2-B8D6101154C2}"/>
            </a:ext>
          </a:extLst>
        </xdr:cNvPr>
        <xdr:cNvPicPr>
          <a:picLocks noChangeAspect="1"/>
        </xdr:cNvPicPr>
      </xdr:nvPicPr>
      <xdr:blipFill>
        <a:blip xmlns:r="http://schemas.openxmlformats.org/officeDocument/2006/relationships" r:embed="rId7"/>
        <a:stretch>
          <a:fillRect/>
        </a:stretch>
      </xdr:blipFill>
      <xdr:spPr>
        <a:xfrm>
          <a:off x="7395464" y="19312890"/>
          <a:ext cx="460756" cy="284480"/>
        </a:xfrm>
        <a:prstGeom prst="rect">
          <a:avLst/>
        </a:prstGeom>
      </xdr:spPr>
    </xdr:pic>
    <xdr:clientData/>
  </xdr:twoCellAnchor>
  <xdr:twoCellAnchor editAs="oneCell">
    <xdr:from>
      <xdr:col>4</xdr:col>
      <xdr:colOff>4996180</xdr:colOff>
      <xdr:row>60</xdr:row>
      <xdr:rowOff>156210</xdr:rowOff>
    </xdr:from>
    <xdr:to>
      <xdr:col>6</xdr:col>
      <xdr:colOff>68580</xdr:colOff>
      <xdr:row>62</xdr:row>
      <xdr:rowOff>50404</xdr:rowOff>
    </xdr:to>
    <xdr:pic>
      <xdr:nvPicPr>
        <xdr:cNvPr id="9" name="Picture 8">
          <a:extLst>
            <a:ext uri="{FF2B5EF4-FFF2-40B4-BE49-F238E27FC236}">
              <a16:creationId xmlns:a16="http://schemas.microsoft.com/office/drawing/2014/main" id="{08D15521-3E2F-9143-96CE-B377C475A2B7}"/>
            </a:ext>
          </a:extLst>
        </xdr:cNvPr>
        <xdr:cNvPicPr>
          <a:picLocks noChangeAspect="1"/>
        </xdr:cNvPicPr>
      </xdr:nvPicPr>
      <xdr:blipFill>
        <a:blip xmlns:r="http://schemas.openxmlformats.org/officeDocument/2006/relationships" r:embed="rId6"/>
        <a:stretch>
          <a:fillRect/>
        </a:stretch>
      </xdr:blipFill>
      <xdr:spPr>
        <a:xfrm>
          <a:off x="7404100" y="14532610"/>
          <a:ext cx="467360" cy="320914"/>
        </a:xfrm>
        <a:prstGeom prst="rect">
          <a:avLst/>
        </a:prstGeom>
      </xdr:spPr>
    </xdr:pic>
    <xdr:clientData/>
  </xdr:twoCellAnchor>
  <xdr:twoCellAnchor editAs="oneCell">
    <xdr:from>
      <xdr:col>4</xdr:col>
      <xdr:colOff>4996180</xdr:colOff>
      <xdr:row>62</xdr:row>
      <xdr:rowOff>94615</xdr:rowOff>
    </xdr:from>
    <xdr:to>
      <xdr:col>6</xdr:col>
      <xdr:colOff>61976</xdr:colOff>
      <xdr:row>64</xdr:row>
      <xdr:rowOff>13335</xdr:rowOff>
    </xdr:to>
    <xdr:pic>
      <xdr:nvPicPr>
        <xdr:cNvPr id="10" name="Picture 9">
          <a:extLst>
            <a:ext uri="{FF2B5EF4-FFF2-40B4-BE49-F238E27FC236}">
              <a16:creationId xmlns:a16="http://schemas.microsoft.com/office/drawing/2014/main" id="{37BD225C-6A6C-1C4F-92BD-2D04AB56C0D7}"/>
            </a:ext>
          </a:extLst>
        </xdr:cNvPr>
        <xdr:cNvPicPr>
          <a:picLocks noChangeAspect="1"/>
        </xdr:cNvPicPr>
      </xdr:nvPicPr>
      <xdr:blipFill>
        <a:blip xmlns:r="http://schemas.openxmlformats.org/officeDocument/2006/relationships" r:embed="rId7"/>
        <a:stretch>
          <a:fillRect/>
        </a:stretch>
      </xdr:blipFill>
      <xdr:spPr>
        <a:xfrm>
          <a:off x="7404100" y="14897735"/>
          <a:ext cx="460756" cy="284480"/>
        </a:xfrm>
        <a:prstGeom prst="rect">
          <a:avLst/>
        </a:prstGeom>
      </xdr:spPr>
    </xdr:pic>
    <xdr:clientData/>
  </xdr:twoCellAnchor>
  <xdr:twoCellAnchor editAs="oneCell">
    <xdr:from>
      <xdr:col>4</xdr:col>
      <xdr:colOff>3302000</xdr:colOff>
      <xdr:row>87</xdr:row>
      <xdr:rowOff>45720</xdr:rowOff>
    </xdr:from>
    <xdr:to>
      <xdr:col>6</xdr:col>
      <xdr:colOff>65193</xdr:colOff>
      <xdr:row>88</xdr:row>
      <xdr:rowOff>144780</xdr:rowOff>
    </xdr:to>
    <xdr:pic>
      <xdr:nvPicPr>
        <xdr:cNvPr id="11" name="Picture 10">
          <a:extLst>
            <a:ext uri="{FF2B5EF4-FFF2-40B4-BE49-F238E27FC236}">
              <a16:creationId xmlns:a16="http://schemas.microsoft.com/office/drawing/2014/main" id="{DE8E6FD7-D4A5-DB49-A62E-5197A32910CB}"/>
            </a:ext>
          </a:extLst>
        </xdr:cNvPr>
        <xdr:cNvPicPr>
          <a:picLocks noChangeAspect="1"/>
        </xdr:cNvPicPr>
      </xdr:nvPicPr>
      <xdr:blipFill>
        <a:blip xmlns:r="http://schemas.openxmlformats.org/officeDocument/2006/relationships" r:embed="rId8"/>
        <a:stretch>
          <a:fillRect/>
        </a:stretch>
      </xdr:blipFill>
      <xdr:spPr>
        <a:xfrm>
          <a:off x="5709920" y="20152360"/>
          <a:ext cx="2158153" cy="281940"/>
        </a:xfrm>
        <a:prstGeom prst="rect">
          <a:avLst/>
        </a:prstGeom>
      </xdr:spPr>
    </xdr:pic>
    <xdr:clientData/>
  </xdr:twoCellAnchor>
  <xdr:twoCellAnchor editAs="oneCell">
    <xdr:from>
      <xdr:col>4</xdr:col>
      <xdr:colOff>2832099</xdr:colOff>
      <xdr:row>115</xdr:row>
      <xdr:rowOff>858520</xdr:rowOff>
    </xdr:from>
    <xdr:to>
      <xdr:col>6</xdr:col>
      <xdr:colOff>66964</xdr:colOff>
      <xdr:row>117</xdr:row>
      <xdr:rowOff>84707</xdr:rowOff>
    </xdr:to>
    <xdr:pic>
      <xdr:nvPicPr>
        <xdr:cNvPr id="12" name="Picture 11">
          <a:extLst>
            <a:ext uri="{FF2B5EF4-FFF2-40B4-BE49-F238E27FC236}">
              <a16:creationId xmlns:a16="http://schemas.microsoft.com/office/drawing/2014/main" id="{42D51FC9-4D7F-604A-8DCC-F090D739ADFB}"/>
            </a:ext>
          </a:extLst>
        </xdr:cNvPr>
        <xdr:cNvPicPr>
          <a:picLocks noChangeAspect="1"/>
        </xdr:cNvPicPr>
      </xdr:nvPicPr>
      <xdr:blipFill>
        <a:blip xmlns:r="http://schemas.openxmlformats.org/officeDocument/2006/relationships" r:embed="rId9"/>
        <a:stretch>
          <a:fillRect/>
        </a:stretch>
      </xdr:blipFill>
      <xdr:spPr>
        <a:xfrm>
          <a:off x="5240019" y="27254200"/>
          <a:ext cx="2629825" cy="3539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57F7E6-90E9-E944-B69A-37383C5587E8}" name="TableSSDPeopleGroups" displayName="TableSSDPeopleGroups" ref="A2:AG2837" totalsRowCount="1" headerRowDxfId="71" dataDxfId="69" totalsRowDxfId="67" headerRowBorderDxfId="70" tableBorderDxfId="68" totalsRowBorderDxfId="66" headerRowCellStyle="Normal 3" dataCellStyle="Normal 3">
  <autoFilter ref="A2:AG2836" xr:uid="{EE49735D-2271-B945-A922-4A0C11443CCF}"/>
  <sortState xmlns:xlrd2="http://schemas.microsoft.com/office/spreadsheetml/2017/richdata2" ref="A3:AG2836">
    <sortCondition ref="N2:N2836"/>
  </sortState>
  <tableColumns count="33">
    <tableColumn id="1" xr3:uid="{498BC333-ACF1-274D-99E6-ECE0B32ED462}" name="ROG3" totalsRowLabel="Total" dataDxfId="65" totalsRowDxfId="64" dataCellStyle="Normal 3"/>
    <tableColumn id="2" xr3:uid="{71E4DE20-0407-014B-9120-519A40BBA76C}" name="Ctry" totalsRowFunction="count" dataDxfId="63" totalsRowDxfId="62" dataCellStyle="Normal 3"/>
    <tableColumn id="3" xr3:uid="{DF925477-46F6-BE44-9A68-2D14AA5E17C9}" name="PeopleID3" dataDxfId="61" totalsRowDxfId="60" dataCellStyle="Normal 3"/>
    <tableColumn id="4" xr3:uid="{F8DC8830-A286-4949-9325-9B6F8E857E98}" name="ROP3" dataDxfId="59" totalsRowDxfId="58" dataCellStyle="Normal 3"/>
    <tableColumn id="5" xr3:uid="{D7AE29E7-FA81-9446-8F8F-FF48AA77BD59}" name="PeopNameAcrossCountries" dataDxfId="57" totalsRowDxfId="56" dataCellStyle="Normal 3"/>
    <tableColumn id="6" xr3:uid="{EA8704A7-5054-B045-B4CB-18DCDF9B8ED5}" name="PeopNameInCountry" dataDxfId="55" totalsRowDxfId="54" dataCellStyle="Normal 3"/>
    <tableColumn id="7" xr3:uid="{865412C1-EA87-064C-8E79-CCD01C677C56}" name="Population" totalsRowFunction="sum" dataDxfId="53" totalsRowDxfId="52" dataCellStyle="Normal 3"/>
    <tableColumn id="8" xr3:uid="{33330FAB-9FE9-7F4A-A570-C1BF6B1C11F1}" name="JPScale" dataDxfId="51" totalsRowDxfId="50" dataCellStyle="Normal 3"/>
    <tableColumn id="9" xr3:uid="{8FB5E7EA-B0CF-0B40-A7D6-DEA3625B3649}" name="LeastReached" dataDxfId="49" totalsRowDxfId="48" dataCellStyle="Normal 3"/>
    <tableColumn id="10" xr3:uid="{3C33EC75-7E0F-534F-AA0A-7ACD7D922228}" name="ROL3.00" dataDxfId="47" totalsRowDxfId="46" dataCellStyle="Normal 3"/>
    <tableColumn id="11" xr3:uid="{D83C5839-4530-B241-9C53-ABD8508FA0F9}" name="PrimaryLanguageName" dataDxfId="45" totalsRowDxfId="44" dataCellStyle="Normal 3"/>
    <tableColumn id="12" xr3:uid="{8E612D2E-6379-7844-ADF1-D0F954FA87F8}" name="BibleStatus" dataDxfId="43" totalsRowDxfId="42" dataCellStyle="Normal 3"/>
    <tableColumn id="13" xr3:uid="{46D452EA-7234-0A4B-9804-50F26AC041DF}" name="RLG3" dataDxfId="41" totalsRowDxfId="40" dataCellStyle="Normal 3"/>
    <tableColumn id="14" xr3:uid="{3DEA3628-7F34-B24E-9865-3054BFF16410}" name="PrimaryReligion" dataDxfId="39" totalsRowDxfId="38" dataCellStyle="Normal 3"/>
    <tableColumn id="15" xr3:uid="{273794BE-4B87-F548-9811-889BA14EBF3C}" name="PercentAdherents" dataDxfId="37" totalsRowDxfId="36" dataCellStyle="Normal 3"/>
    <tableColumn id="16" xr3:uid="{F137F999-0776-BB44-9A7D-2E9511F0D6AE}" name="PercentEvangelical" dataDxfId="35" totalsRowDxfId="34" dataCellStyle="Normal 3"/>
    <tableColumn id="17" xr3:uid="{BE4A4D2D-1603-9842-8C91-E74ECD7749AD}" name="PeopleID1" dataDxfId="33" totalsRowDxfId="32" dataCellStyle="Normal 3"/>
    <tableColumn id="18" xr3:uid="{67BCD0BA-D9E3-A647-B898-6305F0671255}" name="ROP1" dataDxfId="31" totalsRowDxfId="30" dataCellStyle="Normal 3"/>
    <tableColumn id="19" xr3:uid="{1474A3BC-5ECC-5047-9DD0-A1C54E87AAB0}" name="AffinityBloc" dataDxfId="29" totalsRowDxfId="28" dataCellStyle="Normal 3"/>
    <tableColumn id="20" xr3:uid="{67FDB7E6-F367-D14B-BF13-30E0A65C9FE1}" name="PeopleID2" dataDxfId="27" totalsRowDxfId="26" dataCellStyle="Normal 3"/>
    <tableColumn id="21" xr3:uid="{4D8FBDE7-C368-5B40-A4FC-A55C3CE7DBBC}" name="ROP2" dataDxfId="25" totalsRowDxfId="24" dataCellStyle="Normal 3"/>
    <tableColumn id="22" xr3:uid="{BCA4D6A8-DFD5-B14C-A0D0-B0D08F48F723}" name="PeopleCluster" dataDxfId="23" totalsRowDxfId="22" dataCellStyle="Normal 3"/>
    <tableColumn id="23" xr3:uid="{0F0D7E77-6792-F540-A736-8612F0512BD9}" name="CountOfCountries" dataDxfId="21" totalsRowDxfId="20" dataCellStyle="Normal 3"/>
    <tableColumn id="24" xr3:uid="{B24272E5-E5A7-E74A-B525-FF83E0A37F8E}" name="RegionCode" dataDxfId="19" totalsRowDxfId="18" dataCellStyle="Normal 3"/>
    <tableColumn id="25" xr3:uid="{8BA05F91-E1BC-A04C-A6F7-8582761559A1}" name="RegionName" dataDxfId="17" totalsRowDxfId="16" dataCellStyle="Normal 3"/>
    <tableColumn id="26" xr3:uid="{3ABD9D05-9E9E-1342-ABB6-5457E4C53855}" name="ROG2" dataDxfId="15" totalsRowDxfId="14" dataCellStyle="Normal 3"/>
    <tableColumn id="27" xr3:uid="{9045B1F2-F038-6845-8C59-CD7C339E3141}" name="Continent" dataDxfId="13" totalsRowDxfId="12" dataCellStyle="Normal 3"/>
    <tableColumn id="28" xr3:uid="{43278EA3-AA20-E744-86BB-800080AAC097}" name="10_40Window" dataDxfId="11" totalsRowDxfId="10" dataCellStyle="Normal 3"/>
    <tableColumn id="29" xr3:uid="{D4EC609A-687C-5841-AA18-E81E9CD13B13}" name="IndigenousCode" dataDxfId="9" totalsRowDxfId="8" dataCellStyle="Normal 3"/>
    <tableColumn id="30" xr3:uid="{01D96E11-E769-C841-A01B-E5D03EFFFEED}" name="WorkersNeeded" dataDxfId="7" totalsRowDxfId="6" dataCellStyle="Normal 3"/>
    <tableColumn id="31" xr3:uid="{1352AC75-385D-EB44-AABE-F7A2EB539092}" name="Frontier" dataDxfId="5" totalsRowDxfId="4" dataCellStyle="Normal 3"/>
    <tableColumn id="32" xr3:uid="{1C027830-54A1-9745-A707-A6FBC8E2FC56}" name="Latitude" dataDxfId="3" totalsRowDxfId="2" dataCellStyle="Normal 3"/>
    <tableColumn id="33" xr3:uid="{6D652CBF-24D5-4C4F-99B0-0D1DB7BA5B6E}" name="Longitude" totalsRowFunction="sum" dataDxfId="1" totalsRowDxfId="0" dataCellStyle="Normal 3"/>
  </tableColumns>
  <tableStyleInfo showFirstColumn="0" showLastColumn="0" showRowStripes="1" showColumnStripes="0"/>
</table>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Y41"/>
  <sheetViews>
    <sheetView showGridLines="0" tabSelected="1" zoomScale="150" zoomScaleNormal="150" workbookViewId="0">
      <selection activeCell="D4" sqref="D4:E4"/>
    </sheetView>
  </sheetViews>
  <sheetFormatPr baseColWidth="10" defaultColWidth="16.33203125" defaultRowHeight="16" customHeight="1"/>
  <cols>
    <col min="1" max="3" width="2.83203125" style="2" customWidth="1"/>
    <col min="4" max="4" width="16.5" style="1" customWidth="1"/>
    <col min="5" max="5" width="73.5" style="1" customWidth="1"/>
    <col min="6" max="8" width="2.83203125" style="1" customWidth="1"/>
    <col min="9" max="259" width="16.33203125" style="1" customWidth="1"/>
    <col min="260" max="16384" width="16.33203125" style="2"/>
  </cols>
  <sheetData>
    <row r="2" spans="2:174" s="4" customFormat="1" ht="16" customHeight="1">
      <c r="B2" s="8"/>
      <c r="C2" s="8"/>
      <c r="D2" s="476" t="s">
        <v>4918</v>
      </c>
      <c r="E2" s="476"/>
      <c r="F2" s="192"/>
      <c r="G2" s="23"/>
      <c r="H2" s="23"/>
      <c r="I2" s="3"/>
      <c r="J2" s="3"/>
      <c r="K2" s="187"/>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row>
    <row r="3" spans="2:174" s="4" customFormat="1" ht="48" customHeight="1">
      <c r="B3" s="8"/>
      <c r="C3" s="8"/>
      <c r="D3" s="477" t="s">
        <v>4932</v>
      </c>
      <c r="E3" s="477"/>
      <c r="F3" s="193"/>
      <c r="G3" s="5"/>
      <c r="H3" s="5"/>
      <c r="I3" s="3"/>
      <c r="J3" s="3"/>
      <c r="K3" s="187"/>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row>
    <row r="4" spans="2:174" s="4" customFormat="1" ht="32" customHeight="1">
      <c r="D4" s="478" t="s">
        <v>0</v>
      </c>
      <c r="E4" s="478"/>
      <c r="F4" s="6"/>
      <c r="G4" s="7"/>
      <c r="H4" s="7"/>
      <c r="I4" s="3"/>
      <c r="J4" s="3"/>
      <c r="K4" s="187"/>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row>
    <row r="5" spans="2:174" s="4" customFormat="1" ht="32" customHeight="1" thickBot="1">
      <c r="D5" s="474" t="s">
        <v>4930</v>
      </c>
      <c r="E5" s="475"/>
      <c r="F5" s="6"/>
      <c r="G5" s="7"/>
      <c r="H5" s="7"/>
      <c r="I5" s="3"/>
      <c r="J5" s="3"/>
      <c r="K5" s="187"/>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row>
    <row r="6" spans="2:174" s="4" customFormat="1" ht="16" customHeight="1" thickTop="1" thickBot="1">
      <c r="B6" s="197"/>
      <c r="C6" s="198"/>
      <c r="D6" s="199"/>
      <c r="E6" s="200"/>
      <c r="F6" s="200"/>
      <c r="G6" s="201"/>
      <c r="H6" s="3"/>
      <c r="I6" s="3"/>
      <c r="J6" s="3"/>
      <c r="K6" s="187"/>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row>
    <row r="7" spans="2:174" s="4" customFormat="1" ht="16" customHeight="1" thickTop="1">
      <c r="B7" s="202"/>
      <c r="C7" s="31"/>
      <c r="D7" s="50"/>
      <c r="E7" s="35"/>
      <c r="F7" s="36"/>
      <c r="G7" s="203"/>
      <c r="H7" s="3"/>
      <c r="I7" s="3"/>
      <c r="J7" s="3"/>
      <c r="K7" s="187"/>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row>
    <row r="8" spans="2:174" s="4" customFormat="1" ht="64" customHeight="1" thickBot="1">
      <c r="B8" s="202"/>
      <c r="C8" s="37"/>
      <c r="D8" s="472" t="s">
        <v>4931</v>
      </c>
      <c r="E8" s="473"/>
      <c r="F8" s="33"/>
      <c r="G8" s="203"/>
      <c r="H8" s="3"/>
      <c r="I8" s="3"/>
      <c r="J8" s="3"/>
      <c r="K8" s="187"/>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row>
    <row r="9" spans="2:174" ht="71" thickBot="1">
      <c r="B9" s="202"/>
      <c r="C9" s="207"/>
      <c r="D9" s="219" t="s">
        <v>4917</v>
      </c>
      <c r="E9" s="220" t="s">
        <v>4929</v>
      </c>
      <c r="F9" s="208"/>
      <c r="G9" s="203"/>
    </row>
    <row r="10" spans="2:174" ht="16" customHeight="1" thickBot="1">
      <c r="B10" s="202"/>
      <c r="C10" s="207"/>
      <c r="D10" s="195"/>
      <c r="E10" s="195"/>
      <c r="F10" s="208"/>
      <c r="G10" s="203"/>
    </row>
    <row r="11" spans="2:174" ht="71" thickBot="1">
      <c r="B11" s="202"/>
      <c r="C11" s="207"/>
      <c r="D11" s="215" t="s">
        <v>2</v>
      </c>
      <c r="E11" s="216" t="s">
        <v>4919</v>
      </c>
      <c r="F11" s="208"/>
      <c r="G11" s="203"/>
    </row>
    <row r="12" spans="2:174" ht="14" thickBot="1">
      <c r="B12" s="202"/>
      <c r="C12" s="207"/>
      <c r="D12" s="225"/>
      <c r="E12" s="194"/>
      <c r="F12" s="208"/>
      <c r="G12" s="203"/>
    </row>
    <row r="13" spans="2:174" ht="70">
      <c r="B13" s="202"/>
      <c r="C13" s="207"/>
      <c r="D13" s="209" t="s">
        <v>25</v>
      </c>
      <c r="E13" s="210" t="s">
        <v>4933</v>
      </c>
      <c r="F13" s="208"/>
      <c r="G13" s="203"/>
    </row>
    <row r="14" spans="2:174" ht="28">
      <c r="B14" s="202"/>
      <c r="C14" s="207"/>
      <c r="D14" s="211" t="s">
        <v>3</v>
      </c>
      <c r="E14" s="212" t="s">
        <v>4920</v>
      </c>
      <c r="F14" s="208"/>
      <c r="G14" s="203"/>
    </row>
    <row r="15" spans="2:174" ht="28">
      <c r="B15" s="202"/>
      <c r="C15" s="207"/>
      <c r="D15" s="211"/>
      <c r="E15" s="221" t="s">
        <v>4921</v>
      </c>
      <c r="F15" s="208"/>
      <c r="G15" s="203"/>
    </row>
    <row r="16" spans="2:174" ht="14">
      <c r="B16" s="202"/>
      <c r="C16" s="207"/>
      <c r="D16" s="211"/>
      <c r="E16" s="222" t="s">
        <v>15</v>
      </c>
      <c r="F16" s="208"/>
      <c r="G16" s="203"/>
    </row>
    <row r="17" spans="2:7" ht="14">
      <c r="B17" s="202"/>
      <c r="C17" s="207"/>
      <c r="D17" s="211"/>
      <c r="E17" s="222" t="s">
        <v>16</v>
      </c>
      <c r="F17" s="208"/>
      <c r="G17" s="203"/>
    </row>
    <row r="18" spans="2:7" ht="14">
      <c r="B18" s="202"/>
      <c r="C18" s="207"/>
      <c r="D18" s="211"/>
      <c r="E18" s="223" t="s">
        <v>17</v>
      </c>
      <c r="F18" s="208"/>
      <c r="G18" s="203"/>
    </row>
    <row r="19" spans="2:7" ht="28">
      <c r="B19" s="202"/>
      <c r="C19" s="207"/>
      <c r="D19" s="211"/>
      <c r="E19" s="221" t="s">
        <v>4922</v>
      </c>
      <c r="F19" s="208"/>
      <c r="G19" s="203"/>
    </row>
    <row r="20" spans="2:7" ht="28">
      <c r="B20" s="202"/>
      <c r="C20" s="207"/>
      <c r="D20" s="211"/>
      <c r="E20" s="222" t="s">
        <v>18</v>
      </c>
      <c r="F20" s="208"/>
      <c r="G20" s="203"/>
    </row>
    <row r="21" spans="2:7" ht="42">
      <c r="B21" s="202"/>
      <c r="C21" s="207"/>
      <c r="D21" s="211"/>
      <c r="E21" s="222" t="s">
        <v>24</v>
      </c>
      <c r="F21" s="208"/>
      <c r="G21" s="203"/>
    </row>
    <row r="22" spans="2:7" ht="28">
      <c r="B22" s="202"/>
      <c r="C22" s="207"/>
      <c r="D22" s="211"/>
      <c r="E22" s="223" t="s">
        <v>47</v>
      </c>
      <c r="F22" s="208"/>
      <c r="G22" s="203"/>
    </row>
    <row r="23" spans="2:7" ht="28">
      <c r="B23" s="202"/>
      <c r="C23" s="207"/>
      <c r="D23" s="211"/>
      <c r="E23" s="221" t="s">
        <v>4923</v>
      </c>
      <c r="F23" s="208"/>
      <c r="G23" s="203"/>
    </row>
    <row r="24" spans="2:7" ht="14" customHeight="1">
      <c r="B24" s="202"/>
      <c r="C24" s="207"/>
      <c r="D24" s="211"/>
      <c r="E24" s="222" t="s">
        <v>4961</v>
      </c>
      <c r="F24" s="208"/>
      <c r="G24" s="203"/>
    </row>
    <row r="25" spans="2:7" ht="14">
      <c r="B25" s="202"/>
      <c r="C25" s="207"/>
      <c r="D25" s="211"/>
      <c r="E25" s="222" t="s">
        <v>23</v>
      </c>
      <c r="F25" s="208"/>
      <c r="G25" s="203"/>
    </row>
    <row r="26" spans="2:7" ht="28">
      <c r="B26" s="202"/>
      <c r="C26" s="207"/>
      <c r="D26" s="211"/>
      <c r="E26" s="223" t="s">
        <v>154</v>
      </c>
      <c r="F26" s="208"/>
      <c r="G26" s="203"/>
    </row>
    <row r="27" spans="2:7" ht="42">
      <c r="B27" s="202"/>
      <c r="C27" s="207"/>
      <c r="D27" s="211"/>
      <c r="E27" s="221" t="s">
        <v>4924</v>
      </c>
      <c r="F27" s="208"/>
      <c r="G27" s="203"/>
    </row>
    <row r="28" spans="2:7" ht="28">
      <c r="B28" s="202"/>
      <c r="C28" s="207"/>
      <c r="D28" s="211"/>
      <c r="E28" s="222" t="s">
        <v>4962</v>
      </c>
      <c r="F28" s="208"/>
      <c r="G28" s="203"/>
    </row>
    <row r="29" spans="2:7" ht="14">
      <c r="B29" s="202"/>
      <c r="C29" s="207"/>
      <c r="D29" s="211"/>
      <c r="E29" s="222" t="s">
        <v>19</v>
      </c>
      <c r="F29" s="208"/>
      <c r="G29" s="203"/>
    </row>
    <row r="30" spans="2:7" ht="14">
      <c r="B30" s="202"/>
      <c r="C30" s="207"/>
      <c r="D30" s="211"/>
      <c r="E30" s="223" t="s">
        <v>20</v>
      </c>
      <c r="F30" s="208"/>
      <c r="G30" s="203"/>
    </row>
    <row r="31" spans="2:7" ht="42">
      <c r="B31" s="202"/>
      <c r="C31" s="207"/>
      <c r="D31" s="211"/>
      <c r="E31" s="221" t="s">
        <v>4925</v>
      </c>
      <c r="F31" s="208"/>
      <c r="G31" s="203"/>
    </row>
    <row r="32" spans="2:7" ht="28">
      <c r="B32" s="202"/>
      <c r="C32" s="207"/>
      <c r="D32" s="211"/>
      <c r="E32" s="222" t="s">
        <v>4963</v>
      </c>
      <c r="F32" s="208"/>
      <c r="G32" s="203"/>
    </row>
    <row r="33" spans="2:7" ht="14">
      <c r="B33" s="202"/>
      <c r="C33" s="207"/>
      <c r="D33" s="211"/>
      <c r="E33" s="222" t="s">
        <v>21</v>
      </c>
      <c r="F33" s="208"/>
      <c r="G33" s="203"/>
    </row>
    <row r="34" spans="2:7" ht="29" thickBot="1">
      <c r="B34" s="202"/>
      <c r="C34" s="207"/>
      <c r="D34" s="213"/>
      <c r="E34" s="224" t="s">
        <v>22</v>
      </c>
      <c r="F34" s="208"/>
      <c r="G34" s="203"/>
    </row>
    <row r="35" spans="2:7" ht="14" thickBot="1">
      <c r="B35" s="202"/>
      <c r="C35" s="207"/>
      <c r="D35" s="225"/>
      <c r="E35" s="194"/>
      <c r="F35" s="208"/>
      <c r="G35" s="203"/>
    </row>
    <row r="36" spans="2:7" ht="84">
      <c r="B36" s="202"/>
      <c r="C36" s="207"/>
      <c r="D36" s="209" t="s">
        <v>4</v>
      </c>
      <c r="E36" s="210" t="s">
        <v>4926</v>
      </c>
      <c r="F36" s="208"/>
      <c r="G36" s="203"/>
    </row>
    <row r="37" spans="2:7" ht="84">
      <c r="B37" s="202"/>
      <c r="C37" s="207"/>
      <c r="D37" s="217" t="s">
        <v>6</v>
      </c>
      <c r="E37" s="212" t="s">
        <v>4927</v>
      </c>
      <c r="F37" s="208"/>
      <c r="G37" s="203"/>
    </row>
    <row r="38" spans="2:7" ht="43" thickBot="1">
      <c r="B38" s="202"/>
      <c r="C38" s="207"/>
      <c r="D38" s="218" t="s">
        <v>5</v>
      </c>
      <c r="E38" s="214" t="s">
        <v>4928</v>
      </c>
      <c r="F38" s="208"/>
      <c r="G38" s="203"/>
    </row>
    <row r="39" spans="2:7" ht="13">
      <c r="B39" s="202"/>
      <c r="C39" s="207"/>
      <c r="D39" s="225"/>
      <c r="E39" s="194"/>
      <c r="F39" s="208"/>
      <c r="G39" s="203"/>
    </row>
    <row r="40" spans="2:7" ht="16" customHeight="1" thickBot="1">
      <c r="B40" s="204"/>
      <c r="C40" s="205"/>
      <c r="D40" s="205"/>
      <c r="E40" s="205"/>
      <c r="F40" s="205"/>
      <c r="G40" s="206"/>
    </row>
    <row r="41" spans="2:7" ht="16" customHeight="1" thickTop="1"/>
  </sheetData>
  <sheetProtection algorithmName="SHA-512" hashValue="UkXsp3uMyOPC7SVPphwnY5lx+ljUsa9gUQWySYIia179OFYcN9cnuBs44ewFzkMTj3fAuB4/IzMxoNhGj+LnPQ==" saltValue="Lfz0XHK0TFpti3Z+R0h3Cg==" spinCount="100000" sheet="1" objects="1" scenarios="1" formatColumns="0" formatRows="0"/>
  <mergeCells count="5">
    <mergeCell ref="D8:E8"/>
    <mergeCell ref="D5:E5"/>
    <mergeCell ref="D2:E2"/>
    <mergeCell ref="D3:E3"/>
    <mergeCell ref="D4:E4"/>
  </mergeCells>
  <dataValidations count="1">
    <dataValidation allowBlank="1" sqref="B6:C10 D6:E7 F6:F10 G6:G39 B9:B39 B40:G40" xr:uid="{1FE16392-4D6F-6C43-A2DD-3D6B74A346F5}"/>
  </dataValidations>
  <pageMargins left="0.5" right="0.5" top="0.75" bottom="0.75" header="0.27777800000000002" footer="0.27777800000000002"/>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R341"/>
  <sheetViews>
    <sheetView showGridLines="0" zoomScale="125" zoomScaleNormal="191" workbookViewId="0">
      <selection activeCell="F11" sqref="F11"/>
    </sheetView>
  </sheetViews>
  <sheetFormatPr baseColWidth="10" defaultColWidth="16.33203125" defaultRowHeight="16"/>
  <cols>
    <col min="1" max="3" width="2.83203125" style="4" customWidth="1"/>
    <col min="4" max="4" width="3.83203125" style="48" customWidth="1"/>
    <col min="5" max="5" width="8.83203125" style="3" customWidth="1"/>
    <col min="6" max="6" width="79" style="3" customWidth="1"/>
    <col min="7" max="10" width="2.83203125" style="3" customWidth="1"/>
    <col min="11" max="11" width="34.5" style="187" bestFit="1" customWidth="1"/>
    <col min="12" max="174" width="16.33203125" style="3" customWidth="1"/>
    <col min="175" max="16384" width="16.33203125" style="4"/>
  </cols>
  <sheetData>
    <row r="2" spans="2:174" ht="18">
      <c r="B2" s="8"/>
      <c r="C2" s="8"/>
      <c r="D2" s="47"/>
      <c r="E2" s="476" t="str">
        <f>F28&amp;"-"&amp;F24&amp;" Global Mission Project: "&amp;F11&amp;" Application Planning Template"</f>
        <v>- Global Mission Project:  Application Planning Template</v>
      </c>
      <c r="F2" s="476"/>
      <c r="G2" s="23"/>
      <c r="H2" s="23"/>
    </row>
    <row r="3" spans="2:174" ht="32" customHeight="1">
      <c r="B3" s="8"/>
      <c r="C3" s="8"/>
      <c r="D3" s="47"/>
      <c r="E3" s="477" t="s">
        <v>69</v>
      </c>
      <c r="F3" s="477"/>
      <c r="G3" s="5"/>
      <c r="H3" s="5"/>
    </row>
    <row r="4" spans="2:174" ht="32" customHeight="1" thickBot="1">
      <c r="B4" s="479" t="str">
        <f>F11&amp;" Plans for ID#"&amp;F15&amp;": "&amp;F28&amp;"-"&amp;F24&amp;" "&amp;F36&amp;" ("&amp;F43&amp;": "&amp;F45&amp;") "&amp;F339&amp;"-Year Start-up Project"</f>
        <v xml:space="preserve"> Plans for ID#: -  (: ) 5-Year Start-up Project</v>
      </c>
      <c r="C4" s="479"/>
      <c r="D4" s="479"/>
      <c r="E4" s="479"/>
      <c r="F4" s="479"/>
      <c r="G4" s="479"/>
      <c r="H4" s="479"/>
      <c r="I4" s="479"/>
    </row>
    <row r="5" spans="2:174" ht="15" customHeight="1" thickBot="1">
      <c r="B5" s="9"/>
      <c r="C5" s="21"/>
      <c r="D5" s="49"/>
      <c r="E5" s="10"/>
      <c r="F5" s="10"/>
      <c r="G5" s="10"/>
      <c r="H5" s="10"/>
      <c r="I5" s="11"/>
    </row>
    <row r="6" spans="2:174" ht="17" thickTop="1">
      <c r="B6" s="12"/>
      <c r="C6" s="31"/>
      <c r="D6" s="50"/>
      <c r="E6" s="35"/>
      <c r="F6" s="35"/>
      <c r="G6" s="35"/>
      <c r="H6" s="36"/>
      <c r="I6" s="13"/>
    </row>
    <row r="7" spans="2:174">
      <c r="B7" s="12"/>
      <c r="C7" s="37"/>
      <c r="D7" s="51"/>
      <c r="E7" s="6" t="s">
        <v>114</v>
      </c>
      <c r="F7" s="24"/>
      <c r="G7" s="24"/>
      <c r="H7" s="33"/>
      <c r="I7" s="13"/>
    </row>
    <row r="8" spans="2:174">
      <c r="B8" s="12"/>
      <c r="C8" s="37"/>
      <c r="D8" s="51"/>
      <c r="E8" s="41"/>
      <c r="F8" s="24"/>
      <c r="G8" s="24"/>
      <c r="H8" s="33"/>
      <c r="I8" s="13"/>
    </row>
    <row r="9" spans="2:174" ht="17" thickBot="1">
      <c r="B9" s="12"/>
      <c r="C9" s="37"/>
      <c r="D9" s="51"/>
      <c r="E9" s="41" t="s">
        <v>97</v>
      </c>
      <c r="F9" s="24"/>
      <c r="G9" s="24"/>
      <c r="H9" s="33"/>
      <c r="I9" s="13"/>
    </row>
    <row r="10" spans="2:174" s="29" customFormat="1" ht="18" customHeight="1">
      <c r="B10" s="25"/>
      <c r="C10" s="32"/>
      <c r="D10" s="57">
        <v>1</v>
      </c>
      <c r="E10" s="58" t="s">
        <v>101</v>
      </c>
      <c r="F10" s="59"/>
      <c r="G10" s="60"/>
      <c r="H10" s="33"/>
      <c r="I10" s="27"/>
      <c r="J10" s="28"/>
      <c r="K10" s="185"/>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row>
    <row r="11" spans="2:174" s="29" customFormat="1">
      <c r="B11" s="25"/>
      <c r="C11" s="32"/>
      <c r="D11" s="61"/>
      <c r="E11" s="74" t="s">
        <v>86</v>
      </c>
      <c r="F11" s="38"/>
      <c r="G11" s="75"/>
      <c r="H11" s="34"/>
      <c r="I11" s="27"/>
      <c r="J11" s="28"/>
      <c r="K11" s="185"/>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row>
    <row r="12" spans="2:174" s="29" customFormat="1" ht="18" customHeight="1">
      <c r="B12" s="25"/>
      <c r="C12" s="32"/>
      <c r="D12" s="61">
        <f>D10+1</f>
        <v>2</v>
      </c>
      <c r="E12" s="63" t="s">
        <v>102</v>
      </c>
      <c r="F12" s="64"/>
      <c r="G12" s="75"/>
      <c r="H12" s="34"/>
      <c r="I12" s="27"/>
      <c r="J12" s="28"/>
      <c r="K12" s="185"/>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row>
    <row r="13" spans="2:174" s="29" customFormat="1">
      <c r="B13" s="25"/>
      <c r="C13" s="32"/>
      <c r="D13" s="61"/>
      <c r="E13" s="74" t="s">
        <v>72</v>
      </c>
      <c r="F13" s="38"/>
      <c r="G13" s="75"/>
      <c r="H13" s="34"/>
      <c r="I13" s="27"/>
      <c r="J13" s="28"/>
      <c r="K13" s="185"/>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row>
    <row r="14" spans="2:174" s="29" customFormat="1" ht="18" customHeight="1">
      <c r="B14" s="25"/>
      <c r="C14" s="32"/>
      <c r="D14" s="61"/>
      <c r="E14" s="63" t="s">
        <v>103</v>
      </c>
      <c r="F14" s="64"/>
      <c r="G14" s="75"/>
      <c r="H14" s="34"/>
      <c r="I14" s="27"/>
      <c r="J14" s="28"/>
      <c r="K14" s="185"/>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row>
    <row r="15" spans="2:174" s="29" customFormat="1">
      <c r="B15" s="25"/>
      <c r="C15" s="32"/>
      <c r="D15" s="61"/>
      <c r="E15" s="74" t="s">
        <v>73</v>
      </c>
      <c r="F15" s="38"/>
      <c r="G15" s="75"/>
      <c r="H15" s="34"/>
      <c r="I15" s="27"/>
      <c r="J15" s="28"/>
      <c r="K15" s="185"/>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row>
    <row r="16" spans="2:174" s="29" customFormat="1" ht="18" customHeight="1">
      <c r="B16" s="25"/>
      <c r="C16" s="32"/>
      <c r="D16" s="61">
        <f>D12+1</f>
        <v>3</v>
      </c>
      <c r="E16" s="65" t="str">
        <f>"What is the plan for the established work once the start-up project funding is finished at the end of "&amp;$F$339&amp;" years?"</f>
        <v>What is the plan for the established work once the start-up project funding is finished at the end of 5 years?</v>
      </c>
      <c r="F16" s="74"/>
      <c r="G16" s="75"/>
      <c r="H16" s="34"/>
      <c r="I16" s="27"/>
      <c r="J16" s="28"/>
      <c r="K16" s="185"/>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row>
    <row r="17" spans="2:174" s="29" customFormat="1">
      <c r="B17" s="25"/>
      <c r="C17" s="32"/>
      <c r="D17" s="61"/>
      <c r="E17" s="86" t="s">
        <v>121</v>
      </c>
      <c r="F17" s="106"/>
      <c r="G17" s="75"/>
      <c r="H17" s="34"/>
      <c r="I17" s="27"/>
      <c r="J17" s="28"/>
      <c r="K17" s="185"/>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row>
    <row r="18" spans="2:174" s="29" customFormat="1">
      <c r="B18" s="25"/>
      <c r="C18" s="32"/>
      <c r="D18" s="61"/>
      <c r="E18" s="63" t="s">
        <v>4964</v>
      </c>
      <c r="F18" s="63"/>
      <c r="G18" s="75"/>
      <c r="H18" s="34"/>
      <c r="I18" s="27"/>
      <c r="J18" s="28"/>
      <c r="K18" s="185"/>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row>
    <row r="19" spans="2:174" s="29" customFormat="1">
      <c r="B19" s="25"/>
      <c r="C19" s="32"/>
      <c r="D19" s="61"/>
      <c r="E19" s="74" t="s">
        <v>43</v>
      </c>
      <c r="F19" s="38"/>
      <c r="G19" s="75"/>
      <c r="H19" s="34"/>
      <c r="I19" s="27"/>
      <c r="J19" s="28"/>
      <c r="K19" s="185"/>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row>
    <row r="20" spans="2:174" s="29" customFormat="1" ht="17" thickBot="1">
      <c r="B20" s="25"/>
      <c r="C20" s="32"/>
      <c r="D20" s="61"/>
      <c r="E20" s="62"/>
      <c r="F20" s="70"/>
      <c r="G20" s="75"/>
      <c r="H20" s="34"/>
      <c r="I20" s="27"/>
      <c r="J20" s="28"/>
      <c r="K20" s="185"/>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row>
    <row r="21" spans="2:174" s="29" customFormat="1">
      <c r="B21" s="25"/>
      <c r="C21" s="32"/>
      <c r="D21" s="52"/>
      <c r="E21" s="44"/>
      <c r="F21" s="46"/>
      <c r="G21" s="76"/>
      <c r="H21" s="34"/>
      <c r="I21" s="27"/>
      <c r="J21" s="28"/>
      <c r="K21" s="185"/>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row>
    <row r="22" spans="2:174" s="29" customFormat="1" ht="17" thickBot="1">
      <c r="B22" s="25"/>
      <c r="C22" s="32"/>
      <c r="D22" s="53"/>
      <c r="E22" s="45" t="s">
        <v>90</v>
      </c>
      <c r="F22" s="77"/>
      <c r="G22" s="78"/>
      <c r="H22" s="34"/>
      <c r="I22" s="27"/>
      <c r="J22" s="28"/>
      <c r="K22" s="185"/>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row>
    <row r="23" spans="2:174" s="29" customFormat="1" ht="18" customHeight="1">
      <c r="B23" s="25"/>
      <c r="C23" s="32"/>
      <c r="D23" s="61">
        <f>D16+1</f>
        <v>4</v>
      </c>
      <c r="E23" s="63" t="s">
        <v>104</v>
      </c>
      <c r="F23" s="64"/>
      <c r="G23" s="75"/>
      <c r="H23" s="34"/>
      <c r="I23" s="27"/>
      <c r="J23" s="28"/>
      <c r="K23" s="185"/>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row>
    <row r="24" spans="2:174" s="29" customFormat="1">
      <c r="B24" s="25"/>
      <c r="C24" s="32"/>
      <c r="D24" s="61"/>
      <c r="E24" s="74" t="s">
        <v>74</v>
      </c>
      <c r="F24" s="38"/>
      <c r="G24" s="75"/>
      <c r="H24" s="34"/>
      <c r="I24" s="27"/>
      <c r="J24" s="28"/>
      <c r="K24" s="185"/>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row>
    <row r="25" spans="2:174" s="272" customFormat="1" ht="18" customHeight="1">
      <c r="B25" s="273"/>
      <c r="C25" s="274"/>
      <c r="D25" s="61">
        <f>D23+1</f>
        <v>5</v>
      </c>
      <c r="E25" s="275" t="str">
        <f>"What is the status of your local region/mission/conference ("&amp;$F$24&amp;")?"</f>
        <v>What is the status of your local region/mission/conference ()?</v>
      </c>
      <c r="F25" s="64"/>
      <c r="G25" s="277"/>
      <c r="H25" s="278"/>
      <c r="I25" s="279"/>
      <c r="J25" s="280"/>
      <c r="K25" s="281"/>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c r="DM25" s="280"/>
      <c r="DN25" s="280"/>
      <c r="DO25" s="280"/>
      <c r="DP25" s="280"/>
      <c r="DQ25" s="280"/>
      <c r="DR25" s="280"/>
      <c r="DS25" s="280"/>
      <c r="DT25" s="280"/>
      <c r="DU25" s="280"/>
      <c r="DV25" s="280"/>
      <c r="DW25" s="280"/>
      <c r="DX25" s="280"/>
      <c r="DY25" s="280"/>
      <c r="DZ25" s="280"/>
      <c r="EA25" s="280"/>
      <c r="EB25" s="280"/>
      <c r="EC25" s="280"/>
      <c r="ED25" s="280"/>
      <c r="EE25" s="280"/>
      <c r="EF25" s="280"/>
      <c r="EG25" s="280"/>
      <c r="EH25" s="280"/>
      <c r="EI25" s="280"/>
      <c r="EJ25" s="280"/>
      <c r="EK25" s="280"/>
      <c r="EL25" s="280"/>
      <c r="EM25" s="280"/>
      <c r="EN25" s="280"/>
      <c r="EO25" s="280"/>
      <c r="EP25" s="280"/>
      <c r="EQ25" s="280"/>
      <c r="ER25" s="280"/>
      <c r="ES25" s="280"/>
      <c r="ET25" s="280"/>
      <c r="EU25" s="280"/>
      <c r="EV25" s="280"/>
      <c r="EW25" s="280"/>
      <c r="EX25" s="280"/>
      <c r="EY25" s="280"/>
      <c r="EZ25" s="280"/>
      <c r="FA25" s="280"/>
      <c r="FB25" s="280"/>
      <c r="FC25" s="280"/>
      <c r="FD25" s="280"/>
      <c r="FE25" s="280"/>
      <c r="FF25" s="280"/>
      <c r="FG25" s="280"/>
      <c r="FH25" s="280"/>
      <c r="FI25" s="280"/>
      <c r="FJ25" s="280"/>
      <c r="FK25" s="280"/>
      <c r="FL25" s="280"/>
      <c r="FM25" s="280"/>
      <c r="FN25" s="280"/>
      <c r="FO25" s="280"/>
      <c r="FP25" s="280"/>
      <c r="FQ25" s="280"/>
      <c r="FR25" s="280"/>
    </row>
    <row r="26" spans="2:174" s="29" customFormat="1" ht="16" customHeight="1">
      <c r="B26" s="25"/>
      <c r="C26" s="32"/>
      <c r="D26" s="268"/>
      <c r="E26" s="64"/>
      <c r="F26" s="300"/>
      <c r="G26" s="260"/>
      <c r="H26" s="34"/>
      <c r="I26" s="27"/>
      <c r="J26" s="28"/>
      <c r="K26" s="185"/>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row>
    <row r="27" spans="2:174" s="29" customFormat="1" ht="18" customHeight="1">
      <c r="B27" s="25"/>
      <c r="C27" s="32"/>
      <c r="D27" s="61">
        <f>D25+1</f>
        <v>6</v>
      </c>
      <c r="E27" s="63" t="s">
        <v>105</v>
      </c>
      <c r="F27" s="64"/>
      <c r="G27" s="75"/>
      <c r="H27" s="34"/>
      <c r="I27" s="27"/>
      <c r="J27" s="28"/>
      <c r="K27" s="185"/>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row>
    <row r="28" spans="2:174" s="29" customFormat="1">
      <c r="B28" s="25"/>
      <c r="C28" s="32"/>
      <c r="D28" s="61"/>
      <c r="E28" s="74" t="s">
        <v>75</v>
      </c>
      <c r="F28" s="38"/>
      <c r="G28" s="75"/>
      <c r="H28" s="34"/>
      <c r="I28" s="27"/>
      <c r="J28" s="28"/>
      <c r="K28" s="185"/>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row>
    <row r="29" spans="2:174" s="29" customFormat="1" ht="18" customHeight="1">
      <c r="B29" s="25"/>
      <c r="C29" s="32"/>
      <c r="D29" s="61">
        <f>D27+1</f>
        <v>7</v>
      </c>
      <c r="E29" s="63" t="s">
        <v>106</v>
      </c>
      <c r="F29" s="64"/>
      <c r="G29" s="75"/>
      <c r="H29" s="34"/>
      <c r="I29" s="27"/>
      <c r="J29" s="28"/>
      <c r="K29" s="185"/>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row>
    <row r="30" spans="2:174" s="29" customFormat="1">
      <c r="B30" s="25"/>
      <c r="C30" s="32"/>
      <c r="D30" s="61"/>
      <c r="E30" s="74" t="s">
        <v>84</v>
      </c>
      <c r="F30" s="38"/>
      <c r="G30" s="75"/>
      <c r="H30" s="34"/>
      <c r="I30" s="27"/>
      <c r="J30" s="28"/>
      <c r="K30" s="185"/>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row>
    <row r="31" spans="2:174" s="29" customFormat="1" ht="18" customHeight="1">
      <c r="B31" s="25"/>
      <c r="C31" s="32"/>
      <c r="D31" s="61">
        <f>D29+1</f>
        <v>8</v>
      </c>
      <c r="E31" s="63" t="s">
        <v>4956</v>
      </c>
      <c r="F31" s="64"/>
      <c r="G31" s="75"/>
      <c r="H31" s="34"/>
      <c r="I31" s="27"/>
      <c r="J31" s="28"/>
      <c r="K31" s="185"/>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row>
    <row r="32" spans="2:174" s="29" customFormat="1">
      <c r="B32" s="25"/>
      <c r="C32" s="32"/>
      <c r="D32" s="61"/>
      <c r="E32" s="74" t="s">
        <v>87</v>
      </c>
      <c r="F32" s="38"/>
      <c r="G32" s="75"/>
      <c r="H32" s="34"/>
      <c r="I32" s="27"/>
      <c r="J32" s="28"/>
      <c r="K32" s="185"/>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row>
    <row r="33" spans="2:174" s="29" customFormat="1" ht="18" customHeight="1">
      <c r="B33" s="25"/>
      <c r="C33" s="32"/>
      <c r="D33" s="61">
        <f>D31+1</f>
        <v>9</v>
      </c>
      <c r="E33" s="63" t="s">
        <v>4957</v>
      </c>
      <c r="F33" s="64"/>
      <c r="G33" s="75"/>
      <c r="H33" s="34"/>
      <c r="I33" s="27"/>
      <c r="J33" s="28"/>
      <c r="K33" s="185"/>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row>
    <row r="34" spans="2:174" s="29" customFormat="1">
      <c r="B34" s="25"/>
      <c r="C34" s="32"/>
      <c r="D34" s="61"/>
      <c r="E34" s="74" t="s">
        <v>88</v>
      </c>
      <c r="F34" s="38"/>
      <c r="G34" s="75"/>
      <c r="H34" s="34"/>
      <c r="I34" s="27"/>
      <c r="J34" s="28"/>
      <c r="K34" s="185"/>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row>
    <row r="35" spans="2:174" s="29" customFormat="1" ht="18" customHeight="1">
      <c r="B35" s="25"/>
      <c r="C35" s="32"/>
      <c r="D35" s="61">
        <f>D33+1</f>
        <v>10</v>
      </c>
      <c r="E35" s="63" t="s">
        <v>107</v>
      </c>
      <c r="F35" s="64"/>
      <c r="G35" s="75"/>
      <c r="H35" s="34"/>
      <c r="I35" s="27"/>
      <c r="J35" s="28"/>
      <c r="K35" s="185"/>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row>
    <row r="36" spans="2:174" s="29" customFormat="1">
      <c r="B36" s="25"/>
      <c r="C36" s="32"/>
      <c r="D36" s="61"/>
      <c r="E36" s="74" t="s">
        <v>91</v>
      </c>
      <c r="F36" s="38"/>
      <c r="G36" s="75"/>
      <c r="H36" s="34"/>
      <c r="I36" s="27"/>
      <c r="J36" s="28"/>
      <c r="K36" s="185"/>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row>
    <row r="37" spans="2:174" s="29" customFormat="1" ht="18" customHeight="1">
      <c r="B37" s="25"/>
      <c r="C37" s="32"/>
      <c r="D37" s="61">
        <f>D35+1</f>
        <v>11</v>
      </c>
      <c r="E37" s="63" t="s">
        <v>108</v>
      </c>
      <c r="F37" s="64"/>
      <c r="G37" s="75"/>
      <c r="H37" s="34"/>
      <c r="I37" s="27"/>
      <c r="J37" s="28"/>
      <c r="K37" s="185"/>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row>
    <row r="38" spans="2:174" s="29" customFormat="1">
      <c r="B38" s="25"/>
      <c r="C38" s="32"/>
      <c r="D38" s="61"/>
      <c r="E38" s="74" t="s">
        <v>92</v>
      </c>
      <c r="F38" s="38"/>
      <c r="G38" s="75"/>
      <c r="H38" s="34"/>
      <c r="I38" s="27"/>
      <c r="J38" s="28"/>
      <c r="K38" s="185"/>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row>
    <row r="39" spans="2:174" s="29" customFormat="1" ht="17" thickBot="1">
      <c r="B39" s="25"/>
      <c r="C39" s="32"/>
      <c r="D39" s="66"/>
      <c r="E39" s="71"/>
      <c r="F39" s="79"/>
      <c r="G39" s="80"/>
      <c r="H39" s="34"/>
      <c r="I39" s="27"/>
      <c r="J39" s="28"/>
      <c r="K39" s="185"/>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row>
    <row r="40" spans="2:174" s="29" customFormat="1">
      <c r="B40" s="25"/>
      <c r="C40" s="32"/>
      <c r="D40" s="54"/>
      <c r="E40" s="42"/>
      <c r="F40" s="39"/>
      <c r="G40" s="26"/>
      <c r="H40" s="34"/>
      <c r="I40" s="27"/>
      <c r="J40" s="28"/>
      <c r="K40" s="185"/>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row>
    <row r="41" spans="2:174" s="29" customFormat="1" ht="17" thickBot="1">
      <c r="B41" s="25"/>
      <c r="C41" s="32"/>
      <c r="D41" s="54"/>
      <c r="E41" s="43" t="s">
        <v>98</v>
      </c>
      <c r="F41" s="39"/>
      <c r="G41" s="26"/>
      <c r="H41" s="34"/>
      <c r="I41" s="27"/>
      <c r="J41" s="28"/>
      <c r="K41" s="185"/>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row>
    <row r="42" spans="2:174" s="29" customFormat="1" ht="18" customHeight="1">
      <c r="B42" s="25"/>
      <c r="C42" s="32"/>
      <c r="D42" s="57">
        <f>D37+1</f>
        <v>12</v>
      </c>
      <c r="E42" s="68" t="s">
        <v>109</v>
      </c>
      <c r="F42" s="69"/>
      <c r="G42" s="81"/>
      <c r="H42" s="34"/>
      <c r="I42" s="27"/>
      <c r="J42" s="28"/>
      <c r="K42" s="190" t="str">
        <f>IF(K43="","",IF($F$45="","Based on Joshua Project Data","This Category Includes the Following People"))</f>
        <v/>
      </c>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row>
    <row r="43" spans="2:174" s="29" customFormat="1">
      <c r="B43" s="25"/>
      <c r="C43" s="32"/>
      <c r="D43" s="61"/>
      <c r="E43" s="74" t="s">
        <v>157</v>
      </c>
      <c r="F43" s="38"/>
      <c r="G43" s="75"/>
      <c r="H43" s="34"/>
      <c r="I43" s="27"/>
      <c r="J43" s="28"/>
      <c r="K43" s="186" t="str" cm="1">
        <f t="array" ref="K43">IF(F30="","",IF(F45="",_xlfn.UNIQUE('Unreached Data'!$AT$2:$AT$53,FALSE,FALSE),_xlfn.UNIQUE('Unreached Data'!$AY$2:$AY$53,FALSE,FALSE)))</f>
        <v/>
      </c>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row>
    <row r="44" spans="2:174" s="29" customFormat="1" ht="18" customHeight="1">
      <c r="B44" s="25"/>
      <c r="C44" s="32"/>
      <c r="D44" s="61">
        <f>D42+1</f>
        <v>13</v>
      </c>
      <c r="E44" s="63" t="s">
        <v>110</v>
      </c>
      <c r="F44" s="70"/>
      <c r="G44" s="75"/>
      <c r="H44" s="34"/>
      <c r="I44" s="27"/>
      <c r="J44" s="28"/>
      <c r="K44" s="185"/>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row>
    <row r="45" spans="2:174" s="29" customFormat="1">
      <c r="B45" s="25"/>
      <c r="C45" s="32"/>
      <c r="D45" s="61"/>
      <c r="E45" s="74" t="s">
        <v>89</v>
      </c>
      <c r="F45" s="38"/>
      <c r="G45" s="75"/>
      <c r="H45" s="34"/>
      <c r="I45" s="27"/>
      <c r="J45" s="28"/>
      <c r="K45" s="185"/>
      <c r="L45" s="28"/>
      <c r="M45" s="110"/>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row>
    <row r="46" spans="2:174" s="29" customFormat="1" ht="18" customHeight="1">
      <c r="B46" s="25"/>
      <c r="C46" s="32"/>
      <c r="D46" s="61"/>
      <c r="E46" s="92" t="str">
        <f>"From a population of "&amp;FIXED('Unreached Data'!$AO$2,0)&amp;" in "&amp;F30&amp;", there are "&amp;IF('Planning Template'!$F$45="",FIXED(SUM('Unreached Data'!$AR$3:'Unreached Data'!$AR$802),0),FIXED(SUMIF('Unreached Data'!$AQ$3:$AQ$50,'Planning Template'!$F$45,'Unreached Data'!$AR$3:$AR$50),0))&amp;" "&amp;$F$43&amp;" ("&amp;$F$45&amp;")."</f>
        <v>From a population of 0 in , there are 0  ().</v>
      </c>
      <c r="F46" s="70"/>
      <c r="G46" s="75"/>
      <c r="H46" s="34"/>
      <c r="I46" s="27"/>
      <c r="J46" s="28"/>
      <c r="K46" s="185"/>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row>
    <row r="47" spans="2:174" s="29" customFormat="1" ht="18" customHeight="1">
      <c r="B47" s="25"/>
      <c r="C47" s="32"/>
      <c r="D47" s="61">
        <f>D44+1</f>
        <v>14</v>
      </c>
      <c r="E47" s="65" t="str">
        <f>"How many "&amp;F43&amp;" ("&amp;F45&amp;") live within 10km of the project?"</f>
        <v>How many  () live within 10km of the project?</v>
      </c>
      <c r="F47" s="70"/>
      <c r="G47" s="75"/>
      <c r="H47" s="34"/>
      <c r="I47" s="27"/>
      <c r="J47" s="28"/>
      <c r="K47" s="185"/>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row>
    <row r="48" spans="2:174" s="29" customFormat="1">
      <c r="B48" s="25"/>
      <c r="C48" s="32"/>
      <c r="D48" s="61"/>
      <c r="E48" s="74" t="s">
        <v>99</v>
      </c>
      <c r="F48" s="40"/>
      <c r="G48" s="75"/>
      <c r="H48" s="34"/>
      <c r="I48" s="27"/>
      <c r="J48" s="28"/>
      <c r="K48" s="185"/>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row>
    <row r="49" spans="2:174" s="29" customFormat="1" ht="17" thickBot="1">
      <c r="B49" s="25"/>
      <c r="C49" s="32"/>
      <c r="D49" s="66"/>
      <c r="E49" s="71"/>
      <c r="F49" s="82"/>
      <c r="G49" s="80"/>
      <c r="H49" s="34"/>
      <c r="I49" s="27"/>
      <c r="J49" s="28"/>
      <c r="K49" s="185"/>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row>
    <row r="50" spans="2:174" s="29" customFormat="1">
      <c r="B50" s="25"/>
      <c r="C50" s="32"/>
      <c r="D50" s="54"/>
      <c r="E50" s="42"/>
      <c r="F50" s="83"/>
      <c r="G50" s="26"/>
      <c r="H50" s="34"/>
      <c r="I50" s="27"/>
      <c r="J50" s="28"/>
      <c r="K50" s="185"/>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row>
    <row r="51" spans="2:174" s="29" customFormat="1" ht="17" thickBot="1">
      <c r="B51" s="25"/>
      <c r="C51" s="32"/>
      <c r="D51" s="54"/>
      <c r="E51" s="41" t="str">
        <f>"Current Presence as of December 31, "&amp;($F$11-1)</f>
        <v>Current Presence as of December 31, -1</v>
      </c>
      <c r="F51" s="83"/>
      <c r="G51" s="26"/>
      <c r="H51" s="34"/>
      <c r="I51" s="27"/>
      <c r="J51" s="28"/>
      <c r="K51" s="185"/>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row>
    <row r="52" spans="2:174" s="29" customFormat="1" ht="18" customHeight="1">
      <c r="B52" s="25"/>
      <c r="C52" s="32"/>
      <c r="D52" s="57">
        <f>D47+1</f>
        <v>15</v>
      </c>
      <c r="E52" s="58" t="str">
        <f>"How many Adventists with a "&amp;$F$43&amp;" ("&amp;$F$45&amp;") background within 10km of the project?"</f>
        <v>How many Adventists with a  () background within 10km of the project?</v>
      </c>
      <c r="F52" s="84"/>
      <c r="G52" s="81"/>
      <c r="H52" s="34"/>
      <c r="I52" s="27"/>
      <c r="J52" s="28"/>
      <c r="K52" s="185"/>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row>
    <row r="53" spans="2:174" s="29" customFormat="1">
      <c r="B53" s="25"/>
      <c r="C53" s="32"/>
      <c r="D53" s="61"/>
      <c r="E53" s="74" t="s">
        <v>100</v>
      </c>
      <c r="F53" s="38"/>
      <c r="G53" s="75"/>
      <c r="H53" s="34"/>
      <c r="I53" s="27"/>
      <c r="J53" s="28"/>
      <c r="K53" s="185"/>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row>
    <row r="54" spans="2:174" s="29" customFormat="1" ht="18" customHeight="1">
      <c r="B54" s="25"/>
      <c r="C54" s="32"/>
      <c r="D54" s="61">
        <f>D52+1</f>
        <v>16</v>
      </c>
      <c r="E54" s="65" t="str">
        <f>"How many people on average attended the project's Sabbath worship/care group(s) in "&amp;($F$11-1)&amp;"?"</f>
        <v>How many people on average attended the project's Sabbath worship/care group(s) in -1?</v>
      </c>
      <c r="F54" s="70"/>
      <c r="G54" s="75"/>
      <c r="H54" s="34"/>
      <c r="I54" s="27"/>
      <c r="J54" s="28"/>
      <c r="K54" s="185"/>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row>
    <row r="55" spans="2:174" s="29" customFormat="1">
      <c r="B55" s="25"/>
      <c r="C55" s="32"/>
      <c r="D55" s="61"/>
      <c r="E55" s="74" t="s">
        <v>111</v>
      </c>
      <c r="F55" s="38"/>
      <c r="G55" s="75"/>
      <c r="H55" s="34"/>
      <c r="I55" s="27"/>
      <c r="J55" s="28"/>
      <c r="K55" s="185"/>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row>
    <row r="56" spans="2:174" s="29" customFormat="1" ht="18" customHeight="1">
      <c r="B56" s="25"/>
      <c r="C56" s="32"/>
      <c r="D56" s="61">
        <f>D54+1</f>
        <v>17</v>
      </c>
      <c r="E56" s="85" t="str">
        <f>"What is the total number of people baptized because of the project from January to December "&amp;($F$11-1)&amp;"?"</f>
        <v>What is the total number of people baptized because of the project from January to December -1?</v>
      </c>
      <c r="F56" s="70"/>
      <c r="G56" s="75"/>
      <c r="H56" s="34"/>
      <c r="I56" s="27"/>
      <c r="J56" s="28"/>
      <c r="K56" s="185"/>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row>
    <row r="57" spans="2:174" s="29" customFormat="1">
      <c r="B57" s="25"/>
      <c r="C57" s="32"/>
      <c r="D57" s="61"/>
      <c r="E57" s="86" t="s">
        <v>112</v>
      </c>
      <c r="F57" s="38"/>
      <c r="G57" s="75"/>
      <c r="H57" s="34"/>
      <c r="I57" s="27"/>
      <c r="J57" s="28"/>
      <c r="K57" s="185"/>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row>
    <row r="58" spans="2:174" s="29" customFormat="1" ht="18" customHeight="1">
      <c r="B58" s="25"/>
      <c r="C58" s="32"/>
      <c r="D58" s="61">
        <f>D56+1</f>
        <v>18</v>
      </c>
      <c r="E58" s="85" t="str">
        <f>"How many people are actively preparing for baptism as of December 31, "&amp;($F$11-1)&amp;"?"</f>
        <v>How many people are actively preparing for baptism as of December 31, -1?</v>
      </c>
      <c r="F58" s="70"/>
      <c r="G58" s="75"/>
      <c r="H58" s="34"/>
      <c r="I58" s="27"/>
      <c r="J58" s="28"/>
      <c r="K58" s="185"/>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row>
    <row r="59" spans="2:174" s="29" customFormat="1">
      <c r="B59" s="25"/>
      <c r="C59" s="32"/>
      <c r="D59" s="61"/>
      <c r="E59" s="73" t="s">
        <v>113</v>
      </c>
      <c r="F59" s="38"/>
      <c r="G59" s="75"/>
      <c r="H59" s="34"/>
      <c r="I59" s="27"/>
      <c r="J59" s="28"/>
      <c r="K59" s="185"/>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row>
    <row r="60" spans="2:174" s="29" customFormat="1" ht="18" customHeight="1">
      <c r="B60" s="25"/>
      <c r="C60" s="32"/>
      <c r="D60" s="61">
        <f>D58+1</f>
        <v>19</v>
      </c>
      <c r="E60" s="85" t="str">
        <f>"What kind of group has been established as of December 31, "&amp;($F$11-1)&amp;"? (please select from the list below)"</f>
        <v>What kind of group has been established as of December 31, -1? (please select from the list below)</v>
      </c>
      <c r="F60" s="70"/>
      <c r="G60" s="75"/>
      <c r="H60" s="34"/>
      <c r="I60" s="27"/>
      <c r="J60" s="28"/>
      <c r="K60" s="185"/>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row>
    <row r="61" spans="2:174" s="29" customFormat="1">
      <c r="B61" s="25"/>
      <c r="C61" s="32"/>
      <c r="D61" s="61"/>
      <c r="E61" s="72" t="s">
        <v>116</v>
      </c>
      <c r="F61" s="38"/>
      <c r="G61" s="75"/>
      <c r="H61" s="34"/>
      <c r="I61" s="27"/>
      <c r="J61" s="28"/>
      <c r="K61" s="185"/>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row>
    <row r="62" spans="2:174" s="29" customFormat="1" ht="17" thickBot="1">
      <c r="B62" s="25"/>
      <c r="C62" s="32"/>
      <c r="D62" s="66"/>
      <c r="E62" s="87"/>
      <c r="F62" s="79"/>
      <c r="G62" s="80"/>
      <c r="H62" s="34"/>
      <c r="I62" s="27"/>
      <c r="J62" s="28"/>
      <c r="K62" s="185"/>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row>
    <row r="63" spans="2:174" s="29" customFormat="1">
      <c r="B63" s="25"/>
      <c r="C63" s="32"/>
      <c r="D63" s="54"/>
      <c r="E63" s="88"/>
      <c r="F63" s="39"/>
      <c r="G63" s="26"/>
      <c r="H63" s="34"/>
      <c r="I63" s="27"/>
      <c r="J63" s="28"/>
      <c r="K63" s="185"/>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row>
    <row r="64" spans="2:174" s="29" customFormat="1">
      <c r="B64" s="25"/>
      <c r="C64" s="32"/>
      <c r="D64" s="54"/>
      <c r="E64" s="41" t="str">
        <f>F11&amp;" Project Strategic Plan"</f>
        <v xml:space="preserve"> Project Strategic Plan</v>
      </c>
      <c r="F64" s="39"/>
      <c r="G64" s="26"/>
      <c r="H64" s="34"/>
      <c r="I64" s="27"/>
      <c r="J64" s="28"/>
      <c r="K64" s="185"/>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row>
    <row r="65" spans="2:174" s="29" customFormat="1" ht="17" thickBot="1">
      <c r="B65" s="25"/>
      <c r="C65" s="32"/>
      <c r="D65" s="54"/>
      <c r="E65" s="41"/>
      <c r="F65" s="102" t="str">
        <f>"To establish a "&amp;F67&amp;" amongst the "&amp;IF(F43=E309,"",F43&amp;" (")&amp;F45&amp;") people in "&amp;F36&amp;" leading to an "&amp;F69&amp;" within "&amp;F339&amp;" years."</f>
        <v>To establish a  amongst the  () people in  leading to an  within 5 years.</v>
      </c>
      <c r="G65" s="26"/>
      <c r="H65" s="34"/>
      <c r="I65" s="27"/>
      <c r="J65" s="28"/>
      <c r="K65" s="185"/>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row>
    <row r="66" spans="2:174" s="29" customFormat="1">
      <c r="B66" s="25"/>
      <c r="C66" s="32"/>
      <c r="D66" s="57">
        <f>D60+1</f>
        <v>20</v>
      </c>
      <c r="E66" s="58" t="s">
        <v>147</v>
      </c>
      <c r="F66" s="69"/>
      <c r="G66" s="81"/>
      <c r="H66" s="34"/>
      <c r="I66" s="27"/>
      <c r="J66" s="28"/>
      <c r="K66" s="185"/>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row>
    <row r="67" spans="2:174" s="29" customFormat="1">
      <c r="B67" s="25"/>
      <c r="C67" s="32"/>
      <c r="D67" s="61"/>
      <c r="E67" s="74" t="s">
        <v>148</v>
      </c>
      <c r="F67" s="101"/>
      <c r="G67" s="75"/>
      <c r="H67" s="34"/>
      <c r="I67" s="27"/>
      <c r="J67" s="28"/>
      <c r="K67" s="185"/>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row>
    <row r="68" spans="2:174" s="29" customFormat="1">
      <c r="B68" s="25"/>
      <c r="C68" s="32"/>
      <c r="D68" s="61">
        <f>D66+1</f>
        <v>21</v>
      </c>
      <c r="E68" s="65" t="str">
        <f>"What is your organizational goal within the project's "&amp;$F$339&amp;" years of start-up funding?"</f>
        <v>What is your organizational goal within the project's 5 years of start-up funding?</v>
      </c>
      <c r="F68" s="70"/>
      <c r="G68" s="75"/>
      <c r="H68" s="34"/>
      <c r="I68" s="27"/>
      <c r="J68" s="28"/>
      <c r="K68" s="185"/>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row>
    <row r="69" spans="2:174" s="29" customFormat="1">
      <c r="B69" s="25"/>
      <c r="C69" s="32"/>
      <c r="D69" s="61"/>
      <c r="E69" s="74" t="s">
        <v>150</v>
      </c>
      <c r="F69" s="101"/>
      <c r="G69" s="75"/>
      <c r="H69" s="34"/>
      <c r="I69" s="27"/>
      <c r="J69" s="28"/>
      <c r="K69" s="185"/>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row>
    <row r="70" spans="2:174" s="29" customFormat="1">
      <c r="B70" s="25"/>
      <c r="C70" s="32"/>
      <c r="D70" s="61">
        <f>D68+1</f>
        <v>22</v>
      </c>
      <c r="E70" s="65" t="str">
        <f>"What is the main project phase for "&amp;$F$11&amp;"?"</f>
        <v>What is the main project phase for ?</v>
      </c>
      <c r="F70" s="70"/>
      <c r="G70" s="75"/>
      <c r="H70" s="34"/>
      <c r="I70" s="27"/>
      <c r="J70" s="28"/>
      <c r="K70" s="185"/>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row>
    <row r="71" spans="2:174" s="29" customFormat="1">
      <c r="B71" s="25"/>
      <c r="C71" s="32"/>
      <c r="D71" s="61"/>
      <c r="E71" s="86" t="s">
        <v>149</v>
      </c>
      <c r="F71" s="38"/>
      <c r="G71" s="75"/>
      <c r="H71" s="34"/>
      <c r="I71" s="27"/>
      <c r="J71" s="28"/>
      <c r="K71" s="185"/>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row>
    <row r="72" spans="2:174" s="29" customFormat="1">
      <c r="B72" s="25"/>
      <c r="C72" s="32"/>
      <c r="D72" s="61"/>
      <c r="E72" s="65"/>
      <c r="F72" s="70"/>
      <c r="G72" s="75"/>
      <c r="H72" s="34"/>
      <c r="I72" s="27"/>
      <c r="J72" s="28"/>
      <c r="K72" s="185"/>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row>
    <row r="73" spans="2:174" s="29" customFormat="1">
      <c r="B73" s="25"/>
      <c r="C73" s="32"/>
      <c r="D73" s="61"/>
      <c r="E73" s="103" t="s">
        <v>151</v>
      </c>
      <c r="F73" s="104" t="str">
        <f>IF($F71=$E268,Instructions!E16,IF($F71=$E269,Instructions!E20,IF($F71=$E270,Instructions!E24,IF($F71=$E271,Instructions!E28,IF($F71=$E272, Instructions!E32,"")))))</f>
        <v/>
      </c>
      <c r="G73" s="75"/>
      <c r="H73" s="34"/>
      <c r="I73" s="27"/>
      <c r="J73" s="28"/>
      <c r="K73" s="185"/>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row>
    <row r="74" spans="2:174" s="29" customFormat="1">
      <c r="B74" s="25"/>
      <c r="C74" s="32"/>
      <c r="D74" s="61">
        <f>D70+1</f>
        <v>23</v>
      </c>
      <c r="E74" s="65" t="s">
        <v>155</v>
      </c>
      <c r="F74" s="104"/>
      <c r="G74" s="75"/>
      <c r="H74" s="34"/>
      <c r="I74" s="27"/>
      <c r="J74" s="28"/>
      <c r="K74" s="185"/>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row>
    <row r="75" spans="2:174" s="29" customFormat="1">
      <c r="B75" s="25"/>
      <c r="C75" s="32"/>
      <c r="D75" s="61"/>
      <c r="E75" s="96" t="s">
        <v>26</v>
      </c>
      <c r="F75" s="38"/>
      <c r="G75" s="75"/>
      <c r="H75" s="34"/>
      <c r="I75" s="27"/>
      <c r="J75" s="28"/>
      <c r="K75" s="185"/>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row>
    <row r="76" spans="2:174" s="29" customFormat="1">
      <c r="B76" s="25"/>
      <c r="C76" s="32"/>
      <c r="D76" s="61"/>
      <c r="E76" s="96" t="s">
        <v>152</v>
      </c>
      <c r="F76" s="38"/>
      <c r="G76" s="75"/>
      <c r="H76" s="34"/>
      <c r="I76" s="27"/>
      <c r="J76" s="28"/>
      <c r="K76" s="185"/>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row>
    <row r="77" spans="2:174" s="29" customFormat="1">
      <c r="B77" s="25"/>
      <c r="C77" s="32"/>
      <c r="D77" s="61"/>
      <c r="E77" s="96" t="s">
        <v>27</v>
      </c>
      <c r="F77" s="38"/>
      <c r="G77" s="75"/>
      <c r="H77" s="34"/>
      <c r="I77" s="27"/>
      <c r="J77" s="28"/>
      <c r="K77" s="185"/>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row>
    <row r="78" spans="2:174" s="29" customFormat="1">
      <c r="B78" s="25"/>
      <c r="C78" s="32"/>
      <c r="D78" s="61"/>
      <c r="E78" s="96" t="s">
        <v>152</v>
      </c>
      <c r="F78" s="38"/>
      <c r="G78" s="75"/>
      <c r="H78" s="34"/>
      <c r="I78" s="27"/>
      <c r="J78" s="28"/>
      <c r="K78" s="185"/>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row>
    <row r="79" spans="2:174" s="29" customFormat="1">
      <c r="B79" s="25"/>
      <c r="C79" s="32"/>
      <c r="D79" s="61"/>
      <c r="E79" s="96" t="s">
        <v>28</v>
      </c>
      <c r="F79" s="38"/>
      <c r="G79" s="75"/>
      <c r="H79" s="34"/>
      <c r="I79" s="27"/>
      <c r="J79" s="28"/>
      <c r="K79" s="185"/>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row>
    <row r="80" spans="2:174" s="29" customFormat="1">
      <c r="B80" s="25"/>
      <c r="C80" s="32"/>
      <c r="D80" s="61"/>
      <c r="E80" s="96" t="s">
        <v>152</v>
      </c>
      <c r="F80" s="38"/>
      <c r="G80" s="75"/>
      <c r="H80" s="34"/>
      <c r="I80" s="27"/>
      <c r="J80" s="28"/>
      <c r="K80" s="185"/>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row>
    <row r="81" spans="2:174" s="29" customFormat="1">
      <c r="B81" s="25"/>
      <c r="C81" s="32"/>
      <c r="D81" s="61"/>
      <c r="E81" s="96" t="s">
        <v>156</v>
      </c>
      <c r="F81" s="106"/>
      <c r="G81" s="75"/>
      <c r="H81" s="34"/>
      <c r="I81" s="27"/>
      <c r="J81" s="28"/>
      <c r="K81" s="185"/>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row>
    <row r="82" spans="2:174" s="29" customFormat="1">
      <c r="B82" s="25"/>
      <c r="C82" s="32"/>
      <c r="D82" s="61"/>
      <c r="E82" s="97"/>
      <c r="F82" s="70"/>
      <c r="G82" s="75"/>
      <c r="H82" s="34"/>
      <c r="I82" s="27"/>
      <c r="J82" s="28"/>
      <c r="K82" s="185"/>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row>
    <row r="83" spans="2:174" s="29" customFormat="1">
      <c r="B83" s="25"/>
      <c r="C83" s="32"/>
      <c r="D83" s="61"/>
      <c r="E83" s="103" t="s">
        <v>151</v>
      </c>
      <c r="F83" s="104" t="str">
        <f>IF($F71=$E268,Instructions!E17,IF($F71=$E269,Instructions!E21,IF($F71=$E270,Instructions!E25,IF($F71=$E271,Instructions!E29,IF($F71=$E272,Instructions!E33,"")))))</f>
        <v/>
      </c>
      <c r="G83" s="75"/>
      <c r="H83" s="34"/>
      <c r="I83" s="27"/>
      <c r="J83" s="28"/>
      <c r="K83" s="185"/>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row>
    <row r="84" spans="2:174" s="29" customFormat="1">
      <c r="B84" s="25"/>
      <c r="C84" s="32"/>
      <c r="D84" s="61">
        <f>D74+1</f>
        <v>24</v>
      </c>
      <c r="E84" s="65" t="s">
        <v>155</v>
      </c>
      <c r="F84" s="104"/>
      <c r="G84" s="75"/>
      <c r="H84" s="34"/>
      <c r="I84" s="27"/>
      <c r="J84" s="28"/>
      <c r="K84" s="185"/>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row>
    <row r="85" spans="2:174" s="29" customFormat="1">
      <c r="B85" s="25"/>
      <c r="C85" s="32"/>
      <c r="D85" s="61"/>
      <c r="E85" s="96" t="s">
        <v>26</v>
      </c>
      <c r="F85" s="38"/>
      <c r="G85" s="75"/>
      <c r="H85" s="34"/>
      <c r="I85" s="27"/>
      <c r="J85" s="28"/>
      <c r="K85" s="185"/>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row>
    <row r="86" spans="2:174" s="29" customFormat="1">
      <c r="B86" s="25"/>
      <c r="C86" s="32"/>
      <c r="D86" s="61"/>
      <c r="E86" s="96" t="s">
        <v>152</v>
      </c>
      <c r="F86" s="38"/>
      <c r="G86" s="75"/>
      <c r="H86" s="34"/>
      <c r="I86" s="27"/>
      <c r="J86" s="28"/>
      <c r="K86" s="185"/>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row>
    <row r="87" spans="2:174" s="29" customFormat="1">
      <c r="B87" s="25"/>
      <c r="C87" s="32"/>
      <c r="D87" s="61"/>
      <c r="E87" s="96" t="s">
        <v>27</v>
      </c>
      <c r="F87" s="38"/>
      <c r="G87" s="75"/>
      <c r="H87" s="34"/>
      <c r="I87" s="27"/>
      <c r="J87" s="28"/>
      <c r="K87" s="185"/>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row>
    <row r="88" spans="2:174" s="29" customFormat="1">
      <c r="B88" s="25"/>
      <c r="C88" s="32"/>
      <c r="D88" s="61"/>
      <c r="E88" s="96" t="s">
        <v>152</v>
      </c>
      <c r="F88" s="38"/>
      <c r="G88" s="75"/>
      <c r="H88" s="34"/>
      <c r="I88" s="27"/>
      <c r="J88" s="28"/>
      <c r="K88" s="185"/>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row>
    <row r="89" spans="2:174" s="29" customFormat="1">
      <c r="B89" s="25"/>
      <c r="C89" s="32"/>
      <c r="D89" s="61"/>
      <c r="E89" s="96" t="s">
        <v>28</v>
      </c>
      <c r="F89" s="38"/>
      <c r="G89" s="75"/>
      <c r="H89" s="34"/>
      <c r="I89" s="27"/>
      <c r="J89" s="28"/>
      <c r="K89" s="185"/>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row>
    <row r="90" spans="2:174" s="29" customFormat="1">
      <c r="B90" s="25"/>
      <c r="C90" s="32"/>
      <c r="D90" s="61"/>
      <c r="E90" s="96" t="s">
        <v>152</v>
      </c>
      <c r="F90" s="38"/>
      <c r="G90" s="75"/>
      <c r="H90" s="34"/>
      <c r="I90" s="27"/>
      <c r="J90" s="28"/>
      <c r="K90" s="185"/>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row>
    <row r="91" spans="2:174" s="29" customFormat="1">
      <c r="B91" s="25"/>
      <c r="C91" s="32"/>
      <c r="D91" s="61"/>
      <c r="E91" s="96" t="s">
        <v>156</v>
      </c>
      <c r="F91" s="106"/>
      <c r="G91" s="75"/>
      <c r="H91" s="34"/>
      <c r="I91" s="27"/>
      <c r="J91" s="28"/>
      <c r="K91" s="185"/>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row>
    <row r="92" spans="2:174" s="29" customFormat="1">
      <c r="B92" s="25"/>
      <c r="C92" s="32"/>
      <c r="D92" s="61"/>
      <c r="E92" s="97"/>
      <c r="F92" s="70"/>
      <c r="G92" s="75"/>
      <c r="H92" s="34"/>
      <c r="I92" s="27"/>
      <c r="J92" s="28"/>
      <c r="K92" s="185"/>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row>
    <row r="93" spans="2:174" s="29" customFormat="1">
      <c r="B93" s="25"/>
      <c r="C93" s="32"/>
      <c r="D93" s="61"/>
      <c r="E93" s="103" t="s">
        <v>151</v>
      </c>
      <c r="F93" s="104" t="str">
        <f>IF($F71=$E268,Instructions!E18,IF($F71=$E269,Instructions!E22,IF($F71=$E270,Instructions!E26,IF($F71=$E271,Instructions!E30,IF($F71=$E272,Instructions!E34,"")))))</f>
        <v/>
      </c>
      <c r="G93" s="75"/>
      <c r="H93" s="34"/>
      <c r="I93" s="27"/>
      <c r="J93" s="28"/>
      <c r="K93" s="185"/>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row>
    <row r="94" spans="2:174" s="29" customFormat="1">
      <c r="B94" s="25"/>
      <c r="C94" s="32"/>
      <c r="D94" s="61">
        <f>D84+1</f>
        <v>25</v>
      </c>
      <c r="E94" s="65" t="s">
        <v>155</v>
      </c>
      <c r="F94" s="104"/>
      <c r="G94" s="75"/>
      <c r="H94" s="34"/>
      <c r="I94" s="27"/>
      <c r="J94" s="28"/>
      <c r="K94" s="185"/>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row>
    <row r="95" spans="2:174" s="29" customFormat="1">
      <c r="B95" s="25"/>
      <c r="C95" s="32"/>
      <c r="D95" s="61"/>
      <c r="E95" s="96" t="s">
        <v>26</v>
      </c>
      <c r="F95" s="38"/>
      <c r="G95" s="75"/>
      <c r="H95" s="34"/>
      <c r="I95" s="27"/>
      <c r="J95" s="28"/>
      <c r="K95" s="185"/>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row>
    <row r="96" spans="2:174" s="29" customFormat="1">
      <c r="B96" s="25"/>
      <c r="C96" s="32"/>
      <c r="D96" s="61"/>
      <c r="E96" s="96" t="s">
        <v>152</v>
      </c>
      <c r="F96" s="38"/>
      <c r="G96" s="75"/>
      <c r="H96" s="34"/>
      <c r="I96" s="27"/>
      <c r="J96" s="28"/>
      <c r="K96" s="185"/>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row>
    <row r="97" spans="2:174" s="29" customFormat="1">
      <c r="B97" s="25"/>
      <c r="C97" s="32"/>
      <c r="D97" s="61"/>
      <c r="E97" s="96" t="s">
        <v>27</v>
      </c>
      <c r="F97" s="38"/>
      <c r="G97" s="75"/>
      <c r="H97" s="34"/>
      <c r="I97" s="27"/>
      <c r="J97" s="28"/>
      <c r="K97" s="185"/>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row>
    <row r="98" spans="2:174" s="29" customFormat="1">
      <c r="B98" s="25"/>
      <c r="C98" s="32"/>
      <c r="D98" s="61"/>
      <c r="E98" s="96" t="s">
        <v>152</v>
      </c>
      <c r="F98" s="38"/>
      <c r="G98" s="75"/>
      <c r="H98" s="34"/>
      <c r="I98" s="27"/>
      <c r="J98" s="28"/>
      <c r="K98" s="185"/>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row>
    <row r="99" spans="2:174" s="29" customFormat="1">
      <c r="B99" s="25"/>
      <c r="C99" s="32"/>
      <c r="D99" s="61"/>
      <c r="E99" s="96" t="s">
        <v>28</v>
      </c>
      <c r="F99" s="38"/>
      <c r="G99" s="75"/>
      <c r="H99" s="34"/>
      <c r="I99" s="27"/>
      <c r="J99" s="28"/>
      <c r="K99" s="185"/>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row>
    <row r="100" spans="2:174" s="29" customFormat="1">
      <c r="B100" s="25"/>
      <c r="C100" s="32"/>
      <c r="D100" s="61"/>
      <c r="E100" s="96" t="s">
        <v>152</v>
      </c>
      <c r="F100" s="38"/>
      <c r="G100" s="75"/>
      <c r="H100" s="34"/>
      <c r="I100" s="27"/>
      <c r="J100" s="28"/>
      <c r="K100" s="185"/>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row>
    <row r="101" spans="2:174" s="29" customFormat="1">
      <c r="B101" s="25"/>
      <c r="C101" s="32"/>
      <c r="D101" s="61"/>
      <c r="E101" s="96" t="s">
        <v>156</v>
      </c>
      <c r="F101" s="106"/>
      <c r="G101" s="75"/>
      <c r="H101" s="34"/>
      <c r="I101" s="27"/>
      <c r="J101" s="28"/>
      <c r="K101" s="185"/>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28"/>
      <c r="FL101" s="28"/>
      <c r="FM101" s="28"/>
      <c r="FN101" s="28"/>
      <c r="FO101" s="28"/>
      <c r="FP101" s="28"/>
      <c r="FQ101" s="28"/>
      <c r="FR101" s="28"/>
    </row>
    <row r="102" spans="2:174" s="29" customFormat="1">
      <c r="B102" s="25"/>
      <c r="C102" s="32"/>
      <c r="D102" s="61"/>
      <c r="E102" s="97"/>
      <c r="F102" s="70"/>
      <c r="G102" s="75"/>
      <c r="H102" s="34"/>
      <c r="I102" s="27"/>
      <c r="J102" s="28"/>
      <c r="K102" s="185"/>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28"/>
      <c r="FL102" s="28"/>
      <c r="FM102" s="28"/>
      <c r="FN102" s="28"/>
      <c r="FO102" s="28"/>
      <c r="FP102" s="28"/>
      <c r="FQ102" s="28"/>
      <c r="FR102" s="28"/>
    </row>
    <row r="103" spans="2:174" s="29" customFormat="1">
      <c r="B103" s="25"/>
      <c r="C103" s="32"/>
      <c r="D103" s="61"/>
      <c r="E103" s="105" t="s">
        <v>153</v>
      </c>
      <c r="F103" s="70"/>
      <c r="G103" s="75"/>
      <c r="H103" s="34"/>
      <c r="I103" s="27"/>
      <c r="J103" s="28"/>
      <c r="K103" s="185"/>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row>
    <row r="104" spans="2:174" s="29" customFormat="1">
      <c r="B104" s="25"/>
      <c r="C104" s="32"/>
      <c r="D104" s="61"/>
      <c r="E104" s="92" t="s">
        <v>151</v>
      </c>
      <c r="F104" s="38"/>
      <c r="G104" s="75"/>
      <c r="H104" s="34"/>
      <c r="I104" s="27"/>
      <c r="J104" s="28"/>
      <c r="K104" s="185"/>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row>
    <row r="105" spans="2:174" s="29" customFormat="1">
      <c r="B105" s="25"/>
      <c r="C105" s="32"/>
      <c r="D105" s="61">
        <f>D94+1</f>
        <v>26</v>
      </c>
      <c r="E105" s="65" t="s">
        <v>155</v>
      </c>
      <c r="F105" s="104"/>
      <c r="G105" s="75"/>
      <c r="H105" s="34"/>
      <c r="I105" s="27"/>
      <c r="J105" s="28"/>
      <c r="K105" s="185"/>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c r="FM105" s="28"/>
      <c r="FN105" s="28"/>
      <c r="FO105" s="28"/>
      <c r="FP105" s="28"/>
      <c r="FQ105" s="28"/>
      <c r="FR105" s="28"/>
    </row>
    <row r="106" spans="2:174" s="29" customFormat="1">
      <c r="B106" s="25"/>
      <c r="C106" s="32"/>
      <c r="D106" s="61"/>
      <c r="E106" s="96" t="s">
        <v>26</v>
      </c>
      <c r="F106" s="38"/>
      <c r="G106" s="75"/>
      <c r="H106" s="34"/>
      <c r="I106" s="27"/>
      <c r="J106" s="28"/>
      <c r="K106" s="185"/>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row>
    <row r="107" spans="2:174" s="29" customFormat="1">
      <c r="B107" s="25"/>
      <c r="C107" s="32"/>
      <c r="D107" s="61"/>
      <c r="E107" s="96" t="s">
        <v>152</v>
      </c>
      <c r="F107" s="38"/>
      <c r="G107" s="75"/>
      <c r="H107" s="34"/>
      <c r="I107" s="27"/>
      <c r="J107" s="28"/>
      <c r="K107" s="185"/>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c r="FJ107" s="28"/>
      <c r="FK107" s="28"/>
      <c r="FL107" s="28"/>
      <c r="FM107" s="28"/>
      <c r="FN107" s="28"/>
      <c r="FO107" s="28"/>
      <c r="FP107" s="28"/>
      <c r="FQ107" s="28"/>
      <c r="FR107" s="28"/>
    </row>
    <row r="108" spans="2:174" s="29" customFormat="1">
      <c r="B108" s="25"/>
      <c r="C108" s="32"/>
      <c r="D108" s="61"/>
      <c r="E108" s="96" t="s">
        <v>27</v>
      </c>
      <c r="F108" s="38"/>
      <c r="G108" s="75"/>
      <c r="H108" s="34"/>
      <c r="I108" s="27"/>
      <c r="J108" s="28"/>
      <c r="K108" s="185"/>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c r="FM108" s="28"/>
      <c r="FN108" s="28"/>
      <c r="FO108" s="28"/>
      <c r="FP108" s="28"/>
      <c r="FQ108" s="28"/>
      <c r="FR108" s="28"/>
    </row>
    <row r="109" spans="2:174" s="29" customFormat="1">
      <c r="B109" s="25"/>
      <c r="C109" s="32"/>
      <c r="D109" s="61"/>
      <c r="E109" s="96" t="s">
        <v>152</v>
      </c>
      <c r="F109" s="38"/>
      <c r="G109" s="75"/>
      <c r="H109" s="34"/>
      <c r="I109" s="27"/>
      <c r="J109" s="28"/>
      <c r="K109" s="185"/>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row>
    <row r="110" spans="2:174" s="29" customFormat="1">
      <c r="B110" s="25"/>
      <c r="C110" s="32"/>
      <c r="D110" s="61"/>
      <c r="E110" s="96" t="s">
        <v>28</v>
      </c>
      <c r="F110" s="38"/>
      <c r="G110" s="75"/>
      <c r="H110" s="34"/>
      <c r="I110" s="27"/>
      <c r="J110" s="28"/>
      <c r="K110" s="185"/>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row>
    <row r="111" spans="2:174" s="29" customFormat="1">
      <c r="B111" s="25"/>
      <c r="C111" s="32"/>
      <c r="D111" s="61"/>
      <c r="E111" s="96" t="s">
        <v>152</v>
      </c>
      <c r="F111" s="38"/>
      <c r="G111" s="75"/>
      <c r="H111" s="34"/>
      <c r="I111" s="27"/>
      <c r="J111" s="28"/>
      <c r="K111" s="185"/>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row>
    <row r="112" spans="2:174" s="29" customFormat="1">
      <c r="B112" s="25"/>
      <c r="C112" s="32"/>
      <c r="D112" s="61"/>
      <c r="E112" s="96" t="s">
        <v>156</v>
      </c>
      <c r="F112" s="106"/>
      <c r="G112" s="75"/>
      <c r="H112" s="34"/>
      <c r="I112" s="27"/>
      <c r="J112" s="28"/>
      <c r="K112" s="185"/>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c r="FJ112" s="28"/>
      <c r="FK112" s="28"/>
      <c r="FL112" s="28"/>
      <c r="FM112" s="28"/>
      <c r="FN112" s="28"/>
      <c r="FO112" s="28"/>
      <c r="FP112" s="28"/>
      <c r="FQ112" s="28"/>
      <c r="FR112" s="28"/>
    </row>
    <row r="113" spans="2:174" s="29" customFormat="1" ht="17" thickBot="1">
      <c r="B113" s="25"/>
      <c r="C113" s="32"/>
      <c r="D113" s="66"/>
      <c r="E113" s="98"/>
      <c r="F113" s="79"/>
      <c r="G113" s="80"/>
      <c r="H113" s="34"/>
      <c r="I113" s="27"/>
      <c r="J113" s="28"/>
      <c r="K113" s="185"/>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c r="FO113" s="28"/>
      <c r="FP113" s="28"/>
      <c r="FQ113" s="28"/>
      <c r="FR113" s="28"/>
    </row>
    <row r="114" spans="2:174" s="29" customFormat="1">
      <c r="B114" s="25"/>
      <c r="C114" s="32"/>
      <c r="D114" s="54"/>
      <c r="E114" s="191"/>
      <c r="F114" s="39"/>
      <c r="G114" s="26"/>
      <c r="H114" s="34"/>
      <c r="I114" s="27"/>
      <c r="J114" s="28"/>
      <c r="K114" s="185"/>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c r="FJ114" s="28"/>
      <c r="FK114" s="28"/>
      <c r="FL114" s="28"/>
      <c r="FM114" s="28"/>
      <c r="FN114" s="28"/>
      <c r="FO114" s="28"/>
      <c r="FP114" s="28"/>
      <c r="FQ114" s="28"/>
      <c r="FR114" s="28"/>
    </row>
    <row r="115" spans="2:174" s="29" customFormat="1" ht="17" thickBot="1">
      <c r="B115" s="25"/>
      <c r="C115" s="32"/>
      <c r="D115" s="54"/>
      <c r="E115" s="94" t="s">
        <v>146</v>
      </c>
      <c r="F115" s="39"/>
      <c r="G115" s="26"/>
      <c r="H115" s="34"/>
      <c r="I115" s="27"/>
      <c r="J115" s="28"/>
      <c r="K115" s="185"/>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row>
    <row r="116" spans="2:174" s="29" customFormat="1" ht="18" customHeight="1">
      <c r="B116" s="25"/>
      <c r="C116" s="32"/>
      <c r="D116" s="57">
        <f>D105+1</f>
        <v>27</v>
      </c>
      <c r="E116" s="68" t="s">
        <v>118</v>
      </c>
      <c r="F116" s="69"/>
      <c r="G116" s="81"/>
      <c r="H116" s="34"/>
      <c r="I116" s="27"/>
      <c r="J116" s="28"/>
      <c r="K116" s="185"/>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row>
    <row r="117" spans="2:174" s="29" customFormat="1">
      <c r="B117" s="25"/>
      <c r="C117" s="32"/>
      <c r="D117" s="61"/>
      <c r="E117" s="74" t="s">
        <v>142</v>
      </c>
      <c r="F117" s="38"/>
      <c r="G117" s="75"/>
      <c r="H117" s="34"/>
      <c r="I117" s="27"/>
      <c r="J117" s="28"/>
      <c r="K117" s="185"/>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c r="FO117" s="28"/>
      <c r="FP117" s="28"/>
      <c r="FQ117" s="28"/>
      <c r="FR117" s="28"/>
    </row>
    <row r="118" spans="2:174" s="29" customFormat="1" ht="18" customHeight="1">
      <c r="B118" s="25"/>
      <c r="C118" s="32"/>
      <c r="D118" s="61">
        <f>D116+1</f>
        <v>28</v>
      </c>
      <c r="E118" s="63" t="s">
        <v>119</v>
      </c>
      <c r="F118" s="70"/>
      <c r="G118" s="75"/>
      <c r="H118" s="34"/>
      <c r="I118" s="27"/>
      <c r="J118" s="28"/>
      <c r="K118" s="185"/>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row>
    <row r="119" spans="2:174" s="29" customFormat="1">
      <c r="B119" s="25"/>
      <c r="C119" s="32"/>
      <c r="D119" s="61"/>
      <c r="E119" s="74" t="s">
        <v>123</v>
      </c>
      <c r="F119" s="38"/>
      <c r="G119" s="75"/>
      <c r="H119" s="34"/>
      <c r="I119" s="27"/>
      <c r="J119" s="28"/>
      <c r="K119" s="185"/>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c r="FO119" s="28"/>
      <c r="FP119" s="28"/>
      <c r="FQ119" s="28"/>
      <c r="FR119" s="28"/>
    </row>
    <row r="120" spans="2:174" s="29" customFormat="1" ht="18" customHeight="1">
      <c r="B120" s="25"/>
      <c r="C120" s="32"/>
      <c r="D120" s="61">
        <f>D118+1</f>
        <v>29</v>
      </c>
      <c r="E120" s="65" t="str">
        <f>"What is the family name of the project's lead Global Mission Pioneer, "&amp;$F$119&amp;"?"</f>
        <v>What is the family name of the project's lead Global Mission Pioneer, ?</v>
      </c>
      <c r="F120" s="70"/>
      <c r="G120" s="75"/>
      <c r="H120" s="34"/>
      <c r="I120" s="27"/>
      <c r="J120" s="28"/>
      <c r="K120" s="185"/>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row>
    <row r="121" spans="2:174" s="29" customFormat="1">
      <c r="B121" s="25"/>
      <c r="C121" s="32"/>
      <c r="D121" s="61"/>
      <c r="E121" s="74" t="s">
        <v>122</v>
      </c>
      <c r="F121" s="38"/>
      <c r="G121" s="75"/>
      <c r="H121" s="34"/>
      <c r="I121" s="27"/>
      <c r="J121" s="28"/>
      <c r="K121" s="185"/>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c r="FO121" s="28"/>
      <c r="FP121" s="28"/>
      <c r="FQ121" s="28"/>
      <c r="FR121" s="28"/>
    </row>
    <row r="122" spans="2:174" s="29" customFormat="1">
      <c r="B122" s="25"/>
      <c r="C122" s="32"/>
      <c r="D122" s="61">
        <f>D120+1</f>
        <v>30</v>
      </c>
      <c r="E122" s="65" t="str">
        <f>"What is "&amp;$F$119&amp;" "&amp;$F$121&amp;"'s gender?"</f>
        <v>What is  's gender?</v>
      </c>
      <c r="F122" s="70"/>
      <c r="G122" s="75"/>
      <c r="H122" s="34"/>
      <c r="I122" s="27"/>
      <c r="J122" s="28"/>
      <c r="K122" s="185"/>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c r="FO122" s="28"/>
      <c r="FP122" s="28"/>
      <c r="FQ122" s="28"/>
      <c r="FR122" s="28"/>
    </row>
    <row r="123" spans="2:174" s="29" customFormat="1">
      <c r="B123" s="25"/>
      <c r="C123" s="32"/>
      <c r="D123" s="61"/>
      <c r="E123" s="74"/>
      <c r="F123" s="38"/>
      <c r="G123" s="75"/>
      <c r="H123" s="34"/>
      <c r="I123" s="27"/>
      <c r="J123" s="28"/>
      <c r="K123" s="185"/>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28"/>
      <c r="FK123" s="28"/>
      <c r="FL123" s="28"/>
      <c r="FM123" s="28"/>
      <c r="FN123" s="28"/>
      <c r="FO123" s="28"/>
      <c r="FP123" s="28"/>
      <c r="FQ123" s="28"/>
      <c r="FR123" s="28"/>
    </row>
    <row r="124" spans="2:174" s="29" customFormat="1" ht="18" customHeight="1">
      <c r="B124" s="25"/>
      <c r="C124" s="32"/>
      <c r="D124" s="61">
        <f>D122+1</f>
        <v>31</v>
      </c>
      <c r="E124" s="65" t="str">
        <f>"What is "&amp;$F$119&amp;" "&amp;$F$121&amp;"'s e-mail address?"</f>
        <v>What is  's e-mail address?</v>
      </c>
      <c r="F124" s="64"/>
      <c r="G124" s="75"/>
      <c r="H124" s="34"/>
      <c r="I124" s="27"/>
      <c r="J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c r="FM124" s="28"/>
      <c r="FN124" s="28"/>
      <c r="FO124" s="28"/>
      <c r="FP124" s="28"/>
      <c r="FQ124" s="28"/>
      <c r="FR124" s="28"/>
    </row>
    <row r="125" spans="2:174" s="29" customFormat="1">
      <c r="B125" s="25"/>
      <c r="C125" s="32"/>
      <c r="D125" s="61"/>
      <c r="E125" s="107" t="s">
        <v>124</v>
      </c>
      <c r="F125" s="38"/>
      <c r="G125" s="75"/>
      <c r="H125" s="34"/>
      <c r="I125" s="27"/>
      <c r="J125" s="28"/>
      <c r="K125" s="185"/>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c r="FI125" s="28"/>
      <c r="FJ125" s="28"/>
      <c r="FK125" s="28"/>
      <c r="FL125" s="28"/>
      <c r="FM125" s="28"/>
      <c r="FN125" s="28"/>
      <c r="FO125" s="28"/>
      <c r="FP125" s="28"/>
      <c r="FQ125" s="28"/>
      <c r="FR125" s="28"/>
    </row>
    <row r="126" spans="2:174" s="29" customFormat="1" ht="18" customHeight="1">
      <c r="B126" s="25"/>
      <c r="C126" s="32"/>
      <c r="D126" s="61">
        <f>D124+1</f>
        <v>32</v>
      </c>
      <c r="E126" s="65" t="str">
        <f>"What is "&amp;$F$119&amp;" "&amp;$F$121&amp;"'s mobile phone number?"</f>
        <v>What is  's mobile phone number?</v>
      </c>
      <c r="F126" s="64"/>
      <c r="G126" s="75"/>
      <c r="H126" s="34"/>
      <c r="I126" s="27"/>
      <c r="J126" s="28"/>
      <c r="K126" s="185"/>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c r="FJ126" s="28"/>
      <c r="FK126" s="28"/>
      <c r="FL126" s="28"/>
      <c r="FM126" s="28"/>
      <c r="FN126" s="28"/>
      <c r="FO126" s="28"/>
      <c r="FP126" s="28"/>
      <c r="FQ126" s="28"/>
      <c r="FR126" s="28"/>
    </row>
    <row r="127" spans="2:174" s="29" customFormat="1">
      <c r="B127" s="25"/>
      <c r="C127" s="32"/>
      <c r="D127" s="61"/>
      <c r="E127" s="107" t="s">
        <v>125</v>
      </c>
      <c r="F127" s="109"/>
      <c r="G127" s="75"/>
      <c r="H127" s="34"/>
      <c r="I127" s="27"/>
      <c r="J127" s="28"/>
      <c r="K127" s="185"/>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c r="FG127" s="28"/>
      <c r="FH127" s="28"/>
      <c r="FI127" s="28"/>
      <c r="FJ127" s="28"/>
      <c r="FK127" s="28"/>
      <c r="FL127" s="28"/>
      <c r="FM127" s="28"/>
      <c r="FN127" s="28"/>
      <c r="FO127" s="28"/>
      <c r="FP127" s="28"/>
      <c r="FQ127" s="28"/>
      <c r="FR127" s="28"/>
    </row>
    <row r="128" spans="2:174" s="29" customFormat="1" ht="18" customHeight="1">
      <c r="B128" s="25"/>
      <c r="C128" s="32"/>
      <c r="D128" s="61">
        <f>D126+1</f>
        <v>33</v>
      </c>
      <c r="E128" s="65" t="str">
        <f>"Is the "&amp;$F$119&amp;" "&amp;$F$121&amp;" a contract or regularized employee? (please select from the list below)"</f>
        <v>Is the   a contract or regularized employee? (please select from the list below)</v>
      </c>
      <c r="F128" s="64"/>
      <c r="G128" s="75"/>
      <c r="H128" s="34"/>
      <c r="I128" s="27"/>
      <c r="J128" s="28"/>
      <c r="K128" s="185"/>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c r="FO128" s="28"/>
      <c r="FP128" s="28"/>
      <c r="FQ128" s="28"/>
      <c r="FR128" s="28"/>
    </row>
    <row r="129" spans="2:174" s="29" customFormat="1">
      <c r="B129" s="25"/>
      <c r="C129" s="32"/>
      <c r="D129" s="61"/>
      <c r="E129" s="108" t="s">
        <v>138</v>
      </c>
      <c r="F129" s="38"/>
      <c r="G129" s="75"/>
      <c r="H129" s="34"/>
      <c r="I129" s="27"/>
      <c r="J129" s="28"/>
      <c r="K129" s="185"/>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28"/>
      <c r="FD129" s="28"/>
      <c r="FE129" s="28"/>
      <c r="FF129" s="28"/>
      <c r="FG129" s="28"/>
      <c r="FH129" s="28"/>
      <c r="FI129" s="28"/>
      <c r="FJ129" s="28"/>
      <c r="FK129" s="28"/>
      <c r="FL129" s="28"/>
      <c r="FM129" s="28"/>
      <c r="FN129" s="28"/>
      <c r="FO129" s="28"/>
      <c r="FP129" s="28"/>
      <c r="FQ129" s="28"/>
      <c r="FR129" s="28"/>
    </row>
    <row r="130" spans="2:174" s="29" customFormat="1" ht="18" customHeight="1">
      <c r="B130" s="25"/>
      <c r="C130" s="32"/>
      <c r="D130" s="61">
        <f>D128+1</f>
        <v>34</v>
      </c>
      <c r="E130" s="65" t="str">
        <f>"How many years have they worked: 1) as a Pioneer OR 2) since being regularized (whichever is LESS)"</f>
        <v>How many years have they worked: 1) as a Pioneer OR 2) since being regularized (whichever is LESS)</v>
      </c>
      <c r="F130" s="64"/>
      <c r="G130" s="75"/>
      <c r="H130" s="34"/>
      <c r="I130" s="27"/>
      <c r="J130" s="28"/>
      <c r="K130" s="185"/>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c r="FI130" s="28"/>
      <c r="FJ130" s="28"/>
      <c r="FK130" s="28"/>
      <c r="FL130" s="28"/>
      <c r="FM130" s="28"/>
      <c r="FN130" s="28"/>
      <c r="FO130" s="28"/>
      <c r="FP130" s="28"/>
      <c r="FQ130" s="28"/>
      <c r="FR130" s="28"/>
    </row>
    <row r="131" spans="2:174" s="29" customFormat="1">
      <c r="B131" s="25"/>
      <c r="C131" s="32"/>
      <c r="D131" s="61"/>
      <c r="E131" s="86" t="s">
        <v>130</v>
      </c>
      <c r="F131" s="38"/>
      <c r="G131" s="75"/>
      <c r="H131" s="34"/>
      <c r="I131" s="27"/>
      <c r="J131" s="28"/>
      <c r="K131" s="185"/>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c r="FO131" s="28"/>
      <c r="FP131" s="28"/>
      <c r="FQ131" s="28"/>
      <c r="FR131" s="28"/>
    </row>
    <row r="132" spans="2:174" s="29" customFormat="1" ht="18" customHeight="1">
      <c r="B132" s="25"/>
      <c r="C132" s="32"/>
      <c r="D132" s="61">
        <f>D130+1</f>
        <v>35</v>
      </c>
      <c r="E132" s="65" t="str">
        <f>"What is the education level of "&amp;$F$119&amp;" "&amp;$F$121&amp;"? (please select from the list below)"</f>
        <v>What is the education level of  ? (please select from the list below)</v>
      </c>
      <c r="F132" s="64"/>
      <c r="G132" s="75"/>
      <c r="H132" s="34"/>
      <c r="I132" s="27"/>
      <c r="J132" s="28"/>
      <c r="K132" s="185"/>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c r="FJ132" s="28"/>
      <c r="FK132" s="28"/>
      <c r="FL132" s="28"/>
      <c r="FM132" s="28"/>
      <c r="FN132" s="28"/>
      <c r="FO132" s="28"/>
      <c r="FP132" s="28"/>
      <c r="FQ132" s="28"/>
      <c r="FR132" s="28"/>
    </row>
    <row r="133" spans="2:174" s="29" customFormat="1">
      <c r="B133" s="25"/>
      <c r="C133" s="32"/>
      <c r="D133" s="61"/>
      <c r="E133" s="86" t="s">
        <v>131</v>
      </c>
      <c r="F133" s="38"/>
      <c r="G133" s="75"/>
      <c r="H133" s="34"/>
      <c r="I133" s="27"/>
      <c r="J133" s="28"/>
      <c r="K133" s="185"/>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c r="FI133" s="28"/>
      <c r="FJ133" s="28"/>
      <c r="FK133" s="28"/>
      <c r="FL133" s="28"/>
      <c r="FM133" s="28"/>
      <c r="FN133" s="28"/>
      <c r="FO133" s="28"/>
      <c r="FP133" s="28"/>
      <c r="FQ133" s="28"/>
      <c r="FR133" s="28"/>
    </row>
    <row r="134" spans="2:174" s="29" customFormat="1">
      <c r="B134" s="25"/>
      <c r="C134" s="32"/>
      <c r="D134" s="61"/>
      <c r="E134" s="65"/>
      <c r="F134" s="64"/>
      <c r="G134" s="75"/>
      <c r="H134" s="34"/>
      <c r="I134" s="27"/>
      <c r="J134" s="28"/>
      <c r="K134" s="185"/>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8"/>
      <c r="FJ134" s="28"/>
      <c r="FK134" s="28"/>
      <c r="FL134" s="28"/>
      <c r="FM134" s="28"/>
      <c r="FN134" s="28"/>
      <c r="FO134" s="28"/>
      <c r="FP134" s="28"/>
      <c r="FQ134" s="28"/>
      <c r="FR134" s="28"/>
    </row>
    <row r="135" spans="2:174" s="29" customFormat="1">
      <c r="B135" s="25"/>
      <c r="C135" s="32"/>
      <c r="D135" s="61"/>
      <c r="E135" s="92" t="str">
        <f>"If the project has two Global Mission Pioneers working with the project exclusively, please complete "&amp;$D$136&amp;"-"&amp;D146&amp;"."</f>
        <v>If the project has two Global Mission Pioneers working with the project exclusively, please complete 36-43.</v>
      </c>
      <c r="F135" s="64"/>
      <c r="G135" s="75"/>
      <c r="H135" s="34"/>
      <c r="I135" s="27"/>
      <c r="J135" s="28"/>
      <c r="K135" s="185"/>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c r="FO135" s="28"/>
      <c r="FP135" s="28"/>
      <c r="FQ135" s="28"/>
      <c r="FR135" s="28"/>
    </row>
    <row r="136" spans="2:174" s="29" customFormat="1" ht="18" customHeight="1">
      <c r="B136" s="25"/>
      <c r="C136" s="32"/>
      <c r="D136" s="61">
        <f>D132+1</f>
        <v>36</v>
      </c>
      <c r="E136" s="63" t="s">
        <v>158</v>
      </c>
      <c r="F136" s="70"/>
      <c r="G136" s="75"/>
      <c r="H136" s="34"/>
      <c r="I136" s="27"/>
      <c r="J136" s="28"/>
      <c r="K136" s="185"/>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row>
    <row r="137" spans="2:174" s="29" customFormat="1">
      <c r="B137" s="25"/>
      <c r="C137" s="32"/>
      <c r="D137" s="61"/>
      <c r="E137" s="74" t="s">
        <v>126</v>
      </c>
      <c r="F137" s="38"/>
      <c r="G137" s="75"/>
      <c r="H137" s="34"/>
      <c r="I137" s="27"/>
      <c r="J137" s="28"/>
      <c r="K137" s="185"/>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c r="FO137" s="28"/>
      <c r="FP137" s="28"/>
      <c r="FQ137" s="28"/>
      <c r="FR137" s="28"/>
    </row>
    <row r="138" spans="2:174" s="29" customFormat="1" ht="18" customHeight="1">
      <c r="B138" s="25"/>
      <c r="C138" s="32"/>
      <c r="D138" s="61">
        <f>D136+1</f>
        <v>37</v>
      </c>
      <c r="E138" s="65" t="str">
        <f>"What is the family name of the project's lead Global Mission Pioneer, "&amp;$F$137&amp;"?"</f>
        <v>What is the family name of the project's lead Global Mission Pioneer, ?</v>
      </c>
      <c r="F138" s="70"/>
      <c r="G138" s="75"/>
      <c r="H138" s="34"/>
      <c r="I138" s="27"/>
      <c r="J138" s="28"/>
      <c r="K138" s="185"/>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c r="FJ138" s="28"/>
      <c r="FK138" s="28"/>
      <c r="FL138" s="28"/>
      <c r="FM138" s="28"/>
      <c r="FN138" s="28"/>
      <c r="FO138" s="28"/>
      <c r="FP138" s="28"/>
      <c r="FQ138" s="28"/>
      <c r="FR138" s="28"/>
    </row>
    <row r="139" spans="2:174" s="29" customFormat="1">
      <c r="B139" s="25"/>
      <c r="C139" s="32"/>
      <c r="D139" s="61"/>
      <c r="E139" s="74" t="s">
        <v>127</v>
      </c>
      <c r="F139" s="38"/>
      <c r="G139" s="75"/>
      <c r="H139" s="34"/>
      <c r="I139" s="27"/>
      <c r="J139" s="28"/>
      <c r="K139" s="185"/>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row>
    <row r="140" spans="2:174" s="29" customFormat="1">
      <c r="B140" s="25"/>
      <c r="C140" s="32"/>
      <c r="D140" s="61">
        <f>D138+1</f>
        <v>38</v>
      </c>
      <c r="E140" s="65" t="str">
        <f>"What is "&amp;$F$137&amp;" "&amp;$F$139&amp;"'s gender?"</f>
        <v>What is  's gender?</v>
      </c>
      <c r="F140" s="70"/>
      <c r="G140" s="75"/>
      <c r="H140" s="34"/>
      <c r="I140" s="27"/>
      <c r="J140" s="28"/>
      <c r="K140" s="185"/>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row>
    <row r="141" spans="2:174" s="29" customFormat="1">
      <c r="B141" s="25"/>
      <c r="C141" s="32"/>
      <c r="D141" s="61"/>
      <c r="E141" s="74"/>
      <c r="F141" s="38"/>
      <c r="G141" s="75"/>
      <c r="H141" s="34"/>
      <c r="I141" s="27"/>
      <c r="J141" s="28"/>
      <c r="K141" s="185"/>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c r="FO141" s="28"/>
      <c r="FP141" s="28"/>
      <c r="FQ141" s="28"/>
      <c r="FR141" s="28"/>
    </row>
    <row r="142" spans="2:174" s="29" customFormat="1" ht="18" customHeight="1">
      <c r="B142" s="25"/>
      <c r="C142" s="32"/>
      <c r="D142" s="61">
        <f>D140+1</f>
        <v>39</v>
      </c>
      <c r="E142" s="65" t="str">
        <f>"What is "&amp;$F$137&amp;" "&amp;$F$139&amp;"'s e-mail address?"</f>
        <v>What is  's e-mail address?</v>
      </c>
      <c r="F142" s="64"/>
      <c r="G142" s="75"/>
      <c r="H142" s="34"/>
      <c r="I142" s="27"/>
      <c r="J142" s="28"/>
      <c r="K142" s="185"/>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c r="FJ142" s="28"/>
      <c r="FK142" s="28"/>
      <c r="FL142" s="28"/>
      <c r="FM142" s="28"/>
      <c r="FN142" s="28"/>
      <c r="FO142" s="28"/>
      <c r="FP142" s="28"/>
      <c r="FQ142" s="28"/>
      <c r="FR142" s="28"/>
    </row>
    <row r="143" spans="2:174" s="29" customFormat="1">
      <c r="B143" s="25"/>
      <c r="C143" s="32"/>
      <c r="D143" s="61"/>
      <c r="E143" s="107" t="s">
        <v>128</v>
      </c>
      <c r="F143" s="38"/>
      <c r="G143" s="75"/>
      <c r="H143" s="34"/>
      <c r="I143" s="27"/>
      <c r="J143" s="28"/>
      <c r="K143" s="185"/>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row>
    <row r="144" spans="2:174" s="29" customFormat="1" ht="18" customHeight="1">
      <c r="B144" s="25"/>
      <c r="C144" s="32"/>
      <c r="D144" s="61">
        <f>D142+1</f>
        <v>40</v>
      </c>
      <c r="E144" s="65" t="str">
        <f>"What is "&amp;$F$137&amp;" "&amp;$F$139&amp;"'s mobile phone number?"</f>
        <v>What is  's mobile phone number?</v>
      </c>
      <c r="F144" s="64"/>
      <c r="G144" s="75"/>
      <c r="H144" s="34"/>
      <c r="I144" s="27"/>
      <c r="J144" s="28"/>
      <c r="K144" s="185"/>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8"/>
      <c r="FJ144" s="28"/>
      <c r="FK144" s="28"/>
      <c r="FL144" s="28"/>
      <c r="FM144" s="28"/>
      <c r="FN144" s="28"/>
      <c r="FO144" s="28"/>
      <c r="FP144" s="28"/>
      <c r="FQ144" s="28"/>
      <c r="FR144" s="28"/>
    </row>
    <row r="145" spans="2:174" s="29" customFormat="1">
      <c r="B145" s="25"/>
      <c r="C145" s="32"/>
      <c r="D145" s="61"/>
      <c r="E145" s="107" t="s">
        <v>129</v>
      </c>
      <c r="F145" s="109"/>
      <c r="G145" s="75"/>
      <c r="H145" s="34"/>
      <c r="I145" s="27"/>
      <c r="J145" s="28"/>
      <c r="K145" s="185"/>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c r="EO145" s="28"/>
      <c r="EP145" s="28"/>
      <c r="EQ145" s="28"/>
      <c r="ER145" s="28"/>
      <c r="ES145" s="28"/>
      <c r="ET145" s="28"/>
      <c r="EU145" s="28"/>
      <c r="EV145" s="28"/>
      <c r="EW145" s="28"/>
      <c r="EX145" s="28"/>
      <c r="EY145" s="28"/>
      <c r="EZ145" s="28"/>
      <c r="FA145" s="28"/>
      <c r="FB145" s="28"/>
      <c r="FC145" s="28"/>
      <c r="FD145" s="28"/>
      <c r="FE145" s="28"/>
      <c r="FF145" s="28"/>
      <c r="FG145" s="28"/>
      <c r="FH145" s="28"/>
      <c r="FI145" s="28"/>
      <c r="FJ145" s="28"/>
      <c r="FK145" s="28"/>
      <c r="FL145" s="28"/>
      <c r="FM145" s="28"/>
      <c r="FN145" s="28"/>
      <c r="FO145" s="28"/>
      <c r="FP145" s="28"/>
      <c r="FQ145" s="28"/>
      <c r="FR145" s="28"/>
    </row>
    <row r="146" spans="2:174" s="29" customFormat="1" ht="18" customHeight="1">
      <c r="B146" s="25"/>
      <c r="C146" s="32"/>
      <c r="D146" s="61">
        <f>D150+1</f>
        <v>43</v>
      </c>
      <c r="E146" s="65" t="str">
        <f>"Is "&amp;$F$137&amp;" "&amp;$F$139&amp;" a contract or regularized employee? (please select from the list below)"</f>
        <v>Is   a contract or regularized employee? (please select from the list below)</v>
      </c>
      <c r="F146" s="64"/>
      <c r="G146" s="75"/>
      <c r="H146" s="34"/>
      <c r="I146" s="27"/>
      <c r="J146" s="28"/>
      <c r="K146" s="185"/>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c r="ET146" s="28"/>
      <c r="EU146" s="28"/>
      <c r="EV146" s="28"/>
      <c r="EW146" s="28"/>
      <c r="EX146" s="28"/>
      <c r="EY146" s="28"/>
      <c r="EZ146" s="28"/>
      <c r="FA146" s="28"/>
      <c r="FB146" s="28"/>
      <c r="FC146" s="28"/>
      <c r="FD146" s="28"/>
      <c r="FE146" s="28"/>
      <c r="FF146" s="28"/>
      <c r="FG146" s="28"/>
      <c r="FH146" s="28"/>
      <c r="FI146" s="28"/>
      <c r="FJ146" s="28"/>
      <c r="FK146" s="28"/>
      <c r="FL146" s="28"/>
      <c r="FM146" s="28"/>
      <c r="FN146" s="28"/>
      <c r="FO146" s="28"/>
      <c r="FP146" s="28"/>
      <c r="FQ146" s="28"/>
      <c r="FR146" s="28"/>
    </row>
    <row r="147" spans="2:174" s="29" customFormat="1">
      <c r="B147" s="25"/>
      <c r="C147" s="32"/>
      <c r="D147" s="61"/>
      <c r="E147" s="108" t="s">
        <v>145</v>
      </c>
      <c r="F147" s="38"/>
      <c r="G147" s="75"/>
      <c r="H147" s="34"/>
      <c r="I147" s="27"/>
      <c r="J147" s="28"/>
      <c r="K147" s="185"/>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c r="FI147" s="28"/>
      <c r="FJ147" s="28"/>
      <c r="FK147" s="28"/>
      <c r="FL147" s="28"/>
      <c r="FM147" s="28"/>
      <c r="FN147" s="28"/>
      <c r="FO147" s="28"/>
      <c r="FP147" s="28"/>
      <c r="FQ147" s="28"/>
      <c r="FR147" s="28"/>
    </row>
    <row r="148" spans="2:174" s="29" customFormat="1" ht="18" customHeight="1">
      <c r="B148" s="25"/>
      <c r="C148" s="32"/>
      <c r="D148" s="61">
        <f>D144+1</f>
        <v>41</v>
      </c>
      <c r="E148" s="65" t="str">
        <f>"How many years have they worked: 1) as a Pioneer OR 2) since being regularized (whichever is LESS)"</f>
        <v>How many years have they worked: 1) as a Pioneer OR 2) since being regularized (whichever is LESS)</v>
      </c>
      <c r="F148" s="64"/>
      <c r="G148" s="75"/>
      <c r="H148" s="34"/>
      <c r="I148" s="27"/>
      <c r="J148" s="28"/>
      <c r="K148" s="185"/>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c r="FI148" s="28"/>
      <c r="FJ148" s="28"/>
      <c r="FK148" s="28"/>
      <c r="FL148" s="28"/>
      <c r="FM148" s="28"/>
      <c r="FN148" s="28"/>
      <c r="FO148" s="28"/>
      <c r="FP148" s="28"/>
      <c r="FQ148" s="28"/>
      <c r="FR148" s="28"/>
    </row>
    <row r="149" spans="2:174" s="29" customFormat="1">
      <c r="B149" s="25"/>
      <c r="C149" s="32"/>
      <c r="D149" s="61"/>
      <c r="E149" s="108" t="s">
        <v>143</v>
      </c>
      <c r="F149" s="38"/>
      <c r="G149" s="75"/>
      <c r="H149" s="34"/>
      <c r="I149" s="27"/>
      <c r="J149" s="28"/>
      <c r="K149" s="185"/>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c r="ET149" s="28"/>
      <c r="EU149" s="28"/>
      <c r="EV149" s="28"/>
      <c r="EW149" s="28"/>
      <c r="EX149" s="28"/>
      <c r="EY149" s="28"/>
      <c r="EZ149" s="28"/>
      <c r="FA149" s="28"/>
      <c r="FB149" s="28"/>
      <c r="FC149" s="28"/>
      <c r="FD149" s="28"/>
      <c r="FE149" s="28"/>
      <c r="FF149" s="28"/>
      <c r="FG149" s="28"/>
      <c r="FH149" s="28"/>
      <c r="FI149" s="28"/>
      <c r="FJ149" s="28"/>
      <c r="FK149" s="28"/>
      <c r="FL149" s="28"/>
      <c r="FM149" s="28"/>
      <c r="FN149" s="28"/>
      <c r="FO149" s="28"/>
      <c r="FP149" s="28"/>
      <c r="FQ149" s="28"/>
      <c r="FR149" s="28"/>
    </row>
    <row r="150" spans="2:174" s="29" customFormat="1" ht="18" customHeight="1">
      <c r="B150" s="25"/>
      <c r="C150" s="32"/>
      <c r="D150" s="61">
        <f>D148+1</f>
        <v>42</v>
      </c>
      <c r="E150" s="65" t="str">
        <f>"What is the education level of "&amp;$F$119&amp;" "&amp;$F$121&amp;"? (please select from the list below)"</f>
        <v>What is the education level of  ? (please select from the list below)</v>
      </c>
      <c r="F150" s="64"/>
      <c r="G150" s="75"/>
      <c r="H150" s="34"/>
      <c r="I150" s="27"/>
      <c r="J150" s="28"/>
      <c r="K150" s="185"/>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c r="EO150" s="28"/>
      <c r="EP150" s="28"/>
      <c r="EQ150" s="28"/>
      <c r="ER150" s="28"/>
      <c r="ES150" s="28"/>
      <c r="ET150" s="28"/>
      <c r="EU150" s="28"/>
      <c r="EV150" s="28"/>
      <c r="EW150" s="28"/>
      <c r="EX150" s="28"/>
      <c r="EY150" s="28"/>
      <c r="EZ150" s="28"/>
      <c r="FA150" s="28"/>
      <c r="FB150" s="28"/>
      <c r="FC150" s="28"/>
      <c r="FD150" s="28"/>
      <c r="FE150" s="28"/>
      <c r="FF150" s="28"/>
      <c r="FG150" s="28"/>
      <c r="FH150" s="28"/>
      <c r="FI150" s="28"/>
      <c r="FJ150" s="28"/>
      <c r="FK150" s="28"/>
      <c r="FL150" s="28"/>
      <c r="FM150" s="28"/>
      <c r="FN150" s="28"/>
      <c r="FO150" s="28"/>
      <c r="FP150" s="28"/>
      <c r="FQ150" s="28"/>
      <c r="FR150" s="28"/>
    </row>
    <row r="151" spans="2:174" s="29" customFormat="1">
      <c r="B151" s="25"/>
      <c r="C151" s="32"/>
      <c r="D151" s="61"/>
      <c r="E151" s="86" t="s">
        <v>144</v>
      </c>
      <c r="F151" s="38"/>
      <c r="G151" s="75"/>
      <c r="H151" s="34"/>
      <c r="I151" s="27"/>
      <c r="J151" s="28"/>
      <c r="K151" s="185"/>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c r="EO151" s="28"/>
      <c r="EP151" s="28"/>
      <c r="EQ151" s="28"/>
      <c r="ER151" s="28"/>
      <c r="ES151" s="28"/>
      <c r="ET151" s="28"/>
      <c r="EU151" s="28"/>
      <c r="EV151" s="28"/>
      <c r="EW151" s="28"/>
      <c r="EX151" s="28"/>
      <c r="EY151" s="28"/>
      <c r="EZ151" s="28"/>
      <c r="FA151" s="28"/>
      <c r="FB151" s="28"/>
      <c r="FC151" s="28"/>
      <c r="FD151" s="28"/>
      <c r="FE151" s="28"/>
      <c r="FF151" s="28"/>
      <c r="FG151" s="28"/>
      <c r="FH151" s="28"/>
      <c r="FI151" s="28"/>
      <c r="FJ151" s="28"/>
      <c r="FK151" s="28"/>
      <c r="FL151" s="28"/>
      <c r="FM151" s="28"/>
      <c r="FN151" s="28"/>
      <c r="FO151" s="28"/>
      <c r="FP151" s="28"/>
      <c r="FQ151" s="28"/>
      <c r="FR151" s="28"/>
    </row>
    <row r="152" spans="2:174" s="29" customFormat="1" ht="17" thickBot="1">
      <c r="B152" s="25"/>
      <c r="C152" s="32"/>
      <c r="D152" s="66"/>
      <c r="E152" s="93"/>
      <c r="F152" s="301"/>
      <c r="G152" s="80"/>
      <c r="H152" s="34"/>
      <c r="I152" s="27"/>
      <c r="J152" s="28"/>
      <c r="K152" s="185"/>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8"/>
      <c r="FJ152" s="28"/>
      <c r="FK152" s="28"/>
      <c r="FL152" s="28"/>
      <c r="FM152" s="28"/>
      <c r="FN152" s="28"/>
      <c r="FO152" s="28"/>
      <c r="FP152" s="28"/>
      <c r="FQ152" s="28"/>
      <c r="FR152" s="28"/>
    </row>
    <row r="153" spans="2:174" s="29" customFormat="1">
      <c r="B153" s="25"/>
      <c r="C153" s="32"/>
      <c r="D153" s="52"/>
      <c r="E153" s="44"/>
      <c r="F153" s="46"/>
      <c r="G153" s="76"/>
      <c r="H153" s="34"/>
      <c r="I153" s="27"/>
      <c r="J153" s="28"/>
      <c r="K153" s="185"/>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c r="EO153" s="28"/>
      <c r="EP153" s="28"/>
      <c r="EQ153" s="28"/>
      <c r="ER153" s="28"/>
      <c r="ES153" s="28"/>
      <c r="ET153" s="28"/>
      <c r="EU153" s="28"/>
      <c r="EV153" s="28"/>
      <c r="EW153" s="28"/>
      <c r="EX153" s="28"/>
      <c r="EY153" s="28"/>
      <c r="EZ153" s="28"/>
      <c r="FA153" s="28"/>
      <c r="FB153" s="28"/>
      <c r="FC153" s="28"/>
      <c r="FD153" s="28"/>
      <c r="FE153" s="28"/>
      <c r="FF153" s="28"/>
      <c r="FG153" s="28"/>
      <c r="FH153" s="28"/>
      <c r="FI153" s="28"/>
      <c r="FJ153" s="28"/>
      <c r="FK153" s="28"/>
      <c r="FL153" s="28"/>
      <c r="FM153" s="28"/>
      <c r="FN153" s="28"/>
      <c r="FO153" s="28"/>
      <c r="FP153" s="28"/>
      <c r="FQ153" s="28"/>
      <c r="FR153" s="28"/>
    </row>
    <row r="154" spans="2:174" s="29" customFormat="1" ht="17" thickBot="1">
      <c r="B154" s="25"/>
      <c r="C154" s="32"/>
      <c r="D154" s="53"/>
      <c r="E154" s="45" t="s">
        <v>96</v>
      </c>
      <c r="F154" s="77"/>
      <c r="G154" s="78"/>
      <c r="H154" s="34"/>
      <c r="I154" s="27"/>
      <c r="J154" s="28"/>
      <c r="K154" s="185"/>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28"/>
      <c r="FK154" s="28"/>
      <c r="FL154" s="28"/>
      <c r="FM154" s="28"/>
      <c r="FN154" s="28"/>
      <c r="FO154" s="28"/>
      <c r="FP154" s="28"/>
      <c r="FQ154" s="28"/>
      <c r="FR154" s="28"/>
    </row>
    <row r="155" spans="2:174" s="29" customFormat="1" ht="18" customHeight="1">
      <c r="B155" s="25"/>
      <c r="C155" s="32"/>
      <c r="D155" s="61">
        <f>D146+1</f>
        <v>44</v>
      </c>
      <c r="E155" s="65" t="str">
        <f>"What is the name of the "&amp;$F$24&amp;" coordinator for this project?"</f>
        <v>What is the name of the  coordinator for this project?</v>
      </c>
      <c r="F155" s="64"/>
      <c r="G155" s="75"/>
      <c r="H155" s="34"/>
      <c r="I155" s="27"/>
      <c r="J155" s="28"/>
      <c r="K155" s="185"/>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c r="FI155" s="28"/>
      <c r="FJ155" s="28"/>
      <c r="FK155" s="28"/>
      <c r="FL155" s="28"/>
      <c r="FM155" s="28"/>
      <c r="FN155" s="28"/>
      <c r="FO155" s="28"/>
      <c r="FP155" s="28"/>
      <c r="FQ155" s="28"/>
      <c r="FR155" s="28"/>
    </row>
    <row r="156" spans="2:174" s="29" customFormat="1">
      <c r="B156" s="25"/>
      <c r="C156" s="32"/>
      <c r="D156" s="61"/>
      <c r="E156" s="74" t="s">
        <v>93</v>
      </c>
      <c r="F156" s="38"/>
      <c r="G156" s="75"/>
      <c r="H156" s="34"/>
      <c r="I156" s="27"/>
      <c r="J156" s="28"/>
      <c r="K156" s="185"/>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c r="FJ156" s="28"/>
      <c r="FK156" s="28"/>
      <c r="FL156" s="28"/>
      <c r="FM156" s="28"/>
      <c r="FN156" s="28"/>
      <c r="FO156" s="28"/>
      <c r="FP156" s="28"/>
      <c r="FQ156" s="28"/>
      <c r="FR156" s="28"/>
    </row>
    <row r="157" spans="2:174" s="29" customFormat="1" ht="18" customHeight="1">
      <c r="B157" s="25"/>
      <c r="C157" s="32"/>
      <c r="D157" s="61">
        <f>D155+1</f>
        <v>45</v>
      </c>
      <c r="E157" s="65" t="str">
        <f>"What is the e-mail address of the "&amp;$F$24&amp;" coordinator for this project?"</f>
        <v>What is the e-mail address of the  coordinator for this project?</v>
      </c>
      <c r="F157" s="64"/>
      <c r="G157" s="75"/>
      <c r="H157" s="34"/>
      <c r="I157" s="27"/>
      <c r="J157" s="28"/>
      <c r="K157" s="185"/>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row>
    <row r="158" spans="2:174" s="29" customFormat="1">
      <c r="B158" s="25"/>
      <c r="C158" s="32"/>
      <c r="D158" s="61"/>
      <c r="E158" s="74" t="s">
        <v>94</v>
      </c>
      <c r="F158" s="38"/>
      <c r="G158" s="75"/>
      <c r="H158" s="34"/>
      <c r="I158" s="27"/>
      <c r="J158" s="28"/>
      <c r="K158" s="185"/>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
      <c r="FQ158" s="28"/>
      <c r="FR158" s="28"/>
    </row>
    <row r="159" spans="2:174" s="29" customFormat="1" ht="18" customHeight="1">
      <c r="B159" s="25"/>
      <c r="C159" s="32"/>
      <c r="D159" s="61">
        <f>D157+1</f>
        <v>46</v>
      </c>
      <c r="E159" s="65" t="str">
        <f>"What is the mobile phone number of the "&amp;$F$24&amp;" coordinator for this project (including country code)?"</f>
        <v>What is the mobile phone number of the  coordinator for this project (including country code)?</v>
      </c>
      <c r="F159" s="64"/>
      <c r="G159" s="75"/>
      <c r="H159" s="34"/>
      <c r="I159" s="27"/>
      <c r="J159" s="28"/>
      <c r="K159" s="185"/>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8"/>
      <c r="FQ159" s="28"/>
      <c r="FR159" s="28"/>
    </row>
    <row r="160" spans="2:174" s="29" customFormat="1">
      <c r="B160" s="25"/>
      <c r="C160" s="32"/>
      <c r="D160" s="61"/>
      <c r="E160" s="74" t="s">
        <v>95</v>
      </c>
      <c r="F160" s="95"/>
      <c r="G160" s="75"/>
      <c r="H160" s="34"/>
      <c r="I160" s="27"/>
      <c r="J160" s="28"/>
      <c r="K160" s="185"/>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8"/>
      <c r="FQ160" s="28"/>
      <c r="FR160" s="28"/>
    </row>
    <row r="161" spans="2:174" s="29" customFormat="1" ht="16" customHeight="1" thickBot="1">
      <c r="B161" s="25"/>
      <c r="C161" s="32"/>
      <c r="D161" s="66"/>
      <c r="E161" s="67"/>
      <c r="F161" s="79"/>
      <c r="G161" s="80"/>
      <c r="H161" s="34"/>
      <c r="I161" s="27"/>
      <c r="J161" s="28"/>
      <c r="K161" s="185"/>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c r="FI161" s="28"/>
      <c r="FJ161" s="28"/>
      <c r="FK161" s="28"/>
      <c r="FL161" s="28"/>
      <c r="FM161" s="28"/>
      <c r="FN161" s="28"/>
      <c r="FO161" s="28"/>
      <c r="FP161" s="28"/>
      <c r="FQ161" s="28"/>
      <c r="FR161" s="28"/>
    </row>
    <row r="162" spans="2:174" s="29" customFormat="1" ht="16" customHeight="1">
      <c r="B162" s="25"/>
      <c r="C162" s="32"/>
      <c r="D162" s="39"/>
      <c r="E162" s="39"/>
      <c r="F162" s="39"/>
      <c r="G162" s="39"/>
      <c r="H162" s="34"/>
      <c r="I162" s="27"/>
      <c r="J162" s="28"/>
      <c r="K162" s="185"/>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c r="FI162" s="28"/>
      <c r="FJ162" s="28"/>
      <c r="FK162" s="28"/>
      <c r="FL162" s="28"/>
      <c r="FM162" s="28"/>
      <c r="FN162" s="28"/>
      <c r="FO162" s="28"/>
      <c r="FP162" s="28"/>
      <c r="FQ162" s="28"/>
      <c r="FR162" s="28"/>
    </row>
    <row r="163" spans="2:174" s="29" customFormat="1" ht="16" customHeight="1" thickBot="1">
      <c r="B163" s="25"/>
      <c r="C163" s="32"/>
      <c r="D163" s="39"/>
      <c r="E163" s="39" t="s">
        <v>4985</v>
      </c>
      <c r="F163" s="39"/>
      <c r="G163" s="39"/>
      <c r="H163" s="34"/>
      <c r="I163" s="27"/>
      <c r="J163" s="28"/>
      <c r="K163" s="185"/>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c r="FI163" s="28"/>
      <c r="FJ163" s="28"/>
      <c r="FK163" s="28"/>
      <c r="FL163" s="28"/>
      <c r="FM163" s="28"/>
      <c r="FN163" s="28"/>
      <c r="FO163" s="28"/>
      <c r="FP163" s="28"/>
      <c r="FQ163" s="28"/>
      <c r="FR163" s="28"/>
    </row>
    <row r="164" spans="2:174" s="29" customFormat="1" ht="16" customHeight="1">
      <c r="B164" s="25"/>
      <c r="C164" s="32"/>
      <c r="D164" s="256"/>
      <c r="E164" s="257" t="e">
        <f>INDEX($B$312:$F$325,MATCH($F$30,$E$312:$E$325),1)</f>
        <v>#N/A</v>
      </c>
      <c r="F164" s="257" t="s">
        <v>4983</v>
      </c>
      <c r="G164" s="258"/>
      <c r="H164" s="34"/>
      <c r="I164" s="27"/>
      <c r="J164" s="28"/>
      <c r="K164" s="185"/>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c r="ET164" s="28"/>
      <c r="EU164" s="28"/>
      <c r="EV164" s="28"/>
      <c r="EW164" s="28"/>
      <c r="EX164" s="28"/>
      <c r="EY164" s="28"/>
      <c r="EZ164" s="28"/>
      <c r="FA164" s="28"/>
      <c r="FB164" s="28"/>
      <c r="FC164" s="28"/>
      <c r="FD164" s="28"/>
      <c r="FE164" s="28"/>
      <c r="FF164" s="28"/>
      <c r="FG164" s="28"/>
      <c r="FH164" s="28"/>
      <c r="FI164" s="28"/>
      <c r="FJ164" s="28"/>
      <c r="FK164" s="28"/>
      <c r="FL164" s="28"/>
      <c r="FM164" s="28"/>
      <c r="FN164" s="28"/>
      <c r="FO164" s="28"/>
      <c r="FP164" s="28"/>
      <c r="FQ164" s="28"/>
      <c r="FR164" s="28"/>
    </row>
    <row r="165" spans="2:174" s="29" customFormat="1" ht="16" customHeight="1">
      <c r="B165" s="25"/>
      <c r="C165" s="32"/>
      <c r="D165" s="259"/>
      <c r="E165" s="64" t="e">
        <f>INDEX($B$312:$F$325,MATCH($F$30,$E$312:$E$325),5)</f>
        <v>#N/A</v>
      </c>
      <c r="F165" s="64" t="str">
        <f>"100% "&amp;$F$11&amp;" Remuneration Factor (RF)"</f>
        <v>100%  Remuneration Factor (RF)</v>
      </c>
      <c r="G165" s="260"/>
      <c r="H165" s="34"/>
      <c r="I165" s="27"/>
      <c r="J165" s="28"/>
      <c r="K165" s="185"/>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c r="EO165" s="28"/>
      <c r="EP165" s="28"/>
      <c r="EQ165" s="28"/>
      <c r="ER165" s="28"/>
      <c r="ES165" s="28"/>
      <c r="ET165" s="28"/>
      <c r="EU165" s="28"/>
      <c r="EV165" s="28"/>
      <c r="EW165" s="28"/>
      <c r="EX165" s="28"/>
      <c r="EY165" s="28"/>
      <c r="EZ165" s="28"/>
      <c r="FA165" s="28"/>
      <c r="FB165" s="28"/>
      <c r="FC165" s="28"/>
      <c r="FD165" s="28"/>
      <c r="FE165" s="28"/>
      <c r="FF165" s="28"/>
      <c r="FG165" s="28"/>
      <c r="FH165" s="28"/>
      <c r="FI165" s="28"/>
      <c r="FJ165" s="28"/>
      <c r="FK165" s="28"/>
      <c r="FL165" s="28"/>
      <c r="FM165" s="28"/>
      <c r="FN165" s="28"/>
      <c r="FO165" s="28"/>
      <c r="FP165" s="28"/>
      <c r="FQ165" s="28"/>
      <c r="FR165" s="28"/>
    </row>
    <row r="166" spans="2:174" s="272" customFormat="1" ht="18" customHeight="1">
      <c r="B166" s="273"/>
      <c r="C166" s="274"/>
      <c r="D166" s="61">
        <f>D159+1</f>
        <v>47</v>
      </c>
      <c r="E166" s="275" t="e">
        <f>"What is the current official exchange rate (SSD approved rate: 1 USD = ??"&amp;$E$164&amp;")?"</f>
        <v>#N/A</v>
      </c>
      <c r="F166" s="275"/>
      <c r="G166" s="277"/>
      <c r="H166" s="278"/>
      <c r="I166" s="279"/>
      <c r="J166" s="280"/>
      <c r="K166" s="281"/>
      <c r="L166" s="280"/>
      <c r="M166" s="280"/>
      <c r="N166" s="280"/>
      <c r="O166" s="280"/>
      <c r="P166" s="280"/>
      <c r="Q166" s="280"/>
      <c r="R166" s="280"/>
      <c r="S166" s="280"/>
      <c r="T166" s="280"/>
      <c r="U166" s="280"/>
      <c r="V166" s="280"/>
      <c r="W166" s="280"/>
      <c r="X166" s="280"/>
      <c r="Y166" s="280"/>
      <c r="Z166" s="280"/>
      <c r="AA166" s="280"/>
      <c r="AB166" s="280"/>
      <c r="AC166" s="280"/>
      <c r="AD166" s="280"/>
      <c r="AE166" s="280"/>
      <c r="AF166" s="280"/>
      <c r="AG166" s="280"/>
      <c r="AH166" s="280"/>
      <c r="AI166" s="280"/>
      <c r="AJ166" s="280"/>
      <c r="AK166" s="280"/>
      <c r="AL166" s="280"/>
      <c r="AM166" s="280"/>
      <c r="AN166" s="280"/>
      <c r="AO166" s="280"/>
      <c r="AP166" s="280"/>
      <c r="AQ166" s="280"/>
      <c r="AR166" s="280"/>
      <c r="AS166" s="280"/>
      <c r="AT166" s="280"/>
      <c r="AU166" s="280"/>
      <c r="AV166" s="280"/>
      <c r="AW166" s="280"/>
      <c r="AX166" s="280"/>
      <c r="AY166" s="280"/>
      <c r="AZ166" s="280"/>
      <c r="BA166" s="280"/>
      <c r="BB166" s="280"/>
      <c r="BC166" s="280"/>
      <c r="BD166" s="280"/>
      <c r="BE166" s="280"/>
      <c r="BF166" s="280"/>
      <c r="BG166" s="280"/>
      <c r="BH166" s="280"/>
      <c r="BI166" s="280"/>
      <c r="BJ166" s="280"/>
      <c r="BK166" s="280"/>
      <c r="BL166" s="280"/>
      <c r="BM166" s="280"/>
      <c r="BN166" s="280"/>
      <c r="BO166" s="280"/>
      <c r="BP166" s="280"/>
      <c r="BQ166" s="280"/>
      <c r="BR166" s="280"/>
      <c r="BS166" s="280"/>
      <c r="BT166" s="280"/>
      <c r="BU166" s="280"/>
      <c r="BV166" s="280"/>
      <c r="BW166" s="280"/>
      <c r="BX166" s="280"/>
      <c r="BY166" s="280"/>
      <c r="BZ166" s="280"/>
      <c r="CA166" s="280"/>
      <c r="CB166" s="280"/>
      <c r="CC166" s="280"/>
      <c r="CD166" s="280"/>
      <c r="CE166" s="280"/>
      <c r="CF166" s="280"/>
      <c r="CG166" s="280"/>
      <c r="CH166" s="280"/>
      <c r="CI166" s="280"/>
      <c r="CJ166" s="280"/>
      <c r="CK166" s="280"/>
      <c r="CL166" s="280"/>
      <c r="CM166" s="280"/>
      <c r="CN166" s="280"/>
      <c r="CO166" s="280"/>
      <c r="CP166" s="280"/>
      <c r="CQ166" s="280"/>
      <c r="CR166" s="280"/>
      <c r="CS166" s="280"/>
      <c r="CT166" s="280"/>
      <c r="CU166" s="280"/>
      <c r="CV166" s="280"/>
      <c r="CW166" s="280"/>
      <c r="CX166" s="280"/>
      <c r="CY166" s="280"/>
      <c r="CZ166" s="280"/>
      <c r="DA166" s="280"/>
      <c r="DB166" s="280"/>
      <c r="DC166" s="280"/>
      <c r="DD166" s="280"/>
      <c r="DE166" s="280"/>
      <c r="DF166" s="280"/>
      <c r="DG166" s="280"/>
      <c r="DH166" s="280"/>
      <c r="DI166" s="280"/>
      <c r="DJ166" s="280"/>
      <c r="DK166" s="280"/>
      <c r="DL166" s="280"/>
      <c r="DM166" s="280"/>
      <c r="DN166" s="280"/>
      <c r="DO166" s="280"/>
      <c r="DP166" s="280"/>
      <c r="DQ166" s="280"/>
      <c r="DR166" s="280"/>
      <c r="DS166" s="280"/>
      <c r="DT166" s="280"/>
      <c r="DU166" s="280"/>
      <c r="DV166" s="280"/>
      <c r="DW166" s="280"/>
      <c r="DX166" s="280"/>
      <c r="DY166" s="280"/>
      <c r="DZ166" s="280"/>
      <c r="EA166" s="280"/>
      <c r="EB166" s="280"/>
      <c r="EC166" s="280"/>
      <c r="ED166" s="280"/>
      <c r="EE166" s="280"/>
      <c r="EF166" s="280"/>
      <c r="EG166" s="280"/>
      <c r="EH166" s="280"/>
      <c r="EI166" s="280"/>
      <c r="EJ166" s="280"/>
      <c r="EK166" s="280"/>
      <c r="EL166" s="280"/>
      <c r="EM166" s="280"/>
      <c r="EN166" s="280"/>
      <c r="EO166" s="280"/>
      <c r="EP166" s="280"/>
      <c r="EQ166" s="280"/>
      <c r="ER166" s="280"/>
      <c r="ES166" s="280"/>
      <c r="ET166" s="280"/>
      <c r="EU166" s="280"/>
      <c r="EV166" s="280"/>
      <c r="EW166" s="280"/>
      <c r="EX166" s="280"/>
      <c r="EY166" s="280"/>
      <c r="EZ166" s="280"/>
      <c r="FA166" s="280"/>
      <c r="FB166" s="280"/>
      <c r="FC166" s="280"/>
      <c r="FD166" s="280"/>
      <c r="FE166" s="280"/>
      <c r="FF166" s="280"/>
      <c r="FG166" s="280"/>
      <c r="FH166" s="280"/>
      <c r="FI166" s="280"/>
      <c r="FJ166" s="280"/>
      <c r="FK166" s="280"/>
      <c r="FL166" s="280"/>
      <c r="FM166" s="280"/>
      <c r="FN166" s="280"/>
      <c r="FO166" s="280"/>
      <c r="FP166" s="280"/>
      <c r="FQ166" s="280"/>
      <c r="FR166" s="280"/>
    </row>
    <row r="167" spans="2:174" s="272" customFormat="1" ht="18" customHeight="1">
      <c r="B167" s="273"/>
      <c r="C167" s="274"/>
      <c r="D167" s="61"/>
      <c r="E167" s="275"/>
      <c r="F167" s="284" t="e">
        <f>INDEX($B$312:$F$325,MATCH($F$30,$E$312:$E$325),2)</f>
        <v>#N/A</v>
      </c>
      <c r="G167" s="277"/>
      <c r="H167" s="278"/>
      <c r="I167" s="279"/>
      <c r="J167" s="280"/>
      <c r="K167" s="281"/>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80"/>
      <c r="AJ167" s="280"/>
      <c r="AK167" s="280"/>
      <c r="AL167" s="280"/>
      <c r="AM167" s="280"/>
      <c r="AN167" s="280"/>
      <c r="AO167" s="280"/>
      <c r="AP167" s="280"/>
      <c r="AQ167" s="280"/>
      <c r="AR167" s="280"/>
      <c r="AS167" s="280"/>
      <c r="AT167" s="280"/>
      <c r="AU167" s="280"/>
      <c r="AV167" s="280"/>
      <c r="AW167" s="280"/>
      <c r="AX167" s="280"/>
      <c r="AY167" s="280"/>
      <c r="AZ167" s="280"/>
      <c r="BA167" s="280"/>
      <c r="BB167" s="280"/>
      <c r="BC167" s="280"/>
      <c r="BD167" s="280"/>
      <c r="BE167" s="280"/>
      <c r="BF167" s="280"/>
      <c r="BG167" s="280"/>
      <c r="BH167" s="280"/>
      <c r="BI167" s="280"/>
      <c r="BJ167" s="280"/>
      <c r="BK167" s="280"/>
      <c r="BL167" s="280"/>
      <c r="BM167" s="280"/>
      <c r="BN167" s="280"/>
      <c r="BO167" s="280"/>
      <c r="BP167" s="280"/>
      <c r="BQ167" s="280"/>
      <c r="BR167" s="280"/>
      <c r="BS167" s="280"/>
      <c r="BT167" s="280"/>
      <c r="BU167" s="280"/>
      <c r="BV167" s="280"/>
      <c r="BW167" s="280"/>
      <c r="BX167" s="280"/>
      <c r="BY167" s="280"/>
      <c r="BZ167" s="280"/>
      <c r="CA167" s="280"/>
      <c r="CB167" s="280"/>
      <c r="CC167" s="280"/>
      <c r="CD167" s="280"/>
      <c r="CE167" s="280"/>
      <c r="CF167" s="280"/>
      <c r="CG167" s="280"/>
      <c r="CH167" s="280"/>
      <c r="CI167" s="280"/>
      <c r="CJ167" s="280"/>
      <c r="CK167" s="280"/>
      <c r="CL167" s="280"/>
      <c r="CM167" s="280"/>
      <c r="CN167" s="280"/>
      <c r="CO167" s="280"/>
      <c r="CP167" s="280"/>
      <c r="CQ167" s="280"/>
      <c r="CR167" s="280"/>
      <c r="CS167" s="280"/>
      <c r="CT167" s="280"/>
      <c r="CU167" s="280"/>
      <c r="CV167" s="280"/>
      <c r="CW167" s="280"/>
      <c r="CX167" s="280"/>
      <c r="CY167" s="280"/>
      <c r="CZ167" s="280"/>
      <c r="DA167" s="280"/>
      <c r="DB167" s="280"/>
      <c r="DC167" s="280"/>
      <c r="DD167" s="280"/>
      <c r="DE167" s="280"/>
      <c r="DF167" s="280"/>
      <c r="DG167" s="280"/>
      <c r="DH167" s="280"/>
      <c r="DI167" s="280"/>
      <c r="DJ167" s="280"/>
      <c r="DK167" s="280"/>
      <c r="DL167" s="280"/>
      <c r="DM167" s="280"/>
      <c r="DN167" s="280"/>
      <c r="DO167" s="280"/>
      <c r="DP167" s="280"/>
      <c r="DQ167" s="280"/>
      <c r="DR167" s="280"/>
      <c r="DS167" s="280"/>
      <c r="DT167" s="280"/>
      <c r="DU167" s="280"/>
      <c r="DV167" s="280"/>
      <c r="DW167" s="280"/>
      <c r="DX167" s="280"/>
      <c r="DY167" s="280"/>
      <c r="DZ167" s="280"/>
      <c r="EA167" s="280"/>
      <c r="EB167" s="280"/>
      <c r="EC167" s="280"/>
      <c r="ED167" s="280"/>
      <c r="EE167" s="280"/>
      <c r="EF167" s="280"/>
      <c r="EG167" s="280"/>
      <c r="EH167" s="280"/>
      <c r="EI167" s="280"/>
      <c r="EJ167" s="280"/>
      <c r="EK167" s="280"/>
      <c r="EL167" s="280"/>
      <c r="EM167" s="280"/>
      <c r="EN167" s="280"/>
      <c r="EO167" s="280"/>
      <c r="EP167" s="280"/>
      <c r="EQ167" s="280"/>
      <c r="ER167" s="280"/>
      <c r="ES167" s="280"/>
      <c r="ET167" s="280"/>
      <c r="EU167" s="280"/>
      <c r="EV167" s="280"/>
      <c r="EW167" s="280"/>
      <c r="EX167" s="280"/>
      <c r="EY167" s="280"/>
      <c r="EZ167" s="280"/>
      <c r="FA167" s="280"/>
      <c r="FB167" s="280"/>
      <c r="FC167" s="280"/>
      <c r="FD167" s="280"/>
      <c r="FE167" s="280"/>
      <c r="FF167" s="280"/>
      <c r="FG167" s="280"/>
      <c r="FH167" s="280"/>
      <c r="FI167" s="280"/>
      <c r="FJ167" s="280"/>
      <c r="FK167" s="280"/>
      <c r="FL167" s="280"/>
      <c r="FM167" s="280"/>
      <c r="FN167" s="280"/>
      <c r="FO167" s="280"/>
      <c r="FP167" s="280"/>
      <c r="FQ167" s="280"/>
      <c r="FR167" s="280"/>
    </row>
    <row r="168" spans="2:174" s="272" customFormat="1" ht="18" customHeight="1">
      <c r="B168" s="273"/>
      <c r="C168" s="274"/>
      <c r="D168" s="282">
        <f>D166+1</f>
        <v>48</v>
      </c>
      <c r="E168" s="275" t="s">
        <v>4998</v>
      </c>
      <c r="F168" s="275"/>
      <c r="G168" s="277"/>
      <c r="H168" s="278"/>
      <c r="I168" s="279"/>
      <c r="J168" s="280"/>
      <c r="K168" s="281"/>
      <c r="L168" s="280"/>
      <c r="M168" s="280"/>
      <c r="N168" s="280"/>
      <c r="O168" s="280"/>
      <c r="P168" s="280"/>
      <c r="Q168" s="280"/>
      <c r="R168" s="280"/>
      <c r="S168" s="280"/>
      <c r="T168" s="280"/>
      <c r="U168" s="280"/>
      <c r="V168" s="280"/>
      <c r="W168" s="280"/>
      <c r="X168" s="280"/>
      <c r="Y168" s="280"/>
      <c r="Z168" s="280"/>
      <c r="AA168" s="280"/>
      <c r="AB168" s="280"/>
      <c r="AC168" s="280"/>
      <c r="AD168" s="280"/>
      <c r="AE168" s="280"/>
      <c r="AF168" s="280"/>
      <c r="AG168" s="280"/>
      <c r="AH168" s="280"/>
      <c r="AI168" s="280"/>
      <c r="AJ168" s="280"/>
      <c r="AK168" s="280"/>
      <c r="AL168" s="280"/>
      <c r="AM168" s="280"/>
      <c r="AN168" s="280"/>
      <c r="AO168" s="280"/>
      <c r="AP168" s="280"/>
      <c r="AQ168" s="280"/>
      <c r="AR168" s="280"/>
      <c r="AS168" s="280"/>
      <c r="AT168" s="280"/>
      <c r="AU168" s="280"/>
      <c r="AV168" s="280"/>
      <c r="AW168" s="280"/>
      <c r="AX168" s="280"/>
      <c r="AY168" s="280"/>
      <c r="AZ168" s="280"/>
      <c r="BA168" s="280"/>
      <c r="BB168" s="280"/>
      <c r="BC168" s="280"/>
      <c r="BD168" s="280"/>
      <c r="BE168" s="280"/>
      <c r="BF168" s="280"/>
      <c r="BG168" s="280"/>
      <c r="BH168" s="280"/>
      <c r="BI168" s="280"/>
      <c r="BJ168" s="280"/>
      <c r="BK168" s="280"/>
      <c r="BL168" s="280"/>
      <c r="BM168" s="280"/>
      <c r="BN168" s="280"/>
      <c r="BO168" s="280"/>
      <c r="BP168" s="280"/>
      <c r="BQ168" s="280"/>
      <c r="BR168" s="280"/>
      <c r="BS168" s="280"/>
      <c r="BT168" s="280"/>
      <c r="BU168" s="280"/>
      <c r="BV168" s="280"/>
      <c r="BW168" s="280"/>
      <c r="BX168" s="280"/>
      <c r="BY168" s="280"/>
      <c r="BZ168" s="280"/>
      <c r="CA168" s="280"/>
      <c r="CB168" s="280"/>
      <c r="CC168" s="280"/>
      <c r="CD168" s="280"/>
      <c r="CE168" s="280"/>
      <c r="CF168" s="280"/>
      <c r="CG168" s="280"/>
      <c r="CH168" s="280"/>
      <c r="CI168" s="280"/>
      <c r="CJ168" s="280"/>
      <c r="CK168" s="280"/>
      <c r="CL168" s="280"/>
      <c r="CM168" s="280"/>
      <c r="CN168" s="280"/>
      <c r="CO168" s="280"/>
      <c r="CP168" s="280"/>
      <c r="CQ168" s="280"/>
      <c r="CR168" s="280"/>
      <c r="CS168" s="280"/>
      <c r="CT168" s="280"/>
      <c r="CU168" s="280"/>
      <c r="CV168" s="280"/>
      <c r="CW168" s="280"/>
      <c r="CX168" s="280"/>
      <c r="CY168" s="280"/>
      <c r="CZ168" s="280"/>
      <c r="DA168" s="280"/>
      <c r="DB168" s="280"/>
      <c r="DC168" s="280"/>
      <c r="DD168" s="280"/>
      <c r="DE168" s="280"/>
      <c r="DF168" s="280"/>
      <c r="DG168" s="280"/>
      <c r="DH168" s="280"/>
      <c r="DI168" s="280"/>
      <c r="DJ168" s="280"/>
      <c r="DK168" s="280"/>
      <c r="DL168" s="280"/>
      <c r="DM168" s="280"/>
      <c r="DN168" s="280"/>
      <c r="DO168" s="280"/>
      <c r="DP168" s="280"/>
      <c r="DQ168" s="280"/>
      <c r="DR168" s="280"/>
      <c r="DS168" s="280"/>
      <c r="DT168" s="280"/>
      <c r="DU168" s="280"/>
      <c r="DV168" s="280"/>
      <c r="DW168" s="280"/>
      <c r="DX168" s="280"/>
      <c r="DY168" s="280"/>
      <c r="DZ168" s="280"/>
      <c r="EA168" s="280"/>
      <c r="EB168" s="280"/>
      <c r="EC168" s="280"/>
      <c r="ED168" s="280"/>
      <c r="EE168" s="280"/>
      <c r="EF168" s="280"/>
      <c r="EG168" s="280"/>
      <c r="EH168" s="280"/>
      <c r="EI168" s="280"/>
      <c r="EJ168" s="280"/>
      <c r="EK168" s="280"/>
      <c r="EL168" s="280"/>
      <c r="EM168" s="280"/>
      <c r="EN168" s="280"/>
      <c r="EO168" s="280"/>
      <c r="EP168" s="280"/>
      <c r="EQ168" s="280"/>
      <c r="ER168" s="280"/>
      <c r="ES168" s="280"/>
      <c r="ET168" s="280"/>
      <c r="EU168" s="280"/>
      <c r="EV168" s="280"/>
      <c r="EW168" s="280"/>
      <c r="EX168" s="280"/>
      <c r="EY168" s="280"/>
      <c r="EZ168" s="280"/>
      <c r="FA168" s="280"/>
      <c r="FB168" s="280"/>
      <c r="FC168" s="280"/>
      <c r="FD168" s="280"/>
      <c r="FE168" s="280"/>
      <c r="FF168" s="280"/>
      <c r="FG168" s="280"/>
      <c r="FH168" s="280"/>
      <c r="FI168" s="280"/>
      <c r="FJ168" s="280"/>
      <c r="FK168" s="280"/>
      <c r="FL168" s="280"/>
      <c r="FM168" s="280"/>
      <c r="FN168" s="280"/>
      <c r="FO168" s="280"/>
      <c r="FP168" s="280"/>
      <c r="FQ168" s="280"/>
      <c r="FR168" s="280"/>
    </row>
    <row r="169" spans="2:174" s="272" customFormat="1" ht="18" customHeight="1">
      <c r="B169" s="273"/>
      <c r="C169" s="274"/>
      <c r="D169" s="61"/>
      <c r="E169" s="275"/>
      <c r="F169" s="285"/>
      <c r="G169" s="277"/>
      <c r="H169" s="278"/>
      <c r="I169" s="279"/>
      <c r="J169" s="280"/>
      <c r="K169" s="281"/>
      <c r="L169" s="280"/>
      <c r="M169" s="280"/>
      <c r="N169" s="280"/>
      <c r="O169" s="280"/>
      <c r="P169" s="280"/>
      <c r="Q169" s="280"/>
      <c r="R169" s="280"/>
      <c r="S169" s="280"/>
      <c r="T169" s="280"/>
      <c r="U169" s="280"/>
      <c r="V169" s="280"/>
      <c r="W169" s="280"/>
      <c r="X169" s="280"/>
      <c r="Y169" s="280"/>
      <c r="Z169" s="280"/>
      <c r="AA169" s="280"/>
      <c r="AB169" s="280"/>
      <c r="AC169" s="280"/>
      <c r="AD169" s="280"/>
      <c r="AE169" s="280"/>
      <c r="AF169" s="280"/>
      <c r="AG169" s="280"/>
      <c r="AH169" s="280"/>
      <c r="AI169" s="280"/>
      <c r="AJ169" s="280"/>
      <c r="AK169" s="280"/>
      <c r="AL169" s="280"/>
      <c r="AM169" s="280"/>
      <c r="AN169" s="280"/>
      <c r="AO169" s="280"/>
      <c r="AP169" s="280"/>
      <c r="AQ169" s="280"/>
      <c r="AR169" s="280"/>
      <c r="AS169" s="280"/>
      <c r="AT169" s="280"/>
      <c r="AU169" s="280"/>
      <c r="AV169" s="280"/>
      <c r="AW169" s="280"/>
      <c r="AX169" s="280"/>
      <c r="AY169" s="280"/>
      <c r="AZ169" s="280"/>
      <c r="BA169" s="280"/>
      <c r="BB169" s="280"/>
      <c r="BC169" s="280"/>
      <c r="BD169" s="280"/>
      <c r="BE169" s="280"/>
      <c r="BF169" s="280"/>
      <c r="BG169" s="280"/>
      <c r="BH169" s="280"/>
      <c r="BI169" s="280"/>
      <c r="BJ169" s="280"/>
      <c r="BK169" s="280"/>
      <c r="BL169" s="280"/>
      <c r="BM169" s="280"/>
      <c r="BN169" s="280"/>
      <c r="BO169" s="280"/>
      <c r="BP169" s="280"/>
      <c r="BQ169" s="280"/>
      <c r="BR169" s="280"/>
      <c r="BS169" s="280"/>
      <c r="BT169" s="280"/>
      <c r="BU169" s="280"/>
      <c r="BV169" s="280"/>
      <c r="BW169" s="280"/>
      <c r="BX169" s="280"/>
      <c r="BY169" s="280"/>
      <c r="BZ169" s="280"/>
      <c r="CA169" s="280"/>
      <c r="CB169" s="280"/>
      <c r="CC169" s="280"/>
      <c r="CD169" s="280"/>
      <c r="CE169" s="280"/>
      <c r="CF169" s="280"/>
      <c r="CG169" s="280"/>
      <c r="CH169" s="280"/>
      <c r="CI169" s="280"/>
      <c r="CJ169" s="280"/>
      <c r="CK169" s="280"/>
      <c r="CL169" s="280"/>
      <c r="CM169" s="280"/>
      <c r="CN169" s="280"/>
      <c r="CO169" s="280"/>
      <c r="CP169" s="280"/>
      <c r="CQ169" s="280"/>
      <c r="CR169" s="280"/>
      <c r="CS169" s="280"/>
      <c r="CT169" s="280"/>
      <c r="CU169" s="280"/>
      <c r="CV169" s="280"/>
      <c r="CW169" s="280"/>
      <c r="CX169" s="280"/>
      <c r="CY169" s="280"/>
      <c r="CZ169" s="280"/>
      <c r="DA169" s="280"/>
      <c r="DB169" s="280"/>
      <c r="DC169" s="280"/>
      <c r="DD169" s="280"/>
      <c r="DE169" s="280"/>
      <c r="DF169" s="280"/>
      <c r="DG169" s="280"/>
      <c r="DH169" s="280"/>
      <c r="DI169" s="280"/>
      <c r="DJ169" s="280"/>
      <c r="DK169" s="280"/>
      <c r="DL169" s="280"/>
      <c r="DM169" s="280"/>
      <c r="DN169" s="280"/>
      <c r="DO169" s="280"/>
      <c r="DP169" s="280"/>
      <c r="DQ169" s="280"/>
      <c r="DR169" s="280"/>
      <c r="DS169" s="280"/>
      <c r="DT169" s="280"/>
      <c r="DU169" s="280"/>
      <c r="DV169" s="280"/>
      <c r="DW169" s="280"/>
      <c r="DX169" s="280"/>
      <c r="DY169" s="280"/>
      <c r="DZ169" s="280"/>
      <c r="EA169" s="280"/>
      <c r="EB169" s="280"/>
      <c r="EC169" s="280"/>
      <c r="ED169" s="280"/>
      <c r="EE169" s="280"/>
      <c r="EF169" s="280"/>
      <c r="EG169" s="280"/>
      <c r="EH169" s="280"/>
      <c r="EI169" s="280"/>
      <c r="EJ169" s="280"/>
      <c r="EK169" s="280"/>
      <c r="EL169" s="280"/>
      <c r="EM169" s="280"/>
      <c r="EN169" s="280"/>
      <c r="EO169" s="280"/>
      <c r="EP169" s="280"/>
      <c r="EQ169" s="280"/>
      <c r="ER169" s="280"/>
      <c r="ES169" s="280"/>
      <c r="ET169" s="280"/>
      <c r="EU169" s="280"/>
      <c r="EV169" s="280"/>
      <c r="EW169" s="280"/>
      <c r="EX169" s="280"/>
      <c r="EY169" s="280"/>
      <c r="EZ169" s="280"/>
      <c r="FA169" s="280"/>
      <c r="FB169" s="280"/>
      <c r="FC169" s="280"/>
      <c r="FD169" s="280"/>
      <c r="FE169" s="280"/>
      <c r="FF169" s="280"/>
      <c r="FG169" s="280"/>
      <c r="FH169" s="280"/>
      <c r="FI169" s="280"/>
      <c r="FJ169" s="280"/>
      <c r="FK169" s="280"/>
      <c r="FL169" s="280"/>
      <c r="FM169" s="280"/>
      <c r="FN169" s="280"/>
      <c r="FO169" s="280"/>
      <c r="FP169" s="280"/>
      <c r="FQ169" s="280"/>
      <c r="FR169" s="280"/>
    </row>
    <row r="170" spans="2:174" s="29" customFormat="1" ht="16" customHeight="1" thickBot="1">
      <c r="B170" s="25"/>
      <c r="C170" s="32"/>
      <c r="D170" s="261"/>
      <c r="E170" s="262"/>
      <c r="F170" s="262"/>
      <c r="G170" s="263"/>
      <c r="H170" s="34"/>
      <c r="I170" s="27"/>
      <c r="J170" s="28"/>
      <c r="K170" s="185"/>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row>
    <row r="171" spans="2:174" s="29" customFormat="1" ht="16" customHeight="1">
      <c r="B171" s="25"/>
      <c r="C171" s="32"/>
      <c r="D171" s="39"/>
      <c r="E171" s="26"/>
      <c r="F171" s="26"/>
      <c r="G171" s="39"/>
      <c r="H171" s="34"/>
      <c r="I171" s="27"/>
      <c r="J171" s="28"/>
      <c r="K171" s="185"/>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row>
    <row r="172" spans="2:174" s="29" customFormat="1" ht="16" customHeight="1" thickBot="1">
      <c r="B172" s="25"/>
      <c r="C172" s="32"/>
      <c r="D172" s="39"/>
      <c r="E172" s="39" t="s">
        <v>4981</v>
      </c>
      <c r="F172" s="26"/>
      <c r="G172" s="39"/>
      <c r="H172" s="34"/>
      <c r="I172" s="27"/>
      <c r="J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row>
    <row r="173" spans="2:174" s="29" customFormat="1" ht="16" customHeight="1">
      <c r="B173" s="25"/>
      <c r="C173" s="32"/>
      <c r="D173" s="256"/>
      <c r="E173" s="264" t="s">
        <v>5038</v>
      </c>
      <c r="F173" s="69"/>
      <c r="G173" s="258"/>
      <c r="H173" s="34"/>
      <c r="I173" s="27"/>
      <c r="J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row>
    <row r="174" spans="2:174" s="29" customFormat="1" ht="16" customHeight="1">
      <c r="B174" s="25"/>
      <c r="C174" s="32"/>
      <c r="D174" s="259"/>
      <c r="E174" s="316" t="s">
        <v>5039</v>
      </c>
      <c r="F174" s="70"/>
      <c r="G174" s="260"/>
      <c r="H174" s="34"/>
      <c r="I174" s="27"/>
      <c r="J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c r="FJ174" s="28"/>
      <c r="FK174" s="28"/>
      <c r="FL174" s="28"/>
      <c r="FM174" s="28"/>
      <c r="FN174" s="28"/>
      <c r="FO174" s="28"/>
      <c r="FP174" s="28"/>
      <c r="FQ174" s="28"/>
      <c r="FR174" s="28"/>
    </row>
    <row r="175" spans="2:174" s="272" customFormat="1" ht="18" customHeight="1">
      <c r="B175" s="273"/>
      <c r="C175" s="307"/>
      <c r="D175" s="282">
        <f>D168+1</f>
        <v>49</v>
      </c>
      <c r="E175" s="275" t="s">
        <v>5022</v>
      </c>
      <c r="F175" s="275"/>
      <c r="G175" s="277"/>
      <c r="H175" s="278"/>
      <c r="I175" s="279"/>
      <c r="J175" s="280"/>
      <c r="L175" s="26"/>
      <c r="M175" s="280"/>
      <c r="N175" s="280"/>
      <c r="O175" s="280"/>
      <c r="P175" s="280"/>
      <c r="Q175" s="280"/>
      <c r="R175" s="280"/>
      <c r="S175" s="280"/>
      <c r="T175" s="280"/>
      <c r="U175" s="280"/>
      <c r="V175" s="280"/>
      <c r="W175" s="280"/>
      <c r="X175" s="280"/>
      <c r="Y175" s="280"/>
      <c r="Z175" s="280"/>
      <c r="AA175" s="280"/>
      <c r="AB175" s="280"/>
      <c r="AC175" s="280"/>
      <c r="AD175" s="280"/>
      <c r="AE175" s="280"/>
      <c r="AF175" s="280"/>
      <c r="AG175" s="280"/>
      <c r="AH175" s="280"/>
      <c r="AI175" s="280"/>
      <c r="AJ175" s="280"/>
      <c r="AK175" s="280"/>
      <c r="AL175" s="280"/>
      <c r="AM175" s="280"/>
      <c r="AN175" s="280"/>
      <c r="AO175" s="280"/>
      <c r="AP175" s="280"/>
      <c r="AQ175" s="280"/>
      <c r="AR175" s="280"/>
      <c r="AS175" s="280"/>
      <c r="AT175" s="280"/>
      <c r="AU175" s="280"/>
      <c r="AV175" s="280"/>
      <c r="AW175" s="280"/>
      <c r="AX175" s="280"/>
      <c r="AY175" s="280"/>
      <c r="AZ175" s="280"/>
      <c r="BA175" s="280"/>
      <c r="BB175" s="280"/>
      <c r="BC175" s="280"/>
      <c r="BD175" s="280"/>
      <c r="BE175" s="280"/>
      <c r="BF175" s="280"/>
      <c r="BG175" s="280"/>
      <c r="BH175" s="280"/>
      <c r="BI175" s="280"/>
      <c r="BJ175" s="280"/>
      <c r="BK175" s="280"/>
      <c r="BL175" s="280"/>
      <c r="BM175" s="280"/>
      <c r="BN175" s="280"/>
      <c r="BO175" s="280"/>
      <c r="BP175" s="280"/>
      <c r="BQ175" s="280"/>
      <c r="BR175" s="280"/>
      <c r="BS175" s="280"/>
      <c r="BT175" s="280"/>
      <c r="BU175" s="280"/>
      <c r="BV175" s="280"/>
      <c r="BW175" s="280"/>
      <c r="BX175" s="280"/>
      <c r="BY175" s="280"/>
      <c r="BZ175" s="280"/>
      <c r="CA175" s="280"/>
      <c r="CB175" s="280"/>
      <c r="CC175" s="280"/>
      <c r="CD175" s="280"/>
      <c r="CE175" s="280"/>
      <c r="CF175" s="280"/>
      <c r="CG175" s="280"/>
      <c r="CH175" s="280"/>
      <c r="CI175" s="280"/>
      <c r="CJ175" s="280"/>
      <c r="CK175" s="280"/>
      <c r="CL175" s="280"/>
      <c r="CM175" s="280"/>
      <c r="CN175" s="280"/>
      <c r="CO175" s="280"/>
      <c r="CP175" s="280"/>
      <c r="CQ175" s="280"/>
      <c r="CR175" s="280"/>
      <c r="CS175" s="280"/>
      <c r="CT175" s="280"/>
      <c r="CU175" s="280"/>
      <c r="CV175" s="280"/>
      <c r="CW175" s="280"/>
      <c r="CX175" s="280"/>
      <c r="CY175" s="280"/>
      <c r="CZ175" s="280"/>
      <c r="DA175" s="280"/>
      <c r="DB175" s="280"/>
      <c r="DC175" s="280"/>
      <c r="DD175" s="280"/>
      <c r="DE175" s="280"/>
      <c r="DF175" s="280"/>
      <c r="DG175" s="280"/>
      <c r="DH175" s="280"/>
      <c r="DI175" s="280"/>
      <c r="DJ175" s="280"/>
      <c r="DK175" s="280"/>
      <c r="DL175" s="280"/>
      <c r="DM175" s="280"/>
      <c r="DN175" s="280"/>
      <c r="DO175" s="280"/>
      <c r="DP175" s="280"/>
      <c r="DQ175" s="280"/>
      <c r="DR175" s="280"/>
      <c r="DS175" s="280"/>
      <c r="DT175" s="280"/>
      <c r="DU175" s="280"/>
      <c r="DV175" s="280"/>
      <c r="DW175" s="280"/>
      <c r="DX175" s="280"/>
      <c r="DY175" s="280"/>
      <c r="DZ175" s="280"/>
      <c r="EA175" s="280"/>
      <c r="EB175" s="280"/>
      <c r="EC175" s="280"/>
      <c r="ED175" s="280"/>
      <c r="EE175" s="280"/>
      <c r="EF175" s="280"/>
      <c r="EG175" s="280"/>
      <c r="EH175" s="280"/>
      <c r="EI175" s="280"/>
      <c r="EJ175" s="280"/>
      <c r="EK175" s="280"/>
      <c r="EL175" s="280"/>
      <c r="EM175" s="280"/>
      <c r="EN175" s="280"/>
      <c r="EO175" s="280"/>
      <c r="EP175" s="280"/>
      <c r="EQ175" s="280"/>
      <c r="ER175" s="280"/>
      <c r="ES175" s="280"/>
      <c r="ET175" s="280"/>
      <c r="EU175" s="280"/>
      <c r="EV175" s="280"/>
      <c r="EW175" s="280"/>
      <c r="EX175" s="280"/>
      <c r="EY175" s="280"/>
      <c r="EZ175" s="280"/>
      <c r="FA175" s="280"/>
      <c r="FB175" s="280"/>
      <c r="FC175" s="280"/>
      <c r="FD175" s="280"/>
      <c r="FE175" s="280"/>
      <c r="FF175" s="280"/>
      <c r="FG175" s="280"/>
      <c r="FH175" s="280"/>
      <c r="FI175" s="280"/>
      <c r="FJ175" s="280"/>
      <c r="FK175" s="280"/>
      <c r="FL175" s="280"/>
      <c r="FM175" s="280"/>
      <c r="FN175" s="280"/>
      <c r="FO175" s="280"/>
      <c r="FP175" s="280"/>
      <c r="FQ175" s="280"/>
      <c r="FR175" s="280"/>
    </row>
    <row r="176" spans="2:174" s="29" customFormat="1" ht="16" customHeight="1">
      <c r="B176" s="25"/>
      <c r="C176" s="309" t="e">
        <f>ROUND(IF($F$117=2,IF($F$129=$E$335,$E$165*IF(0.45+($F$131*0.035)&gt;=0.65,0.65,0.45+($F$131*0.035))*(12+$F$169),$E$165*IF(0.65+($F$131*0.03)&gt;=1,1,0.65+($F$131*0.03))*(12+$F$169))+IF($F$147=$E$335,$E$165*IF(0.45+($F$149*0.035)&gt;=0.65,0.65,0.45+($F$149*0.035))*(12+$F$169),$E$165*IF(0.65+($F$149*0.03)&gt;=1,1,0.65+($F$149*0.03))*(12+$F$169)),IF($F$129=$E$335,$E$165*IF(0.45+($F$131*0.035)&gt;=0.65,0.65,0.45+($F$131*0.035))*(12+$F$169),$E$165*IF(0.65+($F$131*0.03)&gt;=1,1,0.65+($F$131*0.03))*(12+$F$169))),0)</f>
        <v>#N/A</v>
      </c>
      <c r="D176" s="269"/>
      <c r="E176" s="304" t="e">
        <f>C176</f>
        <v>#N/A</v>
      </c>
      <c r="F176" s="64" t="e">
        <f>$E$164&amp;"/USD"&amp;FIXED((E176/$F$167),0)&amp;" ("&amp;FIXED(IF($F$117=2,IF($F$129=$E$335,$E$165*IF(0.45+($F$131*0.035)&gt;=0.65,0.65,0.45+($F$131*0.035))*(12+$F$169),$E$165*IF(0.65+($F$131*0.03)&gt;=1,1,0.65+($F$131*0.03))*(12+$F$169))+IF($F$147=$E$335,$E$165*IF(0.45+($F$149*0.035)&gt;=0.65,0.65,0.45+($F$149*0.035))*(12+$F$169),$E$165*IF(0.65+($F$149*0.03)&gt;=1,1,0.65+($F$149*0.03))*(12+$F$169)),IF($F$129=$E$335,$E$165*IF(0.45+($F$131*0.035)&gt;=0.65,0.65,0.45+($F$131*0.035))*(12+$F$169),$E$165*IF(0.65+($F$131*0.03)&gt;=1,1,0.65+($F$131*0.03))*(12+$F$169))),0)&amp;$E$164&amp;" recommended: "&amp;$F$119&amp;" "&amp;F121&amp;"-"&amp;IF($F$129=$E$335,IF(0.45+($F$131*0.035)&gt;=0.65,0.65,0.45+($F$131*0.035)),IF(0.65+($F$131*0.03)&gt;=1,1,0.65+($F$131*0.03)))*100&amp;"%"&amp;IF(F117=2,", "&amp;F137&amp;" "&amp;F139&amp;"-"&amp;IF($F$147=$E$335,IF(0.45+($F$149*0.035)&gt;=0.65,0.65,0.45+($F$149*0.035)),IF(0.65+($F$149*0.03)&gt;=1,1,0.65+($F$149*0.03)))*100&amp;"%"&amp;")")</f>
        <v>#N/A</v>
      </c>
      <c r="G176" s="260"/>
      <c r="H176" s="34"/>
      <c r="I176" s="27"/>
      <c r="J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c r="EO176" s="28"/>
      <c r="EP176" s="28"/>
      <c r="EQ176" s="28"/>
      <c r="ER176" s="28"/>
      <c r="ES176" s="28"/>
      <c r="ET176" s="28"/>
      <c r="EU176" s="28"/>
      <c r="EV176" s="28"/>
      <c r="EW176" s="28"/>
      <c r="EX176" s="28"/>
      <c r="EY176" s="28"/>
      <c r="EZ176" s="28"/>
      <c r="FA176" s="28"/>
      <c r="FB176" s="28"/>
      <c r="FC176" s="28"/>
      <c r="FD176" s="28"/>
      <c r="FE176" s="28"/>
      <c r="FF176" s="28"/>
      <c r="FG176" s="28"/>
      <c r="FH176" s="28"/>
      <c r="FI176" s="28"/>
      <c r="FJ176" s="28"/>
      <c r="FK176" s="28"/>
      <c r="FL176" s="28"/>
      <c r="FM176" s="28"/>
      <c r="FN176" s="28"/>
      <c r="FO176" s="28"/>
      <c r="FP176" s="28"/>
      <c r="FQ176" s="28"/>
      <c r="FR176" s="28"/>
    </row>
    <row r="177" spans="2:174" s="272" customFormat="1" ht="18" customHeight="1">
      <c r="B177" s="273"/>
      <c r="C177" s="310"/>
      <c r="D177" s="282">
        <f>D175+1</f>
        <v>50</v>
      </c>
      <c r="E177" s="295" t="s">
        <v>5023</v>
      </c>
      <c r="F177" s="275"/>
      <c r="G177" s="277"/>
      <c r="H177" s="278"/>
      <c r="I177" s="279"/>
      <c r="J177" s="280"/>
      <c r="L177" s="280"/>
      <c r="M177" s="280"/>
      <c r="N177" s="280"/>
      <c r="O177" s="280"/>
      <c r="P177" s="280"/>
      <c r="Q177" s="280"/>
      <c r="R177" s="280"/>
      <c r="S177" s="280"/>
      <c r="T177" s="280"/>
      <c r="U177" s="280"/>
      <c r="V177" s="280"/>
      <c r="W177" s="280"/>
      <c r="X177" s="280"/>
      <c r="Y177" s="280"/>
      <c r="Z177" s="280"/>
      <c r="AA177" s="280"/>
      <c r="AB177" s="280"/>
      <c r="AC177" s="280"/>
      <c r="AD177" s="280"/>
      <c r="AE177" s="280"/>
      <c r="AF177" s="280"/>
      <c r="AG177" s="280"/>
      <c r="AH177" s="280"/>
      <c r="AI177" s="280"/>
      <c r="AJ177" s="280"/>
      <c r="AK177" s="280"/>
      <c r="AL177" s="280"/>
      <c r="AM177" s="280"/>
      <c r="AN177" s="280"/>
      <c r="AO177" s="280"/>
      <c r="AP177" s="280"/>
      <c r="AQ177" s="280"/>
      <c r="AR177" s="280"/>
      <c r="AS177" s="280"/>
      <c r="AT177" s="280"/>
      <c r="AU177" s="280"/>
      <c r="AV177" s="280"/>
      <c r="AW177" s="280"/>
      <c r="AX177" s="280"/>
      <c r="AY177" s="280"/>
      <c r="AZ177" s="280"/>
      <c r="BA177" s="280"/>
      <c r="BB177" s="280"/>
      <c r="BC177" s="280"/>
      <c r="BD177" s="280"/>
      <c r="BE177" s="280"/>
      <c r="BF177" s="280"/>
      <c r="BG177" s="280"/>
      <c r="BH177" s="280"/>
      <c r="BI177" s="280"/>
      <c r="BJ177" s="280"/>
      <c r="BK177" s="280"/>
      <c r="BL177" s="280"/>
      <c r="BM177" s="280"/>
      <c r="BN177" s="280"/>
      <c r="BO177" s="280"/>
      <c r="BP177" s="280"/>
      <c r="BQ177" s="280"/>
      <c r="BR177" s="280"/>
      <c r="BS177" s="280"/>
      <c r="BT177" s="280"/>
      <c r="BU177" s="280"/>
      <c r="BV177" s="280"/>
      <c r="BW177" s="280"/>
      <c r="BX177" s="280"/>
      <c r="BY177" s="280"/>
      <c r="BZ177" s="280"/>
      <c r="CA177" s="280"/>
      <c r="CB177" s="280"/>
      <c r="CC177" s="280"/>
      <c r="CD177" s="280"/>
      <c r="CE177" s="280"/>
      <c r="CF177" s="280"/>
      <c r="CG177" s="280"/>
      <c r="CH177" s="280"/>
      <c r="CI177" s="280"/>
      <c r="CJ177" s="280"/>
      <c r="CK177" s="280"/>
      <c r="CL177" s="280"/>
      <c r="CM177" s="280"/>
      <c r="CN177" s="280"/>
      <c r="CO177" s="280"/>
      <c r="CP177" s="280"/>
      <c r="CQ177" s="280"/>
      <c r="CR177" s="280"/>
      <c r="CS177" s="280"/>
      <c r="CT177" s="280"/>
      <c r="CU177" s="280"/>
      <c r="CV177" s="280"/>
      <c r="CW177" s="280"/>
      <c r="CX177" s="280"/>
      <c r="CY177" s="280"/>
      <c r="CZ177" s="280"/>
      <c r="DA177" s="280"/>
      <c r="DB177" s="280"/>
      <c r="DC177" s="280"/>
      <c r="DD177" s="280"/>
      <c r="DE177" s="280"/>
      <c r="DF177" s="280"/>
      <c r="DG177" s="280"/>
      <c r="DH177" s="280"/>
      <c r="DI177" s="280"/>
      <c r="DJ177" s="280"/>
      <c r="DK177" s="280"/>
      <c r="DL177" s="280"/>
      <c r="DM177" s="280"/>
      <c r="DN177" s="280"/>
      <c r="DO177" s="280"/>
      <c r="DP177" s="280"/>
      <c r="DQ177" s="280"/>
      <c r="DR177" s="280"/>
      <c r="DS177" s="280"/>
      <c r="DT177" s="280"/>
      <c r="DU177" s="280"/>
      <c r="DV177" s="280"/>
      <c r="DW177" s="280"/>
      <c r="DX177" s="280"/>
      <c r="DY177" s="280"/>
      <c r="DZ177" s="280"/>
      <c r="EA177" s="280"/>
      <c r="EB177" s="280"/>
      <c r="EC177" s="280"/>
      <c r="ED177" s="280"/>
      <c r="EE177" s="280"/>
      <c r="EF177" s="280"/>
      <c r="EG177" s="280"/>
      <c r="EH177" s="280"/>
      <c r="EI177" s="280"/>
      <c r="EJ177" s="280"/>
      <c r="EK177" s="280"/>
      <c r="EL177" s="280"/>
      <c r="EM177" s="280"/>
      <c r="EN177" s="280"/>
      <c r="EO177" s="280"/>
      <c r="EP177" s="280"/>
      <c r="EQ177" s="280"/>
      <c r="ER177" s="280"/>
      <c r="ES177" s="280"/>
      <c r="ET177" s="280"/>
      <c r="EU177" s="280"/>
      <c r="EV177" s="280"/>
      <c r="EW177" s="280"/>
      <c r="EX177" s="280"/>
      <c r="EY177" s="280"/>
      <c r="EZ177" s="280"/>
      <c r="FA177" s="280"/>
      <c r="FB177" s="280"/>
      <c r="FC177" s="280"/>
      <c r="FD177" s="280"/>
      <c r="FE177" s="280"/>
      <c r="FF177" s="280"/>
      <c r="FG177" s="280"/>
      <c r="FH177" s="280"/>
      <c r="FI177" s="280"/>
      <c r="FJ177" s="280"/>
      <c r="FK177" s="280"/>
      <c r="FL177" s="280"/>
      <c r="FM177" s="280"/>
      <c r="FN177" s="280"/>
      <c r="FO177" s="280"/>
      <c r="FP177" s="280"/>
      <c r="FQ177" s="280"/>
      <c r="FR177" s="280"/>
    </row>
    <row r="178" spans="2:174" s="29" customFormat="1" ht="16" customHeight="1">
      <c r="B178" s="25"/>
      <c r="C178" s="309" t="e">
        <f>ROUND(($E$165*$D$178*$F$117*12),0)</f>
        <v>#N/A</v>
      </c>
      <c r="D178" s="269">
        <v>0.15</v>
      </c>
      <c r="E178" s="304" t="e">
        <f>C178</f>
        <v>#N/A</v>
      </c>
      <c r="F178" s="64" t="e">
        <f>$E$164&amp;"/USD"&amp;FIXED((E178/$F$167),0)&amp;" ("&amp;FIXED(($E$165*D178*$F$117*12),0)&amp;$E$164&amp;" recommended: RF x "&amp;FIXED(($D178*100),0)&amp;"% x 12 months x "&amp;$F$117&amp;" Pioneers)"</f>
        <v>#N/A</v>
      </c>
      <c r="G178" s="260"/>
      <c r="H178" s="34"/>
      <c r="I178" s="27"/>
      <c r="J178" s="28"/>
      <c r="K178" s="185"/>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c r="FI178" s="28"/>
      <c r="FJ178" s="28"/>
      <c r="FK178" s="28"/>
      <c r="FL178" s="28"/>
      <c r="FM178" s="28"/>
      <c r="FN178" s="28"/>
      <c r="FO178" s="28"/>
      <c r="FP178" s="28"/>
      <c r="FQ178" s="28"/>
      <c r="FR178" s="28"/>
    </row>
    <row r="179" spans="2:174" s="272" customFormat="1" ht="18" customHeight="1">
      <c r="B179" s="273"/>
      <c r="C179" s="310"/>
      <c r="D179" s="282">
        <f>D177+1</f>
        <v>51</v>
      </c>
      <c r="E179" s="295" t="s">
        <v>5024</v>
      </c>
      <c r="F179" s="275"/>
      <c r="G179" s="277"/>
      <c r="H179" s="278"/>
      <c r="I179" s="279"/>
      <c r="J179" s="280"/>
      <c r="K179" s="281"/>
      <c r="L179" s="280"/>
      <c r="M179" s="280"/>
      <c r="N179" s="280"/>
      <c r="O179" s="280"/>
      <c r="P179" s="280"/>
      <c r="Q179" s="280"/>
      <c r="R179" s="280"/>
      <c r="S179" s="280"/>
      <c r="T179" s="280"/>
      <c r="U179" s="280"/>
      <c r="V179" s="280"/>
      <c r="W179" s="280"/>
      <c r="X179" s="280"/>
      <c r="Y179" s="280"/>
      <c r="Z179" s="280"/>
      <c r="AA179" s="280"/>
      <c r="AB179" s="280"/>
      <c r="AC179" s="280"/>
      <c r="AD179" s="280"/>
      <c r="AE179" s="280"/>
      <c r="AF179" s="280"/>
      <c r="AG179" s="280"/>
      <c r="AH179" s="280"/>
      <c r="AI179" s="280"/>
      <c r="AJ179" s="280"/>
      <c r="AK179" s="280"/>
      <c r="AL179" s="280"/>
      <c r="AM179" s="280"/>
      <c r="AN179" s="280"/>
      <c r="AO179" s="280"/>
      <c r="AP179" s="280"/>
      <c r="AQ179" s="280"/>
      <c r="AR179" s="280"/>
      <c r="AS179" s="280"/>
      <c r="AT179" s="280"/>
      <c r="AU179" s="280"/>
      <c r="AV179" s="280"/>
      <c r="AW179" s="280"/>
      <c r="AX179" s="280"/>
      <c r="AY179" s="280"/>
      <c r="AZ179" s="280"/>
      <c r="BA179" s="280"/>
      <c r="BB179" s="280"/>
      <c r="BC179" s="280"/>
      <c r="BD179" s="280"/>
      <c r="BE179" s="280"/>
      <c r="BF179" s="280"/>
      <c r="BG179" s="280"/>
      <c r="BH179" s="280"/>
      <c r="BI179" s="280"/>
      <c r="BJ179" s="280"/>
      <c r="BK179" s="280"/>
      <c r="BL179" s="280"/>
      <c r="BM179" s="280"/>
      <c r="BN179" s="280"/>
      <c r="BO179" s="280"/>
      <c r="BP179" s="280"/>
      <c r="BQ179" s="280"/>
      <c r="BR179" s="280"/>
      <c r="BS179" s="280"/>
      <c r="BT179" s="280"/>
      <c r="BU179" s="280"/>
      <c r="BV179" s="280"/>
      <c r="BW179" s="280"/>
      <c r="BX179" s="280"/>
      <c r="BY179" s="280"/>
      <c r="BZ179" s="280"/>
      <c r="CA179" s="280"/>
      <c r="CB179" s="280"/>
      <c r="CC179" s="280"/>
      <c r="CD179" s="280"/>
      <c r="CE179" s="280"/>
      <c r="CF179" s="280"/>
      <c r="CG179" s="280"/>
      <c r="CH179" s="280"/>
      <c r="CI179" s="280"/>
      <c r="CJ179" s="280"/>
      <c r="CK179" s="280"/>
      <c r="CL179" s="280"/>
      <c r="CM179" s="280"/>
      <c r="CN179" s="280"/>
      <c r="CO179" s="280"/>
      <c r="CP179" s="280"/>
      <c r="CQ179" s="280"/>
      <c r="CR179" s="280"/>
      <c r="CS179" s="280"/>
      <c r="CT179" s="280"/>
      <c r="CU179" s="280"/>
      <c r="CV179" s="280"/>
      <c r="CW179" s="280"/>
      <c r="CX179" s="280"/>
      <c r="CY179" s="280"/>
      <c r="CZ179" s="280"/>
      <c r="DA179" s="280"/>
      <c r="DB179" s="280"/>
      <c r="DC179" s="280"/>
      <c r="DD179" s="280"/>
      <c r="DE179" s="280"/>
      <c r="DF179" s="280"/>
      <c r="DG179" s="280"/>
      <c r="DH179" s="280"/>
      <c r="DI179" s="280"/>
      <c r="DJ179" s="280"/>
      <c r="DK179" s="280"/>
      <c r="DL179" s="280"/>
      <c r="DM179" s="280"/>
      <c r="DN179" s="280"/>
      <c r="DO179" s="280"/>
      <c r="DP179" s="280"/>
      <c r="DQ179" s="280"/>
      <c r="DR179" s="280"/>
      <c r="DS179" s="280"/>
      <c r="DT179" s="280"/>
      <c r="DU179" s="280"/>
      <c r="DV179" s="280"/>
      <c r="DW179" s="280"/>
      <c r="DX179" s="280"/>
      <c r="DY179" s="280"/>
      <c r="DZ179" s="280"/>
      <c r="EA179" s="280"/>
      <c r="EB179" s="280"/>
      <c r="EC179" s="280"/>
      <c r="ED179" s="280"/>
      <c r="EE179" s="280"/>
      <c r="EF179" s="280"/>
      <c r="EG179" s="280"/>
      <c r="EH179" s="280"/>
      <c r="EI179" s="280"/>
      <c r="EJ179" s="280"/>
      <c r="EK179" s="280"/>
      <c r="EL179" s="280"/>
      <c r="EM179" s="280"/>
      <c r="EN179" s="280"/>
      <c r="EO179" s="280"/>
      <c r="EP179" s="280"/>
      <c r="EQ179" s="280"/>
      <c r="ER179" s="280"/>
      <c r="ES179" s="280"/>
      <c r="ET179" s="280"/>
      <c r="EU179" s="280"/>
      <c r="EV179" s="280"/>
      <c r="EW179" s="280"/>
      <c r="EX179" s="280"/>
      <c r="EY179" s="280"/>
      <c r="EZ179" s="280"/>
      <c r="FA179" s="280"/>
      <c r="FB179" s="280"/>
      <c r="FC179" s="280"/>
      <c r="FD179" s="280"/>
      <c r="FE179" s="280"/>
      <c r="FF179" s="280"/>
      <c r="FG179" s="280"/>
      <c r="FH179" s="280"/>
      <c r="FI179" s="280"/>
      <c r="FJ179" s="280"/>
      <c r="FK179" s="280"/>
      <c r="FL179" s="280"/>
      <c r="FM179" s="280"/>
      <c r="FN179" s="280"/>
      <c r="FO179" s="280"/>
      <c r="FP179" s="280"/>
      <c r="FQ179" s="280"/>
      <c r="FR179" s="280"/>
    </row>
    <row r="180" spans="2:174" s="29" customFormat="1" ht="16" customHeight="1">
      <c r="B180" s="25"/>
      <c r="C180" s="309" t="e">
        <f>ROUND(($E$165*$D$180*$F$117*12),0)</f>
        <v>#N/A</v>
      </c>
      <c r="D180" s="269">
        <v>0.05</v>
      </c>
      <c r="E180" s="304" t="e">
        <f>C180</f>
        <v>#N/A</v>
      </c>
      <c r="F180" s="64" t="e">
        <f>$E$164&amp;"/USD"&amp;FIXED((E180/$F$167),0)&amp;" ("&amp;FIXED(($E$165*D180*$F$117*12),0)&amp;$E$164&amp;" recommended: RF x "&amp;FIXED(($D180*100),0)&amp;"% x 12 months x "&amp;$F$117&amp;" Pioneers)"</f>
        <v>#N/A</v>
      </c>
      <c r="G180" s="260"/>
      <c r="H180" s="34"/>
      <c r="I180" s="27"/>
      <c r="J180" s="28"/>
      <c r="K180" s="185"/>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c r="EK180" s="28"/>
      <c r="EL180" s="28"/>
      <c r="EM180" s="28"/>
      <c r="EN180" s="28"/>
      <c r="EO180" s="28"/>
      <c r="EP180" s="28"/>
      <c r="EQ180" s="28"/>
      <c r="ER180" s="28"/>
      <c r="ES180" s="28"/>
      <c r="ET180" s="28"/>
      <c r="EU180" s="28"/>
      <c r="EV180" s="28"/>
      <c r="EW180" s="28"/>
      <c r="EX180" s="28"/>
      <c r="EY180" s="28"/>
      <c r="EZ180" s="28"/>
      <c r="FA180" s="28"/>
      <c r="FB180" s="28"/>
      <c r="FC180" s="28"/>
      <c r="FD180" s="28"/>
      <c r="FE180" s="28"/>
      <c r="FF180" s="28"/>
      <c r="FG180" s="28"/>
      <c r="FH180" s="28"/>
      <c r="FI180" s="28"/>
      <c r="FJ180" s="28"/>
      <c r="FK180" s="28"/>
      <c r="FL180" s="28"/>
      <c r="FM180" s="28"/>
      <c r="FN180" s="28"/>
      <c r="FO180" s="28"/>
      <c r="FP180" s="28"/>
      <c r="FQ180" s="28"/>
      <c r="FR180" s="28"/>
    </row>
    <row r="181" spans="2:174" s="272" customFormat="1" ht="18" customHeight="1">
      <c r="B181" s="273"/>
      <c r="C181" s="310"/>
      <c r="D181" s="282">
        <f>D179+1</f>
        <v>52</v>
      </c>
      <c r="E181" s="295" t="s">
        <v>5025</v>
      </c>
      <c r="F181" s="275"/>
      <c r="G181" s="277"/>
      <c r="H181" s="278"/>
      <c r="I181" s="279"/>
      <c r="J181" s="280"/>
      <c r="K181" s="281"/>
      <c r="L181" s="280"/>
      <c r="M181" s="280"/>
      <c r="N181" s="280"/>
      <c r="O181" s="280"/>
      <c r="P181" s="280"/>
      <c r="Q181" s="280"/>
      <c r="R181" s="280"/>
      <c r="S181" s="280"/>
      <c r="T181" s="280"/>
      <c r="U181" s="280"/>
      <c r="V181" s="280"/>
      <c r="W181" s="280"/>
      <c r="X181" s="280"/>
      <c r="Y181" s="280"/>
      <c r="Z181" s="280"/>
      <c r="AA181" s="280"/>
      <c r="AB181" s="280"/>
      <c r="AC181" s="280"/>
      <c r="AD181" s="280"/>
      <c r="AE181" s="280"/>
      <c r="AF181" s="280"/>
      <c r="AG181" s="280"/>
      <c r="AH181" s="280"/>
      <c r="AI181" s="280"/>
      <c r="AJ181" s="280"/>
      <c r="AK181" s="280"/>
      <c r="AL181" s="280"/>
      <c r="AM181" s="280"/>
      <c r="AN181" s="280"/>
      <c r="AO181" s="280"/>
      <c r="AP181" s="280"/>
      <c r="AQ181" s="280"/>
      <c r="AR181" s="280"/>
      <c r="AS181" s="280"/>
      <c r="AT181" s="280"/>
      <c r="AU181" s="280"/>
      <c r="AV181" s="280"/>
      <c r="AW181" s="280"/>
      <c r="AX181" s="280"/>
      <c r="AY181" s="280"/>
      <c r="AZ181" s="280"/>
      <c r="BA181" s="280"/>
      <c r="BB181" s="280"/>
      <c r="BC181" s="280"/>
      <c r="BD181" s="280"/>
      <c r="BE181" s="280"/>
      <c r="BF181" s="280"/>
      <c r="BG181" s="280"/>
      <c r="BH181" s="280"/>
      <c r="BI181" s="280"/>
      <c r="BJ181" s="280"/>
      <c r="BK181" s="280"/>
      <c r="BL181" s="280"/>
      <c r="BM181" s="280"/>
      <c r="BN181" s="280"/>
      <c r="BO181" s="280"/>
      <c r="BP181" s="280"/>
      <c r="BQ181" s="280"/>
      <c r="BR181" s="280"/>
      <c r="BS181" s="280"/>
      <c r="BT181" s="280"/>
      <c r="BU181" s="280"/>
      <c r="BV181" s="280"/>
      <c r="BW181" s="280"/>
      <c r="BX181" s="280"/>
      <c r="BY181" s="280"/>
      <c r="BZ181" s="280"/>
      <c r="CA181" s="280"/>
      <c r="CB181" s="280"/>
      <c r="CC181" s="280"/>
      <c r="CD181" s="280"/>
      <c r="CE181" s="280"/>
      <c r="CF181" s="280"/>
      <c r="CG181" s="280"/>
      <c r="CH181" s="280"/>
      <c r="CI181" s="280"/>
      <c r="CJ181" s="280"/>
      <c r="CK181" s="280"/>
      <c r="CL181" s="280"/>
      <c r="CM181" s="280"/>
      <c r="CN181" s="280"/>
      <c r="CO181" s="280"/>
      <c r="CP181" s="280"/>
      <c r="CQ181" s="280"/>
      <c r="CR181" s="280"/>
      <c r="CS181" s="280"/>
      <c r="CT181" s="280"/>
      <c r="CU181" s="280"/>
      <c r="CV181" s="280"/>
      <c r="CW181" s="280"/>
      <c r="CX181" s="280"/>
      <c r="CY181" s="280"/>
      <c r="CZ181" s="280"/>
      <c r="DA181" s="280"/>
      <c r="DB181" s="280"/>
      <c r="DC181" s="280"/>
      <c r="DD181" s="280"/>
      <c r="DE181" s="280"/>
      <c r="DF181" s="280"/>
      <c r="DG181" s="280"/>
      <c r="DH181" s="280"/>
      <c r="DI181" s="280"/>
      <c r="DJ181" s="280"/>
      <c r="DK181" s="280"/>
      <c r="DL181" s="280"/>
      <c r="DM181" s="280"/>
      <c r="DN181" s="280"/>
      <c r="DO181" s="280"/>
      <c r="DP181" s="280"/>
      <c r="DQ181" s="280"/>
      <c r="DR181" s="280"/>
      <c r="DS181" s="280"/>
      <c r="DT181" s="280"/>
      <c r="DU181" s="280"/>
      <c r="DV181" s="280"/>
      <c r="DW181" s="280"/>
      <c r="DX181" s="280"/>
      <c r="DY181" s="280"/>
      <c r="DZ181" s="280"/>
      <c r="EA181" s="280"/>
      <c r="EB181" s="280"/>
      <c r="EC181" s="280"/>
      <c r="ED181" s="280"/>
      <c r="EE181" s="280"/>
      <c r="EF181" s="280"/>
      <c r="EG181" s="280"/>
      <c r="EH181" s="280"/>
      <c r="EI181" s="280"/>
      <c r="EJ181" s="280"/>
      <c r="EK181" s="280"/>
      <c r="EL181" s="280"/>
      <c r="EM181" s="280"/>
      <c r="EN181" s="280"/>
      <c r="EO181" s="280"/>
      <c r="EP181" s="280"/>
      <c r="EQ181" s="280"/>
      <c r="ER181" s="280"/>
      <c r="ES181" s="280"/>
      <c r="ET181" s="280"/>
      <c r="EU181" s="280"/>
      <c r="EV181" s="280"/>
      <c r="EW181" s="280"/>
      <c r="EX181" s="280"/>
      <c r="EY181" s="280"/>
      <c r="EZ181" s="280"/>
      <c r="FA181" s="280"/>
      <c r="FB181" s="280"/>
      <c r="FC181" s="280"/>
      <c r="FD181" s="280"/>
      <c r="FE181" s="280"/>
      <c r="FF181" s="280"/>
      <c r="FG181" s="280"/>
      <c r="FH181" s="280"/>
      <c r="FI181" s="280"/>
      <c r="FJ181" s="280"/>
      <c r="FK181" s="280"/>
      <c r="FL181" s="280"/>
      <c r="FM181" s="280"/>
      <c r="FN181" s="280"/>
      <c r="FO181" s="280"/>
      <c r="FP181" s="280"/>
      <c r="FQ181" s="280"/>
      <c r="FR181" s="280"/>
    </row>
    <row r="182" spans="2:174" s="29" customFormat="1" ht="16" customHeight="1">
      <c r="B182" s="25"/>
      <c r="C182" s="309" t="e">
        <f>ROUND(($E$165*$D$182*$F$117),0)</f>
        <v>#N/A</v>
      </c>
      <c r="D182" s="269">
        <v>0.75</v>
      </c>
      <c r="E182" s="304" t="e">
        <f>C182</f>
        <v>#N/A</v>
      </c>
      <c r="F182" s="64" t="e">
        <f>$E$164&amp;"/USD"&amp;FIXED((E182/$F$167),0)&amp;" ("&amp;FIXED(($E$165*D182*$F$117),0)&amp;$E$164&amp;" recommended: RF x "&amp;FIXED(($D182*100),0)&amp;"% x "&amp;$F$117&amp;" Pioneers)"</f>
        <v>#N/A</v>
      </c>
      <c r="G182" s="260"/>
      <c r="H182" s="34"/>
      <c r="I182" s="27"/>
      <c r="J182" s="28"/>
      <c r="K182" s="185"/>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c r="EJ182" s="28"/>
      <c r="EK182" s="28"/>
      <c r="EL182" s="28"/>
      <c r="EM182" s="28"/>
      <c r="EN182" s="28"/>
      <c r="EO182" s="28"/>
      <c r="EP182" s="28"/>
      <c r="EQ182" s="28"/>
      <c r="ER182" s="28"/>
      <c r="ES182" s="28"/>
      <c r="ET182" s="28"/>
      <c r="EU182" s="28"/>
      <c r="EV182" s="28"/>
      <c r="EW182" s="28"/>
      <c r="EX182" s="28"/>
      <c r="EY182" s="28"/>
      <c r="EZ182" s="28"/>
      <c r="FA182" s="28"/>
      <c r="FB182" s="28"/>
      <c r="FC182" s="28"/>
      <c r="FD182" s="28"/>
      <c r="FE182" s="28"/>
      <c r="FF182" s="28"/>
      <c r="FG182" s="28"/>
      <c r="FH182" s="28"/>
      <c r="FI182" s="28"/>
      <c r="FJ182" s="28"/>
      <c r="FK182" s="28"/>
      <c r="FL182" s="28"/>
      <c r="FM182" s="28"/>
      <c r="FN182" s="28"/>
      <c r="FO182" s="28"/>
      <c r="FP182" s="28"/>
      <c r="FQ182" s="28"/>
      <c r="FR182" s="28"/>
    </row>
    <row r="183" spans="2:174" s="272" customFormat="1" ht="18" customHeight="1">
      <c r="B183" s="273"/>
      <c r="C183" s="310"/>
      <c r="D183" s="282">
        <f>D181+1</f>
        <v>53</v>
      </c>
      <c r="E183" s="295" t="s">
        <v>5026</v>
      </c>
      <c r="F183" s="275"/>
      <c r="G183" s="277"/>
      <c r="H183" s="278"/>
      <c r="I183" s="279"/>
      <c r="J183" s="280"/>
      <c r="K183" s="281"/>
      <c r="L183" s="280"/>
      <c r="M183" s="280"/>
      <c r="N183" s="280"/>
      <c r="O183" s="280"/>
      <c r="P183" s="280"/>
      <c r="Q183" s="280"/>
      <c r="R183" s="280"/>
      <c r="S183" s="280"/>
      <c r="T183" s="280"/>
      <c r="U183" s="280"/>
      <c r="V183" s="280"/>
      <c r="W183" s="280"/>
      <c r="X183" s="280"/>
      <c r="Y183" s="280"/>
      <c r="Z183" s="280"/>
      <c r="AA183" s="280"/>
      <c r="AB183" s="280"/>
      <c r="AC183" s="280"/>
      <c r="AD183" s="280"/>
      <c r="AE183" s="280"/>
      <c r="AF183" s="280"/>
      <c r="AG183" s="280"/>
      <c r="AH183" s="280"/>
      <c r="AI183" s="280"/>
      <c r="AJ183" s="280"/>
      <c r="AK183" s="280"/>
      <c r="AL183" s="280"/>
      <c r="AM183" s="280"/>
      <c r="AN183" s="280"/>
      <c r="AO183" s="280"/>
      <c r="AP183" s="280"/>
      <c r="AQ183" s="280"/>
      <c r="AR183" s="280"/>
      <c r="AS183" s="280"/>
      <c r="AT183" s="280"/>
      <c r="AU183" s="280"/>
      <c r="AV183" s="280"/>
      <c r="AW183" s="280"/>
      <c r="AX183" s="280"/>
      <c r="AY183" s="280"/>
      <c r="AZ183" s="280"/>
      <c r="BA183" s="280"/>
      <c r="BB183" s="280"/>
      <c r="BC183" s="280"/>
      <c r="BD183" s="280"/>
      <c r="BE183" s="280"/>
      <c r="BF183" s="280"/>
      <c r="BG183" s="280"/>
      <c r="BH183" s="280"/>
      <c r="BI183" s="280"/>
      <c r="BJ183" s="280"/>
      <c r="BK183" s="280"/>
      <c r="BL183" s="280"/>
      <c r="BM183" s="280"/>
      <c r="BN183" s="280"/>
      <c r="BO183" s="280"/>
      <c r="BP183" s="280"/>
      <c r="BQ183" s="280"/>
      <c r="BR183" s="280"/>
      <c r="BS183" s="280"/>
      <c r="BT183" s="280"/>
      <c r="BU183" s="280"/>
      <c r="BV183" s="280"/>
      <c r="BW183" s="280"/>
      <c r="BX183" s="280"/>
      <c r="BY183" s="280"/>
      <c r="BZ183" s="280"/>
      <c r="CA183" s="280"/>
      <c r="CB183" s="280"/>
      <c r="CC183" s="280"/>
      <c r="CD183" s="280"/>
      <c r="CE183" s="280"/>
      <c r="CF183" s="280"/>
      <c r="CG183" s="280"/>
      <c r="CH183" s="280"/>
      <c r="CI183" s="280"/>
      <c r="CJ183" s="280"/>
      <c r="CK183" s="280"/>
      <c r="CL183" s="280"/>
      <c r="CM183" s="280"/>
      <c r="CN183" s="280"/>
      <c r="CO183" s="280"/>
      <c r="CP183" s="280"/>
      <c r="CQ183" s="280"/>
      <c r="CR183" s="280"/>
      <c r="CS183" s="280"/>
      <c r="CT183" s="280"/>
      <c r="CU183" s="280"/>
      <c r="CV183" s="280"/>
      <c r="CW183" s="280"/>
      <c r="CX183" s="280"/>
      <c r="CY183" s="280"/>
      <c r="CZ183" s="280"/>
      <c r="DA183" s="280"/>
      <c r="DB183" s="280"/>
      <c r="DC183" s="280"/>
      <c r="DD183" s="280"/>
      <c r="DE183" s="280"/>
      <c r="DF183" s="280"/>
      <c r="DG183" s="280"/>
      <c r="DH183" s="280"/>
      <c r="DI183" s="280"/>
      <c r="DJ183" s="280"/>
      <c r="DK183" s="280"/>
      <c r="DL183" s="280"/>
      <c r="DM183" s="280"/>
      <c r="DN183" s="280"/>
      <c r="DO183" s="280"/>
      <c r="DP183" s="280"/>
      <c r="DQ183" s="280"/>
      <c r="DR183" s="280"/>
      <c r="DS183" s="280"/>
      <c r="DT183" s="280"/>
      <c r="DU183" s="280"/>
      <c r="DV183" s="280"/>
      <c r="DW183" s="280"/>
      <c r="DX183" s="280"/>
      <c r="DY183" s="280"/>
      <c r="DZ183" s="280"/>
      <c r="EA183" s="280"/>
      <c r="EB183" s="280"/>
      <c r="EC183" s="280"/>
      <c r="ED183" s="280"/>
      <c r="EE183" s="280"/>
      <c r="EF183" s="280"/>
      <c r="EG183" s="280"/>
      <c r="EH183" s="280"/>
      <c r="EI183" s="280"/>
      <c r="EJ183" s="280"/>
      <c r="EK183" s="280"/>
      <c r="EL183" s="280"/>
      <c r="EM183" s="280"/>
      <c r="EN183" s="280"/>
      <c r="EO183" s="280"/>
      <c r="EP183" s="280"/>
      <c r="EQ183" s="280"/>
      <c r="ER183" s="280"/>
      <c r="ES183" s="280"/>
      <c r="ET183" s="280"/>
      <c r="EU183" s="280"/>
      <c r="EV183" s="280"/>
      <c r="EW183" s="280"/>
      <c r="EX183" s="280"/>
      <c r="EY183" s="280"/>
      <c r="EZ183" s="280"/>
      <c r="FA183" s="280"/>
      <c r="FB183" s="280"/>
      <c r="FC183" s="280"/>
      <c r="FD183" s="280"/>
      <c r="FE183" s="280"/>
      <c r="FF183" s="280"/>
      <c r="FG183" s="280"/>
      <c r="FH183" s="280"/>
      <c r="FI183" s="280"/>
      <c r="FJ183" s="280"/>
      <c r="FK183" s="280"/>
      <c r="FL183" s="280"/>
      <c r="FM183" s="280"/>
      <c r="FN183" s="280"/>
      <c r="FO183" s="280"/>
      <c r="FP183" s="280"/>
      <c r="FQ183" s="280"/>
      <c r="FR183" s="280"/>
    </row>
    <row r="184" spans="2:174" s="29" customFormat="1" ht="16" customHeight="1">
      <c r="B184" s="25"/>
      <c r="C184" s="309" t="e">
        <f>ROUND(($E$165*$D$184),0)</f>
        <v>#N/A</v>
      </c>
      <c r="D184" s="269">
        <v>0.8</v>
      </c>
      <c r="E184" s="304" t="e">
        <f>C184</f>
        <v>#N/A</v>
      </c>
      <c r="F184" s="64" t="e">
        <f>$E$164&amp;"/USD"&amp;FIXED((E184/$F$167),0)&amp;" ("&amp;FIXED(($E$165*D184),0)&amp;$E$164&amp;" recommended: RF x "&amp;FIXED(($D184*100),0)&amp;"%)"</f>
        <v>#N/A</v>
      </c>
      <c r="G184" s="260"/>
      <c r="H184" s="34"/>
      <c r="I184" s="27"/>
      <c r="J184" s="28"/>
      <c r="K184" s="185"/>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c r="EJ184" s="28"/>
      <c r="EK184" s="28"/>
      <c r="EL184" s="28"/>
      <c r="EM184" s="28"/>
      <c r="EN184" s="28"/>
      <c r="EO184" s="28"/>
      <c r="EP184" s="28"/>
      <c r="EQ184" s="28"/>
      <c r="ER184" s="28"/>
      <c r="ES184" s="28"/>
      <c r="ET184" s="28"/>
      <c r="EU184" s="28"/>
      <c r="EV184" s="28"/>
      <c r="EW184" s="28"/>
      <c r="EX184" s="28"/>
      <c r="EY184" s="28"/>
      <c r="EZ184" s="28"/>
      <c r="FA184" s="28"/>
      <c r="FB184" s="28"/>
      <c r="FC184" s="28"/>
      <c r="FD184" s="28"/>
      <c r="FE184" s="28"/>
      <c r="FF184" s="28"/>
      <c r="FG184" s="28"/>
      <c r="FH184" s="28"/>
      <c r="FI184" s="28"/>
      <c r="FJ184" s="28"/>
      <c r="FK184" s="28"/>
      <c r="FL184" s="28"/>
      <c r="FM184" s="28"/>
      <c r="FN184" s="28"/>
      <c r="FO184" s="28"/>
      <c r="FP184" s="28"/>
      <c r="FQ184" s="28"/>
      <c r="FR184" s="28"/>
    </row>
    <row r="185" spans="2:174" s="272" customFormat="1" ht="18" customHeight="1">
      <c r="B185" s="273"/>
      <c r="C185" s="310"/>
      <c r="D185" s="282">
        <f>D183+1</f>
        <v>54</v>
      </c>
      <c r="E185" s="296" t="s">
        <v>5027</v>
      </c>
      <c r="F185" s="283"/>
      <c r="G185" s="277"/>
      <c r="H185" s="278"/>
      <c r="I185" s="279"/>
      <c r="J185" s="280"/>
      <c r="K185" s="281"/>
      <c r="L185" s="280"/>
      <c r="M185" s="280"/>
      <c r="N185" s="280"/>
      <c r="O185" s="280"/>
      <c r="P185" s="280"/>
      <c r="Q185" s="280"/>
      <c r="R185" s="280"/>
      <c r="S185" s="280"/>
      <c r="T185" s="280"/>
      <c r="U185" s="280"/>
      <c r="V185" s="280"/>
      <c r="W185" s="280"/>
      <c r="X185" s="280"/>
      <c r="Y185" s="280"/>
      <c r="Z185" s="280"/>
      <c r="AA185" s="280"/>
      <c r="AB185" s="280"/>
      <c r="AC185" s="280"/>
      <c r="AD185" s="280"/>
      <c r="AE185" s="280"/>
      <c r="AF185" s="280"/>
      <c r="AG185" s="280"/>
      <c r="AH185" s="280"/>
      <c r="AI185" s="280"/>
      <c r="AJ185" s="280"/>
      <c r="AK185" s="280"/>
      <c r="AL185" s="280"/>
      <c r="AM185" s="280"/>
      <c r="AN185" s="280"/>
      <c r="AO185" s="280"/>
      <c r="AP185" s="280"/>
      <c r="AQ185" s="280"/>
      <c r="AR185" s="280"/>
      <c r="AS185" s="280"/>
      <c r="AT185" s="280"/>
      <c r="AU185" s="280"/>
      <c r="AV185" s="280"/>
      <c r="AW185" s="280"/>
      <c r="AX185" s="280"/>
      <c r="AY185" s="280"/>
      <c r="AZ185" s="280"/>
      <c r="BA185" s="280"/>
      <c r="BB185" s="280"/>
      <c r="BC185" s="280"/>
      <c r="BD185" s="280"/>
      <c r="BE185" s="280"/>
      <c r="BF185" s="280"/>
      <c r="BG185" s="280"/>
      <c r="BH185" s="280"/>
      <c r="BI185" s="280"/>
      <c r="BJ185" s="280"/>
      <c r="BK185" s="280"/>
      <c r="BL185" s="280"/>
      <c r="BM185" s="280"/>
      <c r="BN185" s="280"/>
      <c r="BO185" s="280"/>
      <c r="BP185" s="280"/>
      <c r="BQ185" s="280"/>
      <c r="BR185" s="280"/>
      <c r="BS185" s="280"/>
      <c r="BT185" s="280"/>
      <c r="BU185" s="280"/>
      <c r="BV185" s="280"/>
      <c r="BW185" s="280"/>
      <c r="BX185" s="280"/>
      <c r="BY185" s="280"/>
      <c r="BZ185" s="280"/>
      <c r="CA185" s="280"/>
      <c r="CB185" s="280"/>
      <c r="CC185" s="280"/>
      <c r="CD185" s="280"/>
      <c r="CE185" s="280"/>
      <c r="CF185" s="280"/>
      <c r="CG185" s="280"/>
      <c r="CH185" s="280"/>
      <c r="CI185" s="280"/>
      <c r="CJ185" s="280"/>
      <c r="CK185" s="280"/>
      <c r="CL185" s="280"/>
      <c r="CM185" s="280"/>
      <c r="CN185" s="280"/>
      <c r="CO185" s="280"/>
      <c r="CP185" s="280"/>
      <c r="CQ185" s="280"/>
      <c r="CR185" s="280"/>
      <c r="CS185" s="280"/>
      <c r="CT185" s="280"/>
      <c r="CU185" s="280"/>
      <c r="CV185" s="280"/>
      <c r="CW185" s="280"/>
      <c r="CX185" s="280"/>
      <c r="CY185" s="280"/>
      <c r="CZ185" s="280"/>
      <c r="DA185" s="280"/>
      <c r="DB185" s="280"/>
      <c r="DC185" s="280"/>
      <c r="DD185" s="280"/>
      <c r="DE185" s="280"/>
      <c r="DF185" s="280"/>
      <c r="DG185" s="280"/>
      <c r="DH185" s="280"/>
      <c r="DI185" s="280"/>
      <c r="DJ185" s="280"/>
      <c r="DK185" s="280"/>
      <c r="DL185" s="280"/>
      <c r="DM185" s="280"/>
      <c r="DN185" s="280"/>
      <c r="DO185" s="280"/>
      <c r="DP185" s="280"/>
      <c r="DQ185" s="280"/>
      <c r="DR185" s="280"/>
      <c r="DS185" s="280"/>
      <c r="DT185" s="280"/>
      <c r="DU185" s="280"/>
      <c r="DV185" s="280"/>
      <c r="DW185" s="280"/>
      <c r="DX185" s="280"/>
      <c r="DY185" s="280"/>
      <c r="DZ185" s="280"/>
      <c r="EA185" s="280"/>
      <c r="EB185" s="280"/>
      <c r="EC185" s="280"/>
      <c r="ED185" s="280"/>
      <c r="EE185" s="280"/>
      <c r="EF185" s="280"/>
      <c r="EG185" s="280"/>
      <c r="EH185" s="280"/>
      <c r="EI185" s="280"/>
      <c r="EJ185" s="280"/>
      <c r="EK185" s="280"/>
      <c r="EL185" s="280"/>
      <c r="EM185" s="280"/>
      <c r="EN185" s="280"/>
      <c r="EO185" s="280"/>
      <c r="EP185" s="280"/>
      <c r="EQ185" s="280"/>
      <c r="ER185" s="280"/>
      <c r="ES185" s="280"/>
      <c r="ET185" s="280"/>
      <c r="EU185" s="280"/>
      <c r="EV185" s="280"/>
      <c r="EW185" s="280"/>
      <c r="EX185" s="280"/>
      <c r="EY185" s="280"/>
      <c r="EZ185" s="280"/>
      <c r="FA185" s="280"/>
      <c r="FB185" s="280"/>
      <c r="FC185" s="280"/>
      <c r="FD185" s="280"/>
      <c r="FE185" s="280"/>
      <c r="FF185" s="280"/>
      <c r="FG185" s="280"/>
      <c r="FH185" s="280"/>
      <c r="FI185" s="280"/>
      <c r="FJ185" s="280"/>
      <c r="FK185" s="280"/>
      <c r="FL185" s="280"/>
      <c r="FM185" s="280"/>
      <c r="FN185" s="280"/>
      <c r="FO185" s="280"/>
      <c r="FP185" s="280"/>
      <c r="FQ185" s="280"/>
      <c r="FR185" s="280"/>
    </row>
    <row r="186" spans="2:174" s="29" customFormat="1" ht="16" customHeight="1">
      <c r="B186" s="25"/>
      <c r="C186" s="309" t="e">
        <f>ROUND(($E$165*$D$186),0)</f>
        <v>#N/A</v>
      </c>
      <c r="D186" s="269">
        <v>0.3</v>
      </c>
      <c r="E186" s="304" t="e">
        <f>C186</f>
        <v>#N/A</v>
      </c>
      <c r="F186" s="64" t="e">
        <f>$E$164&amp;"/USD"&amp;FIXED((E186/$F$167),0)&amp;" ("&amp;FIXED(($E$165*D186),0)&amp;$E$164&amp;" recommended: RF x "&amp;FIXED(($D186*100),0)&amp;"%)"</f>
        <v>#N/A</v>
      </c>
      <c r="G186" s="260"/>
      <c r="H186" s="34"/>
      <c r="I186" s="27"/>
      <c r="J186" s="28"/>
      <c r="K186" s="185"/>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c r="EK186" s="28"/>
      <c r="EL186" s="28"/>
      <c r="EM186" s="28"/>
      <c r="EN186" s="28"/>
      <c r="EO186" s="28"/>
      <c r="EP186" s="28"/>
      <c r="EQ186" s="28"/>
      <c r="ER186" s="28"/>
      <c r="ES186" s="28"/>
      <c r="ET186" s="28"/>
      <c r="EU186" s="28"/>
      <c r="EV186" s="28"/>
      <c r="EW186" s="28"/>
      <c r="EX186" s="28"/>
      <c r="EY186" s="28"/>
      <c r="EZ186" s="28"/>
      <c r="FA186" s="28"/>
      <c r="FB186" s="28"/>
      <c r="FC186" s="28"/>
      <c r="FD186" s="28"/>
      <c r="FE186" s="28"/>
      <c r="FF186" s="28"/>
      <c r="FG186" s="28"/>
      <c r="FH186" s="28"/>
      <c r="FI186" s="28"/>
      <c r="FJ186" s="28"/>
      <c r="FK186" s="28"/>
      <c r="FL186" s="28"/>
      <c r="FM186" s="28"/>
      <c r="FN186" s="28"/>
      <c r="FO186" s="28"/>
      <c r="FP186" s="28"/>
      <c r="FQ186" s="28"/>
      <c r="FR186" s="28"/>
    </row>
    <row r="187" spans="2:174" s="272" customFormat="1" ht="18" customHeight="1">
      <c r="B187" s="273"/>
      <c r="C187" s="310"/>
      <c r="D187" s="282">
        <f>D185+1</f>
        <v>55</v>
      </c>
      <c r="E187" s="296" t="s">
        <v>5028</v>
      </c>
      <c r="F187" s="283"/>
      <c r="G187" s="277"/>
      <c r="H187" s="278"/>
      <c r="I187" s="279"/>
      <c r="J187" s="280"/>
      <c r="K187" s="281"/>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280"/>
      <c r="AK187" s="280"/>
      <c r="AL187" s="280"/>
      <c r="AM187" s="280"/>
      <c r="AN187" s="280"/>
      <c r="AO187" s="280"/>
      <c r="AP187" s="280"/>
      <c r="AQ187" s="280"/>
      <c r="AR187" s="280"/>
      <c r="AS187" s="280"/>
      <c r="AT187" s="280"/>
      <c r="AU187" s="280"/>
      <c r="AV187" s="280"/>
      <c r="AW187" s="280"/>
      <c r="AX187" s="280"/>
      <c r="AY187" s="280"/>
      <c r="AZ187" s="280"/>
      <c r="BA187" s="280"/>
      <c r="BB187" s="280"/>
      <c r="BC187" s="280"/>
      <c r="BD187" s="280"/>
      <c r="BE187" s="280"/>
      <c r="BF187" s="280"/>
      <c r="BG187" s="280"/>
      <c r="BH187" s="280"/>
      <c r="BI187" s="280"/>
      <c r="BJ187" s="280"/>
      <c r="BK187" s="280"/>
      <c r="BL187" s="280"/>
      <c r="BM187" s="280"/>
      <c r="BN187" s="280"/>
      <c r="BO187" s="280"/>
      <c r="BP187" s="280"/>
      <c r="BQ187" s="280"/>
      <c r="BR187" s="280"/>
      <c r="BS187" s="280"/>
      <c r="BT187" s="280"/>
      <c r="BU187" s="280"/>
      <c r="BV187" s="280"/>
      <c r="BW187" s="280"/>
      <c r="BX187" s="280"/>
      <c r="BY187" s="280"/>
      <c r="BZ187" s="280"/>
      <c r="CA187" s="280"/>
      <c r="CB187" s="280"/>
      <c r="CC187" s="280"/>
      <c r="CD187" s="280"/>
      <c r="CE187" s="280"/>
      <c r="CF187" s="280"/>
      <c r="CG187" s="280"/>
      <c r="CH187" s="280"/>
      <c r="CI187" s="280"/>
      <c r="CJ187" s="280"/>
      <c r="CK187" s="280"/>
      <c r="CL187" s="280"/>
      <c r="CM187" s="280"/>
      <c r="CN187" s="280"/>
      <c r="CO187" s="280"/>
      <c r="CP187" s="280"/>
      <c r="CQ187" s="280"/>
      <c r="CR187" s="280"/>
      <c r="CS187" s="280"/>
      <c r="CT187" s="280"/>
      <c r="CU187" s="280"/>
      <c r="CV187" s="280"/>
      <c r="CW187" s="280"/>
      <c r="CX187" s="280"/>
      <c r="CY187" s="280"/>
      <c r="CZ187" s="280"/>
      <c r="DA187" s="280"/>
      <c r="DB187" s="280"/>
      <c r="DC187" s="280"/>
      <c r="DD187" s="280"/>
      <c r="DE187" s="280"/>
      <c r="DF187" s="280"/>
      <c r="DG187" s="280"/>
      <c r="DH187" s="280"/>
      <c r="DI187" s="280"/>
      <c r="DJ187" s="280"/>
      <c r="DK187" s="280"/>
      <c r="DL187" s="280"/>
      <c r="DM187" s="280"/>
      <c r="DN187" s="280"/>
      <c r="DO187" s="280"/>
      <c r="DP187" s="280"/>
      <c r="DQ187" s="280"/>
      <c r="DR187" s="280"/>
      <c r="DS187" s="280"/>
      <c r="DT187" s="280"/>
      <c r="DU187" s="280"/>
      <c r="DV187" s="280"/>
      <c r="DW187" s="280"/>
      <c r="DX187" s="280"/>
      <c r="DY187" s="280"/>
      <c r="DZ187" s="280"/>
      <c r="EA187" s="280"/>
      <c r="EB187" s="280"/>
      <c r="EC187" s="280"/>
      <c r="ED187" s="280"/>
      <c r="EE187" s="280"/>
      <c r="EF187" s="280"/>
      <c r="EG187" s="280"/>
      <c r="EH187" s="280"/>
      <c r="EI187" s="280"/>
      <c r="EJ187" s="280"/>
      <c r="EK187" s="280"/>
      <c r="EL187" s="280"/>
      <c r="EM187" s="280"/>
      <c r="EN187" s="280"/>
      <c r="EO187" s="280"/>
      <c r="EP187" s="280"/>
      <c r="EQ187" s="280"/>
      <c r="ER187" s="280"/>
      <c r="ES187" s="280"/>
      <c r="ET187" s="280"/>
      <c r="EU187" s="280"/>
      <c r="EV187" s="280"/>
      <c r="EW187" s="280"/>
      <c r="EX187" s="280"/>
      <c r="EY187" s="280"/>
      <c r="EZ187" s="280"/>
      <c r="FA187" s="280"/>
      <c r="FB187" s="280"/>
      <c r="FC187" s="280"/>
      <c r="FD187" s="280"/>
      <c r="FE187" s="280"/>
      <c r="FF187" s="280"/>
      <c r="FG187" s="280"/>
      <c r="FH187" s="280"/>
      <c r="FI187" s="280"/>
      <c r="FJ187" s="280"/>
      <c r="FK187" s="280"/>
      <c r="FL187" s="280"/>
      <c r="FM187" s="280"/>
      <c r="FN187" s="280"/>
      <c r="FO187" s="280"/>
      <c r="FP187" s="280"/>
      <c r="FQ187" s="280"/>
      <c r="FR187" s="280"/>
    </row>
    <row r="188" spans="2:174" s="29" customFormat="1" ht="16" customHeight="1">
      <c r="B188" s="25"/>
      <c r="C188" s="309" t="e">
        <f>ROUND(($F$117*$D$188*$F$167),0)</f>
        <v>#N/A</v>
      </c>
      <c r="D188" s="286">
        <v>24</v>
      </c>
      <c r="E188" s="304" t="e">
        <f>C188</f>
        <v>#N/A</v>
      </c>
      <c r="F188" s="64" t="e">
        <f>$E$164&amp;"/USD"&amp;FIXED((E188/$F$167),0)&amp;" ("&amp;FIXED(($F$117*D188*$F$167),0)&amp;$E$164&amp;" recommended: approximately USD$"&amp;D188&amp;" per year x "&amp;$F$117&amp;" Pioneers)"</f>
        <v>#N/A</v>
      </c>
      <c r="G188" s="260"/>
      <c r="H188" s="34"/>
      <c r="I188" s="27"/>
      <c r="J188" s="28"/>
      <c r="K188" s="185"/>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c r="EK188" s="28"/>
      <c r="EL188" s="28"/>
      <c r="EM188" s="28"/>
      <c r="EN188" s="28"/>
      <c r="EO188" s="28"/>
      <c r="EP188" s="28"/>
      <c r="EQ188" s="28"/>
      <c r="ER188" s="28"/>
      <c r="ES188" s="28"/>
      <c r="ET188" s="28"/>
      <c r="EU188" s="28"/>
      <c r="EV188" s="28"/>
      <c r="EW188" s="28"/>
      <c r="EX188" s="28"/>
      <c r="EY188" s="28"/>
      <c r="EZ188" s="28"/>
      <c r="FA188" s="28"/>
      <c r="FB188" s="28"/>
      <c r="FC188" s="28"/>
      <c r="FD188" s="28"/>
      <c r="FE188" s="28"/>
      <c r="FF188" s="28"/>
      <c r="FG188" s="28"/>
      <c r="FH188" s="28"/>
      <c r="FI188" s="28"/>
      <c r="FJ188" s="28"/>
      <c r="FK188" s="28"/>
      <c r="FL188" s="28"/>
      <c r="FM188" s="28"/>
      <c r="FN188" s="28"/>
      <c r="FO188" s="28"/>
      <c r="FP188" s="28"/>
      <c r="FQ188" s="28"/>
      <c r="FR188" s="28"/>
    </row>
    <row r="189" spans="2:174" s="272" customFormat="1" ht="18" customHeight="1">
      <c r="B189" s="273"/>
      <c r="C189" s="310"/>
      <c r="D189" s="282">
        <f>D187+1</f>
        <v>56</v>
      </c>
      <c r="E189" s="295" t="s">
        <v>5034</v>
      </c>
      <c r="F189" s="275"/>
      <c r="G189" s="277"/>
      <c r="H189" s="278"/>
      <c r="I189" s="279"/>
      <c r="J189" s="280"/>
      <c r="K189" s="281"/>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280"/>
      <c r="AV189" s="280"/>
      <c r="AW189" s="280"/>
      <c r="AX189" s="280"/>
      <c r="AY189" s="280"/>
      <c r="AZ189" s="280"/>
      <c r="BA189" s="280"/>
      <c r="BB189" s="280"/>
      <c r="BC189" s="280"/>
      <c r="BD189" s="280"/>
      <c r="BE189" s="280"/>
      <c r="BF189" s="280"/>
      <c r="BG189" s="280"/>
      <c r="BH189" s="280"/>
      <c r="BI189" s="280"/>
      <c r="BJ189" s="280"/>
      <c r="BK189" s="280"/>
      <c r="BL189" s="280"/>
      <c r="BM189" s="280"/>
      <c r="BN189" s="280"/>
      <c r="BO189" s="280"/>
      <c r="BP189" s="280"/>
      <c r="BQ189" s="280"/>
      <c r="BR189" s="280"/>
      <c r="BS189" s="280"/>
      <c r="BT189" s="280"/>
      <c r="BU189" s="280"/>
      <c r="BV189" s="280"/>
      <c r="BW189" s="280"/>
      <c r="BX189" s="280"/>
      <c r="BY189" s="280"/>
      <c r="BZ189" s="280"/>
      <c r="CA189" s="280"/>
      <c r="CB189" s="280"/>
      <c r="CC189" s="280"/>
      <c r="CD189" s="280"/>
      <c r="CE189" s="280"/>
      <c r="CF189" s="280"/>
      <c r="CG189" s="280"/>
      <c r="CH189" s="280"/>
      <c r="CI189" s="280"/>
      <c r="CJ189" s="280"/>
      <c r="CK189" s="280"/>
      <c r="CL189" s="280"/>
      <c r="CM189" s="280"/>
      <c r="CN189" s="280"/>
      <c r="CO189" s="280"/>
      <c r="CP189" s="280"/>
      <c r="CQ189" s="280"/>
      <c r="CR189" s="280"/>
      <c r="CS189" s="280"/>
      <c r="CT189" s="280"/>
      <c r="CU189" s="280"/>
      <c r="CV189" s="280"/>
      <c r="CW189" s="280"/>
      <c r="CX189" s="280"/>
      <c r="CY189" s="280"/>
      <c r="CZ189" s="280"/>
      <c r="DA189" s="280"/>
      <c r="DB189" s="280"/>
      <c r="DC189" s="280"/>
      <c r="DD189" s="280"/>
      <c r="DE189" s="280"/>
      <c r="DF189" s="280"/>
      <c r="DG189" s="280"/>
      <c r="DH189" s="280"/>
      <c r="DI189" s="280"/>
      <c r="DJ189" s="280"/>
      <c r="DK189" s="280"/>
      <c r="DL189" s="280"/>
      <c r="DM189" s="280"/>
      <c r="DN189" s="280"/>
      <c r="DO189" s="280"/>
      <c r="DP189" s="280"/>
      <c r="DQ189" s="280"/>
      <c r="DR189" s="280"/>
      <c r="DS189" s="280"/>
      <c r="DT189" s="280"/>
      <c r="DU189" s="280"/>
      <c r="DV189" s="280"/>
      <c r="DW189" s="280"/>
      <c r="DX189" s="280"/>
      <c r="DY189" s="280"/>
      <c r="DZ189" s="280"/>
      <c r="EA189" s="280"/>
      <c r="EB189" s="280"/>
      <c r="EC189" s="280"/>
      <c r="ED189" s="280"/>
      <c r="EE189" s="280"/>
      <c r="EF189" s="280"/>
      <c r="EG189" s="280"/>
      <c r="EH189" s="280"/>
      <c r="EI189" s="280"/>
      <c r="EJ189" s="280"/>
      <c r="EK189" s="280"/>
      <c r="EL189" s="280"/>
      <c r="EM189" s="280"/>
      <c r="EN189" s="280"/>
      <c r="EO189" s="280"/>
      <c r="EP189" s="280"/>
      <c r="EQ189" s="280"/>
      <c r="ER189" s="280"/>
      <c r="ES189" s="280"/>
      <c r="ET189" s="280"/>
      <c r="EU189" s="280"/>
      <c r="EV189" s="280"/>
      <c r="EW189" s="280"/>
      <c r="EX189" s="280"/>
      <c r="EY189" s="280"/>
      <c r="EZ189" s="280"/>
      <c r="FA189" s="280"/>
      <c r="FB189" s="280"/>
      <c r="FC189" s="280"/>
      <c r="FD189" s="280"/>
      <c r="FE189" s="280"/>
      <c r="FF189" s="280"/>
      <c r="FG189" s="280"/>
      <c r="FH189" s="280"/>
      <c r="FI189" s="280"/>
      <c r="FJ189" s="280"/>
      <c r="FK189" s="280"/>
      <c r="FL189" s="280"/>
      <c r="FM189" s="280"/>
      <c r="FN189" s="280"/>
      <c r="FO189" s="280"/>
      <c r="FP189" s="280"/>
      <c r="FQ189" s="280"/>
      <c r="FR189" s="280"/>
    </row>
    <row r="190" spans="2:174" s="29" customFormat="1" ht="16" customHeight="1">
      <c r="B190" s="25"/>
      <c r="C190" s="309" t="e">
        <f>ROUND(($D$190*$F$167),0)</f>
        <v>#N/A</v>
      </c>
      <c r="D190" s="286">
        <v>200</v>
      </c>
      <c r="E190" s="304" t="e">
        <f>C190</f>
        <v>#N/A</v>
      </c>
      <c r="F190" s="64" t="e">
        <f>$E$164&amp;"/USD"&amp;FIXED((E190/$F$167),0)&amp;" ("&amp;FIXED((D190*$F$167),0)&amp;$E$164&amp;" maximum annually: up to USD$"&amp;D190&amp;" per year for 3 years)"</f>
        <v>#N/A</v>
      </c>
      <c r="G190" s="260"/>
      <c r="H190" s="34"/>
      <c r="I190" s="27"/>
      <c r="J190" s="28"/>
      <c r="K190" s="185"/>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c r="EJ190" s="28"/>
      <c r="EK190" s="28"/>
      <c r="EL190" s="28"/>
      <c r="EM190" s="28"/>
      <c r="EN190" s="28"/>
      <c r="EO190" s="28"/>
      <c r="EP190" s="28"/>
      <c r="EQ190" s="28"/>
      <c r="ER190" s="28"/>
      <c r="ES190" s="28"/>
      <c r="ET190" s="28"/>
      <c r="EU190" s="28"/>
      <c r="EV190" s="28"/>
      <c r="EW190" s="28"/>
      <c r="EX190" s="28"/>
      <c r="EY190" s="28"/>
      <c r="EZ190" s="28"/>
      <c r="FA190" s="28"/>
      <c r="FB190" s="28"/>
      <c r="FC190" s="28"/>
      <c r="FD190" s="28"/>
      <c r="FE190" s="28"/>
      <c r="FF190" s="28"/>
      <c r="FG190" s="28"/>
      <c r="FH190" s="28"/>
      <c r="FI190" s="28"/>
      <c r="FJ190" s="28"/>
      <c r="FK190" s="28"/>
      <c r="FL190" s="28"/>
      <c r="FM190" s="28"/>
      <c r="FN190" s="28"/>
      <c r="FO190" s="28"/>
      <c r="FP190" s="28"/>
      <c r="FQ190" s="28"/>
      <c r="FR190" s="28"/>
    </row>
    <row r="191" spans="2:174" s="272" customFormat="1" ht="18" customHeight="1">
      <c r="B191" s="273"/>
      <c r="C191" s="310"/>
      <c r="D191" s="282">
        <f>D189+1</f>
        <v>57</v>
      </c>
      <c r="E191" s="295" t="s">
        <v>5035</v>
      </c>
      <c r="F191" s="275"/>
      <c r="G191" s="277"/>
      <c r="H191" s="278"/>
      <c r="I191" s="279"/>
      <c r="J191" s="280"/>
      <c r="K191" s="281"/>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0"/>
      <c r="AY191" s="280"/>
      <c r="AZ191" s="280"/>
      <c r="BA191" s="280"/>
      <c r="BB191" s="280"/>
      <c r="BC191" s="280"/>
      <c r="BD191" s="280"/>
      <c r="BE191" s="280"/>
      <c r="BF191" s="280"/>
      <c r="BG191" s="280"/>
      <c r="BH191" s="280"/>
      <c r="BI191" s="280"/>
      <c r="BJ191" s="280"/>
      <c r="BK191" s="280"/>
      <c r="BL191" s="280"/>
      <c r="BM191" s="280"/>
      <c r="BN191" s="280"/>
      <c r="BO191" s="280"/>
      <c r="BP191" s="280"/>
      <c r="BQ191" s="280"/>
      <c r="BR191" s="280"/>
      <c r="BS191" s="280"/>
      <c r="BT191" s="280"/>
      <c r="BU191" s="280"/>
      <c r="BV191" s="280"/>
      <c r="BW191" s="280"/>
      <c r="BX191" s="280"/>
      <c r="BY191" s="280"/>
      <c r="BZ191" s="280"/>
      <c r="CA191" s="280"/>
      <c r="CB191" s="280"/>
      <c r="CC191" s="280"/>
      <c r="CD191" s="280"/>
      <c r="CE191" s="280"/>
      <c r="CF191" s="280"/>
      <c r="CG191" s="280"/>
      <c r="CH191" s="280"/>
      <c r="CI191" s="280"/>
      <c r="CJ191" s="280"/>
      <c r="CK191" s="280"/>
      <c r="CL191" s="280"/>
      <c r="CM191" s="280"/>
      <c r="CN191" s="280"/>
      <c r="CO191" s="280"/>
      <c r="CP191" s="280"/>
      <c r="CQ191" s="280"/>
      <c r="CR191" s="280"/>
      <c r="CS191" s="280"/>
      <c r="CT191" s="280"/>
      <c r="CU191" s="280"/>
      <c r="CV191" s="280"/>
      <c r="CW191" s="280"/>
      <c r="CX191" s="280"/>
      <c r="CY191" s="280"/>
      <c r="CZ191" s="280"/>
      <c r="DA191" s="280"/>
      <c r="DB191" s="280"/>
      <c r="DC191" s="280"/>
      <c r="DD191" s="280"/>
      <c r="DE191" s="280"/>
      <c r="DF191" s="280"/>
      <c r="DG191" s="280"/>
      <c r="DH191" s="280"/>
      <c r="DI191" s="280"/>
      <c r="DJ191" s="280"/>
      <c r="DK191" s="280"/>
      <c r="DL191" s="280"/>
      <c r="DM191" s="280"/>
      <c r="DN191" s="280"/>
      <c r="DO191" s="280"/>
      <c r="DP191" s="280"/>
      <c r="DQ191" s="280"/>
      <c r="DR191" s="280"/>
      <c r="DS191" s="280"/>
      <c r="DT191" s="280"/>
      <c r="DU191" s="280"/>
      <c r="DV191" s="280"/>
      <c r="DW191" s="280"/>
      <c r="DX191" s="280"/>
      <c r="DY191" s="280"/>
      <c r="DZ191" s="280"/>
      <c r="EA191" s="280"/>
      <c r="EB191" s="280"/>
      <c r="EC191" s="280"/>
      <c r="ED191" s="280"/>
      <c r="EE191" s="280"/>
      <c r="EF191" s="280"/>
      <c r="EG191" s="280"/>
      <c r="EH191" s="280"/>
      <c r="EI191" s="280"/>
      <c r="EJ191" s="280"/>
      <c r="EK191" s="280"/>
      <c r="EL191" s="280"/>
      <c r="EM191" s="280"/>
      <c r="EN191" s="280"/>
      <c r="EO191" s="280"/>
      <c r="EP191" s="280"/>
      <c r="EQ191" s="280"/>
      <c r="ER191" s="280"/>
      <c r="ES191" s="280"/>
      <c r="ET191" s="280"/>
      <c r="EU191" s="280"/>
      <c r="EV191" s="280"/>
      <c r="EW191" s="280"/>
      <c r="EX191" s="280"/>
      <c r="EY191" s="280"/>
      <c r="EZ191" s="280"/>
      <c r="FA191" s="280"/>
      <c r="FB191" s="280"/>
      <c r="FC191" s="280"/>
      <c r="FD191" s="280"/>
      <c r="FE191" s="280"/>
      <c r="FF191" s="280"/>
      <c r="FG191" s="280"/>
      <c r="FH191" s="280"/>
      <c r="FI191" s="280"/>
      <c r="FJ191" s="280"/>
      <c r="FK191" s="280"/>
      <c r="FL191" s="280"/>
      <c r="FM191" s="280"/>
      <c r="FN191" s="280"/>
      <c r="FO191" s="280"/>
      <c r="FP191" s="280"/>
      <c r="FQ191" s="280"/>
      <c r="FR191" s="280"/>
    </row>
    <row r="192" spans="2:174" s="29" customFormat="1" ht="16" customHeight="1">
      <c r="B192" s="25"/>
      <c r="C192" s="309" t="e">
        <f>ROUND(($D$192*$F$167),0)</f>
        <v>#N/A</v>
      </c>
      <c r="D192" s="286">
        <v>150</v>
      </c>
      <c r="E192" s="304" t="e">
        <f>C192</f>
        <v>#N/A</v>
      </c>
      <c r="F192" s="64" t="e">
        <f>$E$164&amp;"/USD"&amp;FIXED((E192/$F$167),0)&amp;" ("&amp;FIXED((D192*$F$167),0)&amp;$E$164&amp;" maximum annually: up to USD$"&amp;D192&amp;" per year for 3 years)"</f>
        <v>#N/A</v>
      </c>
      <c r="G192" s="260"/>
      <c r="H192" s="34"/>
      <c r="I192" s="27"/>
      <c r="J192" s="28"/>
      <c r="K192" s="185"/>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c r="EJ192" s="28"/>
      <c r="EK192" s="28"/>
      <c r="EL192" s="28"/>
      <c r="EM192" s="28"/>
      <c r="EN192" s="28"/>
      <c r="EO192" s="28"/>
      <c r="EP192" s="28"/>
      <c r="EQ192" s="28"/>
      <c r="ER192" s="28"/>
      <c r="ES192" s="28"/>
      <c r="ET192" s="28"/>
      <c r="EU192" s="28"/>
      <c r="EV192" s="28"/>
      <c r="EW192" s="28"/>
      <c r="EX192" s="28"/>
      <c r="EY192" s="28"/>
      <c r="EZ192" s="28"/>
      <c r="FA192" s="28"/>
      <c r="FB192" s="28"/>
      <c r="FC192" s="28"/>
      <c r="FD192" s="28"/>
      <c r="FE192" s="28"/>
      <c r="FF192" s="28"/>
      <c r="FG192" s="28"/>
      <c r="FH192" s="28"/>
      <c r="FI192" s="28"/>
      <c r="FJ192" s="28"/>
      <c r="FK192" s="28"/>
      <c r="FL192" s="28"/>
      <c r="FM192" s="28"/>
      <c r="FN192" s="28"/>
      <c r="FO192" s="28"/>
      <c r="FP192" s="28"/>
      <c r="FQ192" s="28"/>
      <c r="FR192" s="28"/>
    </row>
    <row r="193" spans="2:174" s="272" customFormat="1" ht="18" customHeight="1">
      <c r="B193" s="273"/>
      <c r="C193" s="310"/>
      <c r="D193" s="282">
        <f>D191+1</f>
        <v>58</v>
      </c>
      <c r="E193" s="295" t="s">
        <v>5036</v>
      </c>
      <c r="F193" s="275"/>
      <c r="G193" s="277"/>
      <c r="H193" s="278"/>
      <c r="I193" s="279"/>
      <c r="J193" s="280"/>
      <c r="K193" s="281"/>
      <c r="L193" s="280"/>
      <c r="M193" s="280"/>
      <c r="N193" s="280"/>
      <c r="O193" s="280"/>
      <c r="P193" s="280"/>
      <c r="Q193" s="280"/>
      <c r="R193" s="280"/>
      <c r="S193" s="280"/>
      <c r="T193" s="280"/>
      <c r="U193" s="280"/>
      <c r="V193" s="280"/>
      <c r="W193" s="280"/>
      <c r="X193" s="280"/>
      <c r="Y193" s="280"/>
      <c r="Z193" s="280"/>
      <c r="AA193" s="280"/>
      <c r="AB193" s="280"/>
      <c r="AC193" s="280"/>
      <c r="AD193" s="280"/>
      <c r="AE193" s="280"/>
      <c r="AF193" s="280"/>
      <c r="AG193" s="280"/>
      <c r="AH193" s="280"/>
      <c r="AI193" s="280"/>
      <c r="AJ193" s="280"/>
      <c r="AK193" s="280"/>
      <c r="AL193" s="280"/>
      <c r="AM193" s="280"/>
      <c r="AN193" s="280"/>
      <c r="AO193" s="280"/>
      <c r="AP193" s="280"/>
      <c r="AQ193" s="280"/>
      <c r="AR193" s="280"/>
      <c r="AS193" s="280"/>
      <c r="AT193" s="280"/>
      <c r="AU193" s="280"/>
      <c r="AV193" s="280"/>
      <c r="AW193" s="280"/>
      <c r="AX193" s="280"/>
      <c r="AY193" s="280"/>
      <c r="AZ193" s="280"/>
      <c r="BA193" s="280"/>
      <c r="BB193" s="280"/>
      <c r="BC193" s="280"/>
      <c r="BD193" s="280"/>
      <c r="BE193" s="280"/>
      <c r="BF193" s="280"/>
      <c r="BG193" s="280"/>
      <c r="BH193" s="280"/>
      <c r="BI193" s="280"/>
      <c r="BJ193" s="280"/>
      <c r="BK193" s="280"/>
      <c r="BL193" s="280"/>
      <c r="BM193" s="280"/>
      <c r="BN193" s="280"/>
      <c r="BO193" s="280"/>
      <c r="BP193" s="280"/>
      <c r="BQ193" s="280"/>
      <c r="BR193" s="280"/>
      <c r="BS193" s="280"/>
      <c r="BT193" s="280"/>
      <c r="BU193" s="280"/>
      <c r="BV193" s="280"/>
      <c r="BW193" s="280"/>
      <c r="BX193" s="280"/>
      <c r="BY193" s="280"/>
      <c r="BZ193" s="280"/>
      <c r="CA193" s="280"/>
      <c r="CB193" s="280"/>
      <c r="CC193" s="280"/>
      <c r="CD193" s="280"/>
      <c r="CE193" s="280"/>
      <c r="CF193" s="280"/>
      <c r="CG193" s="280"/>
      <c r="CH193" s="280"/>
      <c r="CI193" s="280"/>
      <c r="CJ193" s="280"/>
      <c r="CK193" s="280"/>
      <c r="CL193" s="280"/>
      <c r="CM193" s="280"/>
      <c r="CN193" s="280"/>
      <c r="CO193" s="280"/>
      <c r="CP193" s="280"/>
      <c r="CQ193" s="280"/>
      <c r="CR193" s="280"/>
      <c r="CS193" s="280"/>
      <c r="CT193" s="280"/>
      <c r="CU193" s="280"/>
      <c r="CV193" s="280"/>
      <c r="CW193" s="280"/>
      <c r="CX193" s="280"/>
      <c r="CY193" s="280"/>
      <c r="CZ193" s="280"/>
      <c r="DA193" s="280"/>
      <c r="DB193" s="280"/>
      <c r="DC193" s="280"/>
      <c r="DD193" s="280"/>
      <c r="DE193" s="280"/>
      <c r="DF193" s="280"/>
      <c r="DG193" s="280"/>
      <c r="DH193" s="280"/>
      <c r="DI193" s="280"/>
      <c r="DJ193" s="280"/>
      <c r="DK193" s="280"/>
      <c r="DL193" s="280"/>
      <c r="DM193" s="280"/>
      <c r="DN193" s="280"/>
      <c r="DO193" s="280"/>
      <c r="DP193" s="280"/>
      <c r="DQ193" s="280"/>
      <c r="DR193" s="280"/>
      <c r="DS193" s="280"/>
      <c r="DT193" s="280"/>
      <c r="DU193" s="280"/>
      <c r="DV193" s="280"/>
      <c r="DW193" s="280"/>
      <c r="DX193" s="280"/>
      <c r="DY193" s="280"/>
      <c r="DZ193" s="280"/>
      <c r="EA193" s="280"/>
      <c r="EB193" s="280"/>
      <c r="EC193" s="280"/>
      <c r="ED193" s="280"/>
      <c r="EE193" s="280"/>
      <c r="EF193" s="280"/>
      <c r="EG193" s="280"/>
      <c r="EH193" s="280"/>
      <c r="EI193" s="280"/>
      <c r="EJ193" s="280"/>
      <c r="EK193" s="280"/>
      <c r="EL193" s="280"/>
      <c r="EM193" s="280"/>
      <c r="EN193" s="280"/>
      <c r="EO193" s="280"/>
      <c r="EP193" s="280"/>
      <c r="EQ193" s="280"/>
      <c r="ER193" s="280"/>
      <c r="ES193" s="280"/>
      <c r="ET193" s="280"/>
      <c r="EU193" s="280"/>
      <c r="EV193" s="280"/>
      <c r="EW193" s="280"/>
      <c r="EX193" s="280"/>
      <c r="EY193" s="280"/>
      <c r="EZ193" s="280"/>
      <c r="FA193" s="280"/>
      <c r="FB193" s="280"/>
      <c r="FC193" s="280"/>
      <c r="FD193" s="280"/>
      <c r="FE193" s="280"/>
      <c r="FF193" s="280"/>
      <c r="FG193" s="280"/>
      <c r="FH193" s="280"/>
      <c r="FI193" s="280"/>
      <c r="FJ193" s="280"/>
      <c r="FK193" s="280"/>
      <c r="FL193" s="280"/>
      <c r="FM193" s="280"/>
      <c r="FN193" s="280"/>
      <c r="FO193" s="280"/>
      <c r="FP193" s="280"/>
      <c r="FQ193" s="280"/>
      <c r="FR193" s="280"/>
    </row>
    <row r="194" spans="2:174" s="29" customFormat="1" ht="16" customHeight="1">
      <c r="B194" s="25"/>
      <c r="C194" s="309" t="e">
        <f>ROUND(($D$194*$F$167),0)</f>
        <v>#N/A</v>
      </c>
      <c r="D194" s="286">
        <v>215</v>
      </c>
      <c r="E194" s="304" t="e">
        <f>C194</f>
        <v>#N/A</v>
      </c>
      <c r="F194" s="64" t="e">
        <f>$E$164&amp;"/USD"&amp;FIXED((E194/$F$167),0)&amp;" ("&amp;FIXED((D194*$F$167),0)&amp;$E$164&amp;" maximum annually: up to USD$"&amp;D194&amp;" per year for 3 years)"</f>
        <v>#N/A</v>
      </c>
      <c r="G194" s="260"/>
      <c r="H194" s="34"/>
      <c r="I194" s="27"/>
      <c r="J194" s="28"/>
      <c r="K194" s="185"/>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c r="ET194" s="28"/>
      <c r="EU194" s="28"/>
      <c r="EV194" s="28"/>
      <c r="EW194" s="28"/>
      <c r="EX194" s="28"/>
      <c r="EY194" s="28"/>
      <c r="EZ194" s="28"/>
      <c r="FA194" s="28"/>
      <c r="FB194" s="28"/>
      <c r="FC194" s="28"/>
      <c r="FD194" s="28"/>
      <c r="FE194" s="28"/>
      <c r="FF194" s="28"/>
      <c r="FG194" s="28"/>
      <c r="FH194" s="28"/>
      <c r="FI194" s="28"/>
      <c r="FJ194" s="28"/>
      <c r="FK194" s="28"/>
      <c r="FL194" s="28"/>
      <c r="FM194" s="28"/>
      <c r="FN194" s="28"/>
      <c r="FO194" s="28"/>
      <c r="FP194" s="28"/>
      <c r="FQ194" s="28"/>
      <c r="FR194" s="28"/>
    </row>
    <row r="195" spans="2:174" s="272" customFormat="1" ht="18" customHeight="1">
      <c r="B195" s="273"/>
      <c r="C195" s="310"/>
      <c r="D195" s="282">
        <f>D193+1</f>
        <v>59</v>
      </c>
      <c r="E195" s="295" t="s">
        <v>5029</v>
      </c>
      <c r="F195" s="275"/>
      <c r="G195" s="277"/>
      <c r="H195" s="278"/>
      <c r="I195" s="279"/>
      <c r="J195" s="280"/>
      <c r="K195" s="281"/>
      <c r="L195" s="280"/>
      <c r="M195" s="280"/>
      <c r="N195" s="280"/>
      <c r="O195" s="280"/>
      <c r="P195" s="280"/>
      <c r="Q195" s="280"/>
      <c r="R195" s="280"/>
      <c r="S195" s="280"/>
      <c r="T195" s="280"/>
      <c r="U195" s="280"/>
      <c r="V195" s="280"/>
      <c r="W195" s="280"/>
      <c r="X195" s="280"/>
      <c r="Y195" s="280"/>
      <c r="Z195" s="280"/>
      <c r="AA195" s="280"/>
      <c r="AB195" s="280"/>
      <c r="AC195" s="280"/>
      <c r="AD195" s="280"/>
      <c r="AE195" s="280"/>
      <c r="AF195" s="280"/>
      <c r="AG195" s="280"/>
      <c r="AH195" s="280"/>
      <c r="AI195" s="280"/>
      <c r="AJ195" s="280"/>
      <c r="AK195" s="280"/>
      <c r="AL195" s="280"/>
      <c r="AM195" s="280"/>
      <c r="AN195" s="280"/>
      <c r="AO195" s="280"/>
      <c r="AP195" s="280"/>
      <c r="AQ195" s="280"/>
      <c r="AR195" s="280"/>
      <c r="AS195" s="280"/>
      <c r="AT195" s="280"/>
      <c r="AU195" s="280"/>
      <c r="AV195" s="280"/>
      <c r="AW195" s="280"/>
      <c r="AX195" s="280"/>
      <c r="AY195" s="280"/>
      <c r="AZ195" s="280"/>
      <c r="BA195" s="280"/>
      <c r="BB195" s="280"/>
      <c r="BC195" s="280"/>
      <c r="BD195" s="280"/>
      <c r="BE195" s="280"/>
      <c r="BF195" s="280"/>
      <c r="BG195" s="280"/>
      <c r="BH195" s="280"/>
      <c r="BI195" s="280"/>
      <c r="BJ195" s="280"/>
      <c r="BK195" s="280"/>
      <c r="BL195" s="280"/>
      <c r="BM195" s="280"/>
      <c r="BN195" s="280"/>
      <c r="BO195" s="280"/>
      <c r="BP195" s="280"/>
      <c r="BQ195" s="280"/>
      <c r="BR195" s="280"/>
      <c r="BS195" s="280"/>
      <c r="BT195" s="280"/>
      <c r="BU195" s="280"/>
      <c r="BV195" s="280"/>
      <c r="BW195" s="280"/>
      <c r="BX195" s="280"/>
      <c r="BY195" s="280"/>
      <c r="BZ195" s="280"/>
      <c r="CA195" s="280"/>
      <c r="CB195" s="280"/>
      <c r="CC195" s="280"/>
      <c r="CD195" s="280"/>
      <c r="CE195" s="280"/>
      <c r="CF195" s="280"/>
      <c r="CG195" s="280"/>
      <c r="CH195" s="280"/>
      <c r="CI195" s="280"/>
      <c r="CJ195" s="280"/>
      <c r="CK195" s="280"/>
      <c r="CL195" s="280"/>
      <c r="CM195" s="280"/>
      <c r="CN195" s="280"/>
      <c r="CO195" s="280"/>
      <c r="CP195" s="280"/>
      <c r="CQ195" s="280"/>
      <c r="CR195" s="280"/>
      <c r="CS195" s="280"/>
      <c r="CT195" s="280"/>
      <c r="CU195" s="280"/>
      <c r="CV195" s="280"/>
      <c r="CW195" s="280"/>
      <c r="CX195" s="280"/>
      <c r="CY195" s="280"/>
      <c r="CZ195" s="280"/>
      <c r="DA195" s="280"/>
      <c r="DB195" s="280"/>
      <c r="DC195" s="280"/>
      <c r="DD195" s="280"/>
      <c r="DE195" s="280"/>
      <c r="DF195" s="280"/>
      <c r="DG195" s="280"/>
      <c r="DH195" s="280"/>
      <c r="DI195" s="280"/>
      <c r="DJ195" s="280"/>
      <c r="DK195" s="280"/>
      <c r="DL195" s="280"/>
      <c r="DM195" s="280"/>
      <c r="DN195" s="280"/>
      <c r="DO195" s="280"/>
      <c r="DP195" s="280"/>
      <c r="DQ195" s="280"/>
      <c r="DR195" s="280"/>
      <c r="DS195" s="280"/>
      <c r="DT195" s="280"/>
      <c r="DU195" s="280"/>
      <c r="DV195" s="280"/>
      <c r="DW195" s="280"/>
      <c r="DX195" s="280"/>
      <c r="DY195" s="280"/>
      <c r="DZ195" s="280"/>
      <c r="EA195" s="280"/>
      <c r="EB195" s="280"/>
      <c r="EC195" s="280"/>
      <c r="ED195" s="280"/>
      <c r="EE195" s="280"/>
      <c r="EF195" s="280"/>
      <c r="EG195" s="280"/>
      <c r="EH195" s="280"/>
      <c r="EI195" s="280"/>
      <c r="EJ195" s="280"/>
      <c r="EK195" s="280"/>
      <c r="EL195" s="280"/>
      <c r="EM195" s="280"/>
      <c r="EN195" s="280"/>
      <c r="EO195" s="280"/>
      <c r="EP195" s="280"/>
      <c r="EQ195" s="280"/>
      <c r="ER195" s="280"/>
      <c r="ES195" s="280"/>
      <c r="ET195" s="280"/>
      <c r="EU195" s="280"/>
      <c r="EV195" s="280"/>
      <c r="EW195" s="280"/>
      <c r="EX195" s="280"/>
      <c r="EY195" s="280"/>
      <c r="EZ195" s="280"/>
      <c r="FA195" s="280"/>
      <c r="FB195" s="280"/>
      <c r="FC195" s="280"/>
      <c r="FD195" s="280"/>
      <c r="FE195" s="280"/>
      <c r="FF195" s="280"/>
      <c r="FG195" s="280"/>
      <c r="FH195" s="280"/>
      <c r="FI195" s="280"/>
      <c r="FJ195" s="280"/>
      <c r="FK195" s="280"/>
      <c r="FL195" s="280"/>
      <c r="FM195" s="280"/>
      <c r="FN195" s="280"/>
      <c r="FO195" s="280"/>
      <c r="FP195" s="280"/>
      <c r="FQ195" s="280"/>
      <c r="FR195" s="280"/>
    </row>
    <row r="196" spans="2:174" s="29" customFormat="1" ht="16" customHeight="1">
      <c r="B196" s="25"/>
      <c r="C196" s="309" t="e">
        <f>ROUND(($E$165*$D$196*$F$117),0)</f>
        <v>#N/A</v>
      </c>
      <c r="D196" s="269">
        <v>0.1</v>
      </c>
      <c r="E196" s="304" t="e">
        <f>C196</f>
        <v>#N/A</v>
      </c>
      <c r="F196" s="64" t="e">
        <f>$E$164&amp;"/USD"&amp;FIXED((E196/$F$167),0)&amp;" ("&amp;FIXED(($E$165*D196*$F$117),0)&amp;$E$164&amp;" Recommended: RF x "&amp;FIXED(($D196*100),0)&amp;"% x "&amp;$F$117&amp;" Pioneers)"</f>
        <v>#N/A</v>
      </c>
      <c r="G196" s="260"/>
      <c r="H196" s="34"/>
      <c r="I196" s="27"/>
      <c r="J196" s="28"/>
      <c r="K196" s="185"/>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c r="EJ196" s="28"/>
      <c r="EK196" s="28"/>
      <c r="EL196" s="28"/>
      <c r="EM196" s="28"/>
      <c r="EN196" s="28"/>
      <c r="EO196" s="28"/>
      <c r="EP196" s="28"/>
      <c r="EQ196" s="28"/>
      <c r="ER196" s="28"/>
      <c r="ES196" s="28"/>
      <c r="ET196" s="28"/>
      <c r="EU196" s="28"/>
      <c r="EV196" s="28"/>
      <c r="EW196" s="28"/>
      <c r="EX196" s="28"/>
      <c r="EY196" s="28"/>
      <c r="EZ196" s="28"/>
      <c r="FA196" s="28"/>
      <c r="FB196" s="28"/>
      <c r="FC196" s="28"/>
      <c r="FD196" s="28"/>
      <c r="FE196" s="28"/>
      <c r="FF196" s="28"/>
      <c r="FG196" s="28"/>
      <c r="FH196" s="28"/>
      <c r="FI196" s="28"/>
      <c r="FJ196" s="28"/>
      <c r="FK196" s="28"/>
      <c r="FL196" s="28"/>
      <c r="FM196" s="28"/>
      <c r="FN196" s="28"/>
      <c r="FO196" s="28"/>
      <c r="FP196" s="28"/>
      <c r="FQ196" s="28"/>
      <c r="FR196" s="28"/>
    </row>
    <row r="197" spans="2:174" s="272" customFormat="1" ht="18" customHeight="1">
      <c r="B197" s="273"/>
      <c r="C197" s="310"/>
      <c r="D197" s="282">
        <f>D195+1</f>
        <v>60</v>
      </c>
      <c r="E197" s="295" t="s">
        <v>5037</v>
      </c>
      <c r="F197" s="275"/>
      <c r="G197" s="277"/>
      <c r="H197" s="278"/>
      <c r="I197" s="279"/>
      <c r="J197" s="280"/>
      <c r="K197" s="281"/>
      <c r="L197" s="280"/>
      <c r="M197" s="280"/>
      <c r="N197" s="280"/>
      <c r="O197" s="280"/>
      <c r="P197" s="280"/>
      <c r="Q197" s="280"/>
      <c r="R197" s="280"/>
      <c r="S197" s="280"/>
      <c r="T197" s="280"/>
      <c r="U197" s="280"/>
      <c r="V197" s="280"/>
      <c r="W197" s="280"/>
      <c r="X197" s="280"/>
      <c r="Y197" s="280"/>
      <c r="Z197" s="280"/>
      <c r="AA197" s="280"/>
      <c r="AB197" s="280"/>
      <c r="AC197" s="280"/>
      <c r="AD197" s="280"/>
      <c r="AE197" s="280"/>
      <c r="AF197" s="280"/>
      <c r="AG197" s="280"/>
      <c r="AH197" s="280"/>
      <c r="AI197" s="280"/>
      <c r="AJ197" s="280"/>
      <c r="AK197" s="280"/>
      <c r="AL197" s="280"/>
      <c r="AM197" s="280"/>
      <c r="AN197" s="280"/>
      <c r="AO197" s="280"/>
      <c r="AP197" s="280"/>
      <c r="AQ197" s="280"/>
      <c r="AR197" s="280"/>
      <c r="AS197" s="280"/>
      <c r="AT197" s="280"/>
      <c r="AU197" s="280"/>
      <c r="AV197" s="280"/>
      <c r="AW197" s="280"/>
      <c r="AX197" s="280"/>
      <c r="AY197" s="280"/>
      <c r="AZ197" s="280"/>
      <c r="BA197" s="280"/>
      <c r="BB197" s="280"/>
      <c r="BC197" s="280"/>
      <c r="BD197" s="280"/>
      <c r="BE197" s="280"/>
      <c r="BF197" s="280"/>
      <c r="BG197" s="280"/>
      <c r="BH197" s="280"/>
      <c r="BI197" s="280"/>
      <c r="BJ197" s="280"/>
      <c r="BK197" s="280"/>
      <c r="BL197" s="280"/>
      <c r="BM197" s="280"/>
      <c r="BN197" s="280"/>
      <c r="BO197" s="280"/>
      <c r="BP197" s="280"/>
      <c r="BQ197" s="280"/>
      <c r="BR197" s="280"/>
      <c r="BS197" s="280"/>
      <c r="BT197" s="280"/>
      <c r="BU197" s="280"/>
      <c r="BV197" s="280"/>
      <c r="BW197" s="280"/>
      <c r="BX197" s="280"/>
      <c r="BY197" s="280"/>
      <c r="BZ197" s="280"/>
      <c r="CA197" s="280"/>
      <c r="CB197" s="280"/>
      <c r="CC197" s="280"/>
      <c r="CD197" s="280"/>
      <c r="CE197" s="280"/>
      <c r="CF197" s="280"/>
      <c r="CG197" s="280"/>
      <c r="CH197" s="280"/>
      <c r="CI197" s="280"/>
      <c r="CJ197" s="280"/>
      <c r="CK197" s="280"/>
      <c r="CL197" s="280"/>
      <c r="CM197" s="280"/>
      <c r="CN197" s="280"/>
      <c r="CO197" s="280"/>
      <c r="CP197" s="280"/>
      <c r="CQ197" s="280"/>
      <c r="CR197" s="280"/>
      <c r="CS197" s="280"/>
      <c r="CT197" s="280"/>
      <c r="CU197" s="280"/>
      <c r="CV197" s="280"/>
      <c r="CW197" s="280"/>
      <c r="CX197" s="280"/>
      <c r="CY197" s="280"/>
      <c r="CZ197" s="280"/>
      <c r="DA197" s="280"/>
      <c r="DB197" s="280"/>
      <c r="DC197" s="280"/>
      <c r="DD197" s="280"/>
      <c r="DE197" s="280"/>
      <c r="DF197" s="280"/>
      <c r="DG197" s="280"/>
      <c r="DH197" s="280"/>
      <c r="DI197" s="280"/>
      <c r="DJ197" s="280"/>
      <c r="DK197" s="280"/>
      <c r="DL197" s="280"/>
      <c r="DM197" s="280"/>
      <c r="DN197" s="280"/>
      <c r="DO197" s="280"/>
      <c r="DP197" s="280"/>
      <c r="DQ197" s="280"/>
      <c r="DR197" s="280"/>
      <c r="DS197" s="280"/>
      <c r="DT197" s="280"/>
      <c r="DU197" s="280"/>
      <c r="DV197" s="280"/>
      <c r="DW197" s="280"/>
      <c r="DX197" s="280"/>
      <c r="DY197" s="280"/>
      <c r="DZ197" s="280"/>
      <c r="EA197" s="280"/>
      <c r="EB197" s="280"/>
      <c r="EC197" s="280"/>
      <c r="ED197" s="280"/>
      <c r="EE197" s="280"/>
      <c r="EF197" s="280"/>
      <c r="EG197" s="280"/>
      <c r="EH197" s="280"/>
      <c r="EI197" s="280"/>
      <c r="EJ197" s="280"/>
      <c r="EK197" s="280"/>
      <c r="EL197" s="280"/>
      <c r="EM197" s="280"/>
      <c r="EN197" s="280"/>
      <c r="EO197" s="280"/>
      <c r="EP197" s="280"/>
      <c r="EQ197" s="280"/>
      <c r="ER197" s="280"/>
      <c r="ES197" s="280"/>
      <c r="ET197" s="280"/>
      <c r="EU197" s="280"/>
      <c r="EV197" s="280"/>
      <c r="EW197" s="280"/>
      <c r="EX197" s="280"/>
      <c r="EY197" s="280"/>
      <c r="EZ197" s="280"/>
      <c r="FA197" s="280"/>
      <c r="FB197" s="280"/>
      <c r="FC197" s="280"/>
      <c r="FD197" s="280"/>
      <c r="FE197" s="280"/>
      <c r="FF197" s="280"/>
      <c r="FG197" s="280"/>
      <c r="FH197" s="280"/>
      <c r="FI197" s="280"/>
      <c r="FJ197" s="280"/>
      <c r="FK197" s="280"/>
      <c r="FL197" s="280"/>
      <c r="FM197" s="280"/>
      <c r="FN197" s="280"/>
      <c r="FO197" s="280"/>
      <c r="FP197" s="280"/>
      <c r="FQ197" s="280"/>
      <c r="FR197" s="280"/>
    </row>
    <row r="198" spans="2:174" s="29" customFormat="1" ht="16" customHeight="1">
      <c r="B198" s="25"/>
      <c r="C198" s="309" t="e">
        <f>ROUND(($D$198*$F$167),0)</f>
        <v>#N/A</v>
      </c>
      <c r="D198" s="286">
        <v>200</v>
      </c>
      <c r="E198" s="304" t="e">
        <f>C198</f>
        <v>#N/A</v>
      </c>
      <c r="F198" s="64" t="e">
        <f>$E$164&amp;"/USD"&amp;FIXED((E198/$F$167),0)&amp;" ("&amp;FIXED((D198*$F$167),0)&amp;$E$164&amp;" maximum annually: up to USD$"&amp;D198&amp;" per year for 3 years)"</f>
        <v>#N/A</v>
      </c>
      <c r="G198" s="260"/>
      <c r="H198" s="34"/>
      <c r="I198" s="27"/>
      <c r="J198" s="28"/>
      <c r="K198" s="185"/>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c r="ET198" s="28"/>
      <c r="EU198" s="28"/>
      <c r="EV198" s="28"/>
      <c r="EW198" s="28"/>
      <c r="EX198" s="28"/>
      <c r="EY198" s="28"/>
      <c r="EZ198" s="28"/>
      <c r="FA198" s="28"/>
      <c r="FB198" s="28"/>
      <c r="FC198" s="28"/>
      <c r="FD198" s="28"/>
      <c r="FE198" s="28"/>
      <c r="FF198" s="28"/>
      <c r="FG198" s="28"/>
      <c r="FH198" s="28"/>
      <c r="FI198" s="28"/>
      <c r="FJ198" s="28"/>
      <c r="FK198" s="28"/>
      <c r="FL198" s="28"/>
      <c r="FM198" s="28"/>
      <c r="FN198" s="28"/>
      <c r="FO198" s="28"/>
      <c r="FP198" s="28"/>
      <c r="FQ198" s="28"/>
      <c r="FR198" s="28"/>
    </row>
    <row r="199" spans="2:174" s="272" customFormat="1" ht="18" customHeight="1">
      <c r="B199" s="273"/>
      <c r="C199" s="310"/>
      <c r="D199" s="282">
        <f>D197+1</f>
        <v>61</v>
      </c>
      <c r="E199" s="295" t="s">
        <v>5030</v>
      </c>
      <c r="F199" s="275"/>
      <c r="G199" s="277"/>
      <c r="H199" s="278"/>
      <c r="I199" s="279"/>
      <c r="J199" s="280"/>
      <c r="K199" s="281"/>
      <c r="L199" s="280"/>
      <c r="M199" s="280"/>
      <c r="N199" s="280"/>
      <c r="O199" s="280"/>
      <c r="P199" s="280"/>
      <c r="Q199" s="280"/>
      <c r="R199" s="280"/>
      <c r="S199" s="280"/>
      <c r="T199" s="280"/>
      <c r="U199" s="280"/>
      <c r="V199" s="280"/>
      <c r="W199" s="280"/>
      <c r="X199" s="280"/>
      <c r="Y199" s="280"/>
      <c r="Z199" s="280"/>
      <c r="AA199" s="280"/>
      <c r="AB199" s="280"/>
      <c r="AC199" s="280"/>
      <c r="AD199" s="280"/>
      <c r="AE199" s="280"/>
      <c r="AF199" s="280"/>
      <c r="AG199" s="280"/>
      <c r="AH199" s="280"/>
      <c r="AI199" s="280"/>
      <c r="AJ199" s="280"/>
      <c r="AK199" s="280"/>
      <c r="AL199" s="280"/>
      <c r="AM199" s="280"/>
      <c r="AN199" s="280"/>
      <c r="AO199" s="280"/>
      <c r="AP199" s="280"/>
      <c r="AQ199" s="280"/>
      <c r="AR199" s="280"/>
      <c r="AS199" s="280"/>
      <c r="AT199" s="280"/>
      <c r="AU199" s="280"/>
      <c r="AV199" s="280"/>
      <c r="AW199" s="280"/>
      <c r="AX199" s="280"/>
      <c r="AY199" s="280"/>
      <c r="AZ199" s="280"/>
      <c r="BA199" s="280"/>
      <c r="BB199" s="280"/>
      <c r="BC199" s="280"/>
      <c r="BD199" s="280"/>
      <c r="BE199" s="280"/>
      <c r="BF199" s="280"/>
      <c r="BG199" s="280"/>
      <c r="BH199" s="280"/>
      <c r="BI199" s="280"/>
      <c r="BJ199" s="280"/>
      <c r="BK199" s="280"/>
      <c r="BL199" s="280"/>
      <c r="BM199" s="280"/>
      <c r="BN199" s="280"/>
      <c r="BO199" s="280"/>
      <c r="BP199" s="280"/>
      <c r="BQ199" s="280"/>
      <c r="BR199" s="280"/>
      <c r="BS199" s="280"/>
      <c r="BT199" s="280"/>
      <c r="BU199" s="280"/>
      <c r="BV199" s="280"/>
      <c r="BW199" s="280"/>
      <c r="BX199" s="280"/>
      <c r="BY199" s="280"/>
      <c r="BZ199" s="280"/>
      <c r="CA199" s="280"/>
      <c r="CB199" s="280"/>
      <c r="CC199" s="280"/>
      <c r="CD199" s="280"/>
      <c r="CE199" s="280"/>
      <c r="CF199" s="280"/>
      <c r="CG199" s="280"/>
      <c r="CH199" s="280"/>
      <c r="CI199" s="280"/>
      <c r="CJ199" s="280"/>
      <c r="CK199" s="280"/>
      <c r="CL199" s="280"/>
      <c r="CM199" s="280"/>
      <c r="CN199" s="280"/>
      <c r="CO199" s="280"/>
      <c r="CP199" s="280"/>
      <c r="CQ199" s="280"/>
      <c r="CR199" s="280"/>
      <c r="CS199" s="280"/>
      <c r="CT199" s="280"/>
      <c r="CU199" s="280"/>
      <c r="CV199" s="280"/>
      <c r="CW199" s="280"/>
      <c r="CX199" s="280"/>
      <c r="CY199" s="280"/>
      <c r="CZ199" s="280"/>
      <c r="DA199" s="280"/>
      <c r="DB199" s="280"/>
      <c r="DC199" s="280"/>
      <c r="DD199" s="280"/>
      <c r="DE199" s="280"/>
      <c r="DF199" s="280"/>
      <c r="DG199" s="280"/>
      <c r="DH199" s="280"/>
      <c r="DI199" s="280"/>
      <c r="DJ199" s="280"/>
      <c r="DK199" s="280"/>
      <c r="DL199" s="280"/>
      <c r="DM199" s="280"/>
      <c r="DN199" s="280"/>
      <c r="DO199" s="280"/>
      <c r="DP199" s="280"/>
      <c r="DQ199" s="280"/>
      <c r="DR199" s="280"/>
      <c r="DS199" s="280"/>
      <c r="DT199" s="280"/>
      <c r="DU199" s="280"/>
      <c r="DV199" s="280"/>
      <c r="DW199" s="280"/>
      <c r="DX199" s="280"/>
      <c r="DY199" s="280"/>
      <c r="DZ199" s="280"/>
      <c r="EA199" s="280"/>
      <c r="EB199" s="280"/>
      <c r="EC199" s="280"/>
      <c r="ED199" s="280"/>
      <c r="EE199" s="280"/>
      <c r="EF199" s="280"/>
      <c r="EG199" s="280"/>
      <c r="EH199" s="280"/>
      <c r="EI199" s="280"/>
      <c r="EJ199" s="280"/>
      <c r="EK199" s="280"/>
      <c r="EL199" s="280"/>
      <c r="EM199" s="280"/>
      <c r="EN199" s="280"/>
      <c r="EO199" s="280"/>
      <c r="EP199" s="280"/>
      <c r="EQ199" s="280"/>
      <c r="ER199" s="280"/>
      <c r="ES199" s="280"/>
      <c r="ET199" s="280"/>
      <c r="EU199" s="280"/>
      <c r="EV199" s="280"/>
      <c r="EW199" s="280"/>
      <c r="EX199" s="280"/>
      <c r="EY199" s="280"/>
      <c r="EZ199" s="280"/>
      <c r="FA199" s="280"/>
      <c r="FB199" s="280"/>
      <c r="FC199" s="280"/>
      <c r="FD199" s="280"/>
      <c r="FE199" s="280"/>
      <c r="FF199" s="280"/>
      <c r="FG199" s="280"/>
      <c r="FH199" s="280"/>
      <c r="FI199" s="280"/>
      <c r="FJ199" s="280"/>
      <c r="FK199" s="280"/>
      <c r="FL199" s="280"/>
      <c r="FM199" s="280"/>
      <c r="FN199" s="280"/>
      <c r="FO199" s="280"/>
      <c r="FP199" s="280"/>
      <c r="FQ199" s="280"/>
      <c r="FR199" s="280"/>
    </row>
    <row r="200" spans="2:174" s="29" customFormat="1" ht="16" customHeight="1">
      <c r="B200" s="25"/>
      <c r="C200" s="309" t="e">
        <f>ROUND(($E$165*$D$200),0)</f>
        <v>#N/A</v>
      </c>
      <c r="D200" s="269">
        <v>0.5</v>
      </c>
      <c r="E200" s="304" t="e">
        <f>C200</f>
        <v>#N/A</v>
      </c>
      <c r="F200" s="64" t="e">
        <f>$E$164&amp;"/USD"&amp;FIXED((E200/$F$167),0)&amp;" ("&amp;FIXED(($E$165*D200),0)&amp;$E$164&amp;" Recommended: RF x "&amp;FIXED(($D200*100),0)&amp;"%)"</f>
        <v>#N/A</v>
      </c>
      <c r="G200" s="260"/>
      <c r="H200" s="34"/>
      <c r="I200" s="27"/>
      <c r="J200" s="28"/>
      <c r="K200" s="185"/>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c r="ET200" s="28"/>
      <c r="EU200" s="28"/>
      <c r="EV200" s="28"/>
      <c r="EW200" s="28"/>
      <c r="EX200" s="28"/>
      <c r="EY200" s="28"/>
      <c r="EZ200" s="28"/>
      <c r="FA200" s="28"/>
      <c r="FB200" s="28"/>
      <c r="FC200" s="28"/>
      <c r="FD200" s="28"/>
      <c r="FE200" s="28"/>
      <c r="FF200" s="28"/>
      <c r="FG200" s="28"/>
      <c r="FH200" s="28"/>
      <c r="FI200" s="28"/>
      <c r="FJ200" s="28"/>
      <c r="FK200" s="28"/>
      <c r="FL200" s="28"/>
      <c r="FM200" s="28"/>
      <c r="FN200" s="28"/>
      <c r="FO200" s="28"/>
      <c r="FP200" s="28"/>
      <c r="FQ200" s="28"/>
      <c r="FR200" s="28"/>
    </row>
    <row r="201" spans="2:174" s="272" customFormat="1" ht="18" customHeight="1">
      <c r="B201" s="273"/>
      <c r="C201" s="310"/>
      <c r="D201" s="282">
        <f>D199+1</f>
        <v>62</v>
      </c>
      <c r="E201" s="295" t="s">
        <v>5031</v>
      </c>
      <c r="F201" s="275"/>
      <c r="G201" s="277"/>
      <c r="H201" s="278"/>
      <c r="I201" s="279"/>
      <c r="J201" s="280"/>
      <c r="K201" s="281"/>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c r="AL201" s="280"/>
      <c r="AM201" s="280"/>
      <c r="AN201" s="280"/>
      <c r="AO201" s="280"/>
      <c r="AP201" s="280"/>
      <c r="AQ201" s="280"/>
      <c r="AR201" s="280"/>
      <c r="AS201" s="280"/>
      <c r="AT201" s="280"/>
      <c r="AU201" s="280"/>
      <c r="AV201" s="280"/>
      <c r="AW201" s="280"/>
      <c r="AX201" s="280"/>
      <c r="AY201" s="280"/>
      <c r="AZ201" s="280"/>
      <c r="BA201" s="280"/>
      <c r="BB201" s="280"/>
      <c r="BC201" s="280"/>
      <c r="BD201" s="280"/>
      <c r="BE201" s="280"/>
      <c r="BF201" s="280"/>
      <c r="BG201" s="280"/>
      <c r="BH201" s="280"/>
      <c r="BI201" s="280"/>
      <c r="BJ201" s="280"/>
      <c r="BK201" s="280"/>
      <c r="BL201" s="280"/>
      <c r="BM201" s="280"/>
      <c r="BN201" s="280"/>
      <c r="BO201" s="280"/>
      <c r="BP201" s="280"/>
      <c r="BQ201" s="280"/>
      <c r="BR201" s="280"/>
      <c r="BS201" s="280"/>
      <c r="BT201" s="280"/>
      <c r="BU201" s="280"/>
      <c r="BV201" s="280"/>
      <c r="BW201" s="280"/>
      <c r="BX201" s="280"/>
      <c r="BY201" s="280"/>
      <c r="BZ201" s="280"/>
      <c r="CA201" s="280"/>
      <c r="CB201" s="280"/>
      <c r="CC201" s="280"/>
      <c r="CD201" s="280"/>
      <c r="CE201" s="280"/>
      <c r="CF201" s="280"/>
      <c r="CG201" s="280"/>
      <c r="CH201" s="280"/>
      <c r="CI201" s="280"/>
      <c r="CJ201" s="280"/>
      <c r="CK201" s="280"/>
      <c r="CL201" s="280"/>
      <c r="CM201" s="280"/>
      <c r="CN201" s="280"/>
      <c r="CO201" s="280"/>
      <c r="CP201" s="280"/>
      <c r="CQ201" s="280"/>
      <c r="CR201" s="280"/>
      <c r="CS201" s="280"/>
      <c r="CT201" s="280"/>
      <c r="CU201" s="280"/>
      <c r="CV201" s="280"/>
      <c r="CW201" s="280"/>
      <c r="CX201" s="280"/>
      <c r="CY201" s="280"/>
      <c r="CZ201" s="280"/>
      <c r="DA201" s="280"/>
      <c r="DB201" s="280"/>
      <c r="DC201" s="280"/>
      <c r="DD201" s="280"/>
      <c r="DE201" s="280"/>
      <c r="DF201" s="280"/>
      <c r="DG201" s="280"/>
      <c r="DH201" s="280"/>
      <c r="DI201" s="280"/>
      <c r="DJ201" s="280"/>
      <c r="DK201" s="280"/>
      <c r="DL201" s="280"/>
      <c r="DM201" s="280"/>
      <c r="DN201" s="280"/>
      <c r="DO201" s="280"/>
      <c r="DP201" s="280"/>
      <c r="DQ201" s="280"/>
      <c r="DR201" s="280"/>
      <c r="DS201" s="280"/>
      <c r="DT201" s="280"/>
      <c r="DU201" s="280"/>
      <c r="DV201" s="280"/>
      <c r="DW201" s="280"/>
      <c r="DX201" s="280"/>
      <c r="DY201" s="280"/>
      <c r="DZ201" s="280"/>
      <c r="EA201" s="280"/>
      <c r="EB201" s="280"/>
      <c r="EC201" s="280"/>
      <c r="ED201" s="280"/>
      <c r="EE201" s="280"/>
      <c r="EF201" s="280"/>
      <c r="EG201" s="280"/>
      <c r="EH201" s="280"/>
      <c r="EI201" s="280"/>
      <c r="EJ201" s="280"/>
      <c r="EK201" s="280"/>
      <c r="EL201" s="280"/>
      <c r="EM201" s="280"/>
      <c r="EN201" s="280"/>
      <c r="EO201" s="280"/>
      <c r="EP201" s="280"/>
      <c r="EQ201" s="280"/>
      <c r="ER201" s="280"/>
      <c r="ES201" s="280"/>
      <c r="ET201" s="280"/>
      <c r="EU201" s="280"/>
      <c r="EV201" s="280"/>
      <c r="EW201" s="280"/>
      <c r="EX201" s="280"/>
      <c r="EY201" s="280"/>
      <c r="EZ201" s="280"/>
      <c r="FA201" s="280"/>
      <c r="FB201" s="280"/>
      <c r="FC201" s="280"/>
      <c r="FD201" s="280"/>
      <c r="FE201" s="280"/>
      <c r="FF201" s="280"/>
      <c r="FG201" s="280"/>
      <c r="FH201" s="280"/>
      <c r="FI201" s="280"/>
      <c r="FJ201" s="280"/>
      <c r="FK201" s="280"/>
      <c r="FL201" s="280"/>
      <c r="FM201" s="280"/>
      <c r="FN201" s="280"/>
      <c r="FO201" s="280"/>
      <c r="FP201" s="280"/>
      <c r="FQ201" s="280"/>
      <c r="FR201" s="280"/>
    </row>
    <row r="202" spans="2:174" s="29" customFormat="1" ht="16" customHeight="1">
      <c r="B202" s="25"/>
      <c r="C202" s="309" t="e">
        <f>ROUND(($E$165*$D$202),0)</f>
        <v>#N/A</v>
      </c>
      <c r="D202" s="269">
        <v>0.4</v>
      </c>
      <c r="E202" s="304" t="e">
        <f>C202</f>
        <v>#N/A</v>
      </c>
      <c r="F202" s="64" t="e">
        <f>$E$164&amp;"/USD"&amp;FIXED((E202/$F$167),0)&amp;" ("&amp;FIXED(($E$165*D202),0)&amp;$E$164&amp;" Recommended: RF x "&amp;FIXED(($D202*100),0)&amp;"%)"</f>
        <v>#N/A</v>
      </c>
      <c r="G202" s="260"/>
      <c r="H202" s="34"/>
      <c r="I202" s="27"/>
      <c r="J202" s="28"/>
      <c r="K202" s="185"/>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c r="FI202" s="28"/>
      <c r="FJ202" s="28"/>
      <c r="FK202" s="28"/>
      <c r="FL202" s="28"/>
      <c r="FM202" s="28"/>
      <c r="FN202" s="28"/>
      <c r="FO202" s="28"/>
      <c r="FP202" s="28"/>
      <c r="FQ202" s="28"/>
      <c r="FR202" s="28"/>
    </row>
    <row r="203" spans="2:174" s="272" customFormat="1" ht="18" customHeight="1">
      <c r="B203" s="273"/>
      <c r="C203" s="310"/>
      <c r="D203" s="282">
        <f>D201+1</f>
        <v>63</v>
      </c>
      <c r="E203" s="295" t="s">
        <v>5032</v>
      </c>
      <c r="F203" s="275"/>
      <c r="G203" s="277"/>
      <c r="H203" s="278"/>
      <c r="I203" s="279"/>
      <c r="J203" s="280"/>
      <c r="K203" s="281"/>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c r="AK203" s="280"/>
      <c r="AL203" s="280"/>
      <c r="AM203" s="280"/>
      <c r="AN203" s="280"/>
      <c r="AO203" s="280"/>
      <c r="AP203" s="280"/>
      <c r="AQ203" s="280"/>
      <c r="AR203" s="280"/>
      <c r="AS203" s="280"/>
      <c r="AT203" s="280"/>
      <c r="AU203" s="280"/>
      <c r="AV203" s="280"/>
      <c r="AW203" s="280"/>
      <c r="AX203" s="280"/>
      <c r="AY203" s="280"/>
      <c r="AZ203" s="280"/>
      <c r="BA203" s="280"/>
      <c r="BB203" s="280"/>
      <c r="BC203" s="280"/>
      <c r="BD203" s="280"/>
      <c r="BE203" s="280"/>
      <c r="BF203" s="280"/>
      <c r="BG203" s="280"/>
      <c r="BH203" s="280"/>
      <c r="BI203" s="280"/>
      <c r="BJ203" s="280"/>
      <c r="BK203" s="280"/>
      <c r="BL203" s="280"/>
      <c r="BM203" s="280"/>
      <c r="BN203" s="280"/>
      <c r="BO203" s="280"/>
      <c r="BP203" s="280"/>
      <c r="BQ203" s="280"/>
      <c r="BR203" s="280"/>
      <c r="BS203" s="280"/>
      <c r="BT203" s="280"/>
      <c r="BU203" s="280"/>
      <c r="BV203" s="280"/>
      <c r="BW203" s="280"/>
      <c r="BX203" s="280"/>
      <c r="BY203" s="280"/>
      <c r="BZ203" s="280"/>
      <c r="CA203" s="280"/>
      <c r="CB203" s="280"/>
      <c r="CC203" s="280"/>
      <c r="CD203" s="280"/>
      <c r="CE203" s="280"/>
      <c r="CF203" s="280"/>
      <c r="CG203" s="280"/>
      <c r="CH203" s="280"/>
      <c r="CI203" s="280"/>
      <c r="CJ203" s="280"/>
      <c r="CK203" s="280"/>
      <c r="CL203" s="280"/>
      <c r="CM203" s="280"/>
      <c r="CN203" s="280"/>
      <c r="CO203" s="280"/>
      <c r="CP203" s="280"/>
      <c r="CQ203" s="280"/>
      <c r="CR203" s="280"/>
      <c r="CS203" s="280"/>
      <c r="CT203" s="280"/>
      <c r="CU203" s="280"/>
      <c r="CV203" s="280"/>
      <c r="CW203" s="280"/>
      <c r="CX203" s="280"/>
      <c r="CY203" s="280"/>
      <c r="CZ203" s="280"/>
      <c r="DA203" s="280"/>
      <c r="DB203" s="280"/>
      <c r="DC203" s="280"/>
      <c r="DD203" s="280"/>
      <c r="DE203" s="280"/>
      <c r="DF203" s="280"/>
      <c r="DG203" s="280"/>
      <c r="DH203" s="280"/>
      <c r="DI203" s="280"/>
      <c r="DJ203" s="280"/>
      <c r="DK203" s="280"/>
      <c r="DL203" s="280"/>
      <c r="DM203" s="280"/>
      <c r="DN203" s="280"/>
      <c r="DO203" s="280"/>
      <c r="DP203" s="280"/>
      <c r="DQ203" s="280"/>
      <c r="DR203" s="280"/>
      <c r="DS203" s="280"/>
      <c r="DT203" s="280"/>
      <c r="DU203" s="280"/>
      <c r="DV203" s="280"/>
      <c r="DW203" s="280"/>
      <c r="DX203" s="280"/>
      <c r="DY203" s="280"/>
      <c r="DZ203" s="280"/>
      <c r="EA203" s="280"/>
      <c r="EB203" s="280"/>
      <c r="EC203" s="280"/>
      <c r="ED203" s="280"/>
      <c r="EE203" s="280"/>
      <c r="EF203" s="280"/>
      <c r="EG203" s="280"/>
      <c r="EH203" s="280"/>
      <c r="EI203" s="280"/>
      <c r="EJ203" s="280"/>
      <c r="EK203" s="280"/>
      <c r="EL203" s="280"/>
      <c r="EM203" s="280"/>
      <c r="EN203" s="280"/>
      <c r="EO203" s="280"/>
      <c r="EP203" s="280"/>
      <c r="EQ203" s="280"/>
      <c r="ER203" s="280"/>
      <c r="ES203" s="280"/>
      <c r="ET203" s="280"/>
      <c r="EU203" s="280"/>
      <c r="EV203" s="280"/>
      <c r="EW203" s="280"/>
      <c r="EX203" s="280"/>
      <c r="EY203" s="280"/>
      <c r="EZ203" s="280"/>
      <c r="FA203" s="280"/>
      <c r="FB203" s="280"/>
      <c r="FC203" s="280"/>
      <c r="FD203" s="280"/>
      <c r="FE203" s="280"/>
      <c r="FF203" s="280"/>
      <c r="FG203" s="280"/>
      <c r="FH203" s="280"/>
      <c r="FI203" s="280"/>
      <c r="FJ203" s="280"/>
      <c r="FK203" s="280"/>
      <c r="FL203" s="280"/>
      <c r="FM203" s="280"/>
      <c r="FN203" s="280"/>
      <c r="FO203" s="280"/>
      <c r="FP203" s="280"/>
      <c r="FQ203" s="280"/>
      <c r="FR203" s="280"/>
    </row>
    <row r="204" spans="2:174" s="29" customFormat="1" ht="16" customHeight="1">
      <c r="B204" s="25"/>
      <c r="C204" s="311"/>
      <c r="D204" s="288"/>
      <c r="E204" s="294">
        <v>0</v>
      </c>
      <c r="F204" s="64" t="e">
        <f>$E$164&amp;"/USD"&amp;FIXED((E204/$F$167),0)&amp;" (no specific recommendation)"</f>
        <v>#N/A</v>
      </c>
      <c r="G204" s="260"/>
      <c r="H204" s="34"/>
      <c r="I204" s="27"/>
      <c r="J204" s="28"/>
      <c r="K204" s="185"/>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c r="FI204" s="28"/>
      <c r="FJ204" s="28"/>
      <c r="FK204" s="28"/>
      <c r="FL204" s="28"/>
      <c r="FM204" s="28"/>
      <c r="FN204" s="28"/>
      <c r="FO204" s="28"/>
      <c r="FP204" s="28"/>
      <c r="FQ204" s="28"/>
      <c r="FR204" s="28"/>
    </row>
    <row r="205" spans="2:174" s="272" customFormat="1" ht="18" customHeight="1">
      <c r="B205" s="273"/>
      <c r="C205" s="310"/>
      <c r="D205" s="282">
        <f>D203+1</f>
        <v>64</v>
      </c>
      <c r="E205" s="295" t="s">
        <v>5033</v>
      </c>
      <c r="F205" s="275"/>
      <c r="G205" s="277"/>
      <c r="H205" s="278"/>
      <c r="I205" s="279"/>
      <c r="J205" s="280"/>
      <c r="K205" s="281"/>
      <c r="L205" s="280"/>
      <c r="M205" s="280"/>
      <c r="N205" s="280"/>
      <c r="O205" s="280"/>
      <c r="P205" s="280"/>
      <c r="Q205" s="280"/>
      <c r="R205" s="280"/>
      <c r="S205" s="280"/>
      <c r="T205" s="280"/>
      <c r="U205" s="280"/>
      <c r="V205" s="280"/>
      <c r="W205" s="280"/>
      <c r="X205" s="280"/>
      <c r="Y205" s="280"/>
      <c r="Z205" s="280"/>
      <c r="AA205" s="280"/>
      <c r="AB205" s="280"/>
      <c r="AC205" s="280"/>
      <c r="AD205" s="280"/>
      <c r="AE205" s="280"/>
      <c r="AF205" s="280"/>
      <c r="AG205" s="280"/>
      <c r="AH205" s="280"/>
      <c r="AI205" s="280"/>
      <c r="AJ205" s="280"/>
      <c r="AK205" s="280"/>
      <c r="AL205" s="280"/>
      <c r="AM205" s="280"/>
      <c r="AN205" s="280"/>
      <c r="AO205" s="280"/>
      <c r="AP205" s="280"/>
      <c r="AQ205" s="280"/>
      <c r="AR205" s="280"/>
      <c r="AS205" s="280"/>
      <c r="AT205" s="280"/>
      <c r="AU205" s="280"/>
      <c r="AV205" s="280"/>
      <c r="AW205" s="280"/>
      <c r="AX205" s="280"/>
      <c r="AY205" s="280"/>
      <c r="AZ205" s="280"/>
      <c r="BA205" s="280"/>
      <c r="BB205" s="280"/>
      <c r="BC205" s="280"/>
      <c r="BD205" s="280"/>
      <c r="BE205" s="280"/>
      <c r="BF205" s="280"/>
      <c r="BG205" s="280"/>
      <c r="BH205" s="280"/>
      <c r="BI205" s="280"/>
      <c r="BJ205" s="280"/>
      <c r="BK205" s="280"/>
      <c r="BL205" s="280"/>
      <c r="BM205" s="280"/>
      <c r="BN205" s="280"/>
      <c r="BO205" s="280"/>
      <c r="BP205" s="280"/>
      <c r="BQ205" s="280"/>
      <c r="BR205" s="280"/>
      <c r="BS205" s="280"/>
      <c r="BT205" s="280"/>
      <c r="BU205" s="280"/>
      <c r="BV205" s="280"/>
      <c r="BW205" s="280"/>
      <c r="BX205" s="280"/>
      <c r="BY205" s="280"/>
      <c r="BZ205" s="280"/>
      <c r="CA205" s="280"/>
      <c r="CB205" s="280"/>
      <c r="CC205" s="280"/>
      <c r="CD205" s="280"/>
      <c r="CE205" s="280"/>
      <c r="CF205" s="280"/>
      <c r="CG205" s="280"/>
      <c r="CH205" s="280"/>
      <c r="CI205" s="280"/>
      <c r="CJ205" s="280"/>
      <c r="CK205" s="280"/>
      <c r="CL205" s="280"/>
      <c r="CM205" s="280"/>
      <c r="CN205" s="280"/>
      <c r="CO205" s="280"/>
      <c r="CP205" s="280"/>
      <c r="CQ205" s="280"/>
      <c r="CR205" s="280"/>
      <c r="CS205" s="280"/>
      <c r="CT205" s="280"/>
      <c r="CU205" s="280"/>
      <c r="CV205" s="280"/>
      <c r="CW205" s="280"/>
      <c r="CX205" s="280"/>
      <c r="CY205" s="280"/>
      <c r="CZ205" s="280"/>
      <c r="DA205" s="280"/>
      <c r="DB205" s="280"/>
      <c r="DC205" s="280"/>
      <c r="DD205" s="280"/>
      <c r="DE205" s="280"/>
      <c r="DF205" s="280"/>
      <c r="DG205" s="280"/>
      <c r="DH205" s="280"/>
      <c r="DI205" s="280"/>
      <c r="DJ205" s="280"/>
      <c r="DK205" s="280"/>
      <c r="DL205" s="280"/>
      <c r="DM205" s="280"/>
      <c r="DN205" s="280"/>
      <c r="DO205" s="280"/>
      <c r="DP205" s="280"/>
      <c r="DQ205" s="280"/>
      <c r="DR205" s="280"/>
      <c r="DS205" s="280"/>
      <c r="DT205" s="280"/>
      <c r="DU205" s="280"/>
      <c r="DV205" s="280"/>
      <c r="DW205" s="280"/>
      <c r="DX205" s="280"/>
      <c r="DY205" s="280"/>
      <c r="DZ205" s="280"/>
      <c r="EA205" s="280"/>
      <c r="EB205" s="280"/>
      <c r="EC205" s="280"/>
      <c r="ED205" s="280"/>
      <c r="EE205" s="280"/>
      <c r="EF205" s="280"/>
      <c r="EG205" s="280"/>
      <c r="EH205" s="280"/>
      <c r="EI205" s="280"/>
      <c r="EJ205" s="280"/>
      <c r="EK205" s="280"/>
      <c r="EL205" s="280"/>
      <c r="EM205" s="280"/>
      <c r="EN205" s="280"/>
      <c r="EO205" s="280"/>
      <c r="EP205" s="280"/>
      <c r="EQ205" s="280"/>
      <c r="ER205" s="280"/>
      <c r="ES205" s="280"/>
      <c r="ET205" s="280"/>
      <c r="EU205" s="280"/>
      <c r="EV205" s="280"/>
      <c r="EW205" s="280"/>
      <c r="EX205" s="280"/>
      <c r="EY205" s="280"/>
      <c r="EZ205" s="280"/>
      <c r="FA205" s="280"/>
      <c r="FB205" s="280"/>
      <c r="FC205" s="280"/>
      <c r="FD205" s="280"/>
      <c r="FE205" s="280"/>
      <c r="FF205" s="280"/>
      <c r="FG205" s="280"/>
      <c r="FH205" s="280"/>
      <c r="FI205" s="280"/>
      <c r="FJ205" s="280"/>
      <c r="FK205" s="280"/>
      <c r="FL205" s="280"/>
      <c r="FM205" s="280"/>
      <c r="FN205" s="280"/>
      <c r="FO205" s="280"/>
      <c r="FP205" s="280"/>
      <c r="FQ205" s="280"/>
      <c r="FR205" s="280"/>
    </row>
    <row r="206" spans="2:174" s="29" customFormat="1" ht="16" customHeight="1">
      <c r="B206" s="25"/>
      <c r="C206" s="309" t="e">
        <f>ROUND(($E$165*$D$206),0)</f>
        <v>#N/A</v>
      </c>
      <c r="D206" s="288">
        <v>0.2</v>
      </c>
      <c r="E206" s="304" t="e">
        <f>C206</f>
        <v>#N/A</v>
      </c>
      <c r="F206" s="64" t="e">
        <f>$E$164&amp;"/USD"&amp;FIXED((E206/$F$167),0)&amp;" ("&amp;FIXED(($E$165*D206),0)&amp;$E$164&amp;" Recommended: RF x "&amp;FIXED(($D206*100),0)&amp;"%)"</f>
        <v>#N/A</v>
      </c>
      <c r="G206" s="260"/>
      <c r="H206" s="34"/>
      <c r="I206" s="27"/>
      <c r="J206" s="28"/>
      <c r="K206" s="185"/>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c r="FI206" s="28"/>
      <c r="FJ206" s="28"/>
      <c r="FK206" s="28"/>
      <c r="FL206" s="28"/>
      <c r="FM206" s="28"/>
      <c r="FN206" s="28"/>
      <c r="FO206" s="28"/>
      <c r="FP206" s="28"/>
      <c r="FQ206" s="28"/>
      <c r="FR206" s="28"/>
    </row>
    <row r="207" spans="2:174" s="272" customFormat="1" ht="18" customHeight="1">
      <c r="B207" s="273"/>
      <c r="C207" s="310"/>
      <c r="D207" s="282">
        <f>D205+1</f>
        <v>65</v>
      </c>
      <c r="E207" s="295" t="str">
        <f>IF($F$67=$E$256, "If a separate worship is needed, what are the costs for renting a place of worship?", "")</f>
        <v/>
      </c>
      <c r="F207" s="275"/>
      <c r="G207" s="277"/>
      <c r="H207" s="278"/>
      <c r="I207" s="279"/>
      <c r="J207" s="280"/>
      <c r="K207" s="281"/>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c r="AK207" s="280"/>
      <c r="AL207" s="280"/>
      <c r="AM207" s="280"/>
      <c r="AN207" s="280"/>
      <c r="AO207" s="280"/>
      <c r="AP207" s="280"/>
      <c r="AQ207" s="280"/>
      <c r="AR207" s="280"/>
      <c r="AS207" s="280"/>
      <c r="AT207" s="280"/>
      <c r="AU207" s="280"/>
      <c r="AV207" s="280"/>
      <c r="AW207" s="280"/>
      <c r="AX207" s="280"/>
      <c r="AY207" s="280"/>
      <c r="AZ207" s="280"/>
      <c r="BA207" s="280"/>
      <c r="BB207" s="280"/>
      <c r="BC207" s="280"/>
      <c r="BD207" s="280"/>
      <c r="BE207" s="280"/>
      <c r="BF207" s="280"/>
      <c r="BG207" s="280"/>
      <c r="BH207" s="280"/>
      <c r="BI207" s="280"/>
      <c r="BJ207" s="280"/>
      <c r="BK207" s="280"/>
      <c r="BL207" s="280"/>
      <c r="BM207" s="280"/>
      <c r="BN207" s="280"/>
      <c r="BO207" s="280"/>
      <c r="BP207" s="280"/>
      <c r="BQ207" s="280"/>
      <c r="BR207" s="280"/>
      <c r="BS207" s="280"/>
      <c r="BT207" s="280"/>
      <c r="BU207" s="280"/>
      <c r="BV207" s="280"/>
      <c r="BW207" s="280"/>
      <c r="BX207" s="280"/>
      <c r="BY207" s="280"/>
      <c r="BZ207" s="280"/>
      <c r="CA207" s="280"/>
      <c r="CB207" s="280"/>
      <c r="CC207" s="280"/>
      <c r="CD207" s="280"/>
      <c r="CE207" s="280"/>
      <c r="CF207" s="280"/>
      <c r="CG207" s="280"/>
      <c r="CH207" s="280"/>
      <c r="CI207" s="280"/>
      <c r="CJ207" s="280"/>
      <c r="CK207" s="280"/>
      <c r="CL207" s="280"/>
      <c r="CM207" s="280"/>
      <c r="CN207" s="280"/>
      <c r="CO207" s="280"/>
      <c r="CP207" s="280"/>
      <c r="CQ207" s="280"/>
      <c r="CR207" s="280"/>
      <c r="CS207" s="280"/>
      <c r="CT207" s="280"/>
      <c r="CU207" s="280"/>
      <c r="CV207" s="280"/>
      <c r="CW207" s="280"/>
      <c r="CX207" s="280"/>
      <c r="CY207" s="280"/>
      <c r="CZ207" s="280"/>
      <c r="DA207" s="280"/>
      <c r="DB207" s="280"/>
      <c r="DC207" s="280"/>
      <c r="DD207" s="280"/>
      <c r="DE207" s="280"/>
      <c r="DF207" s="280"/>
      <c r="DG207" s="280"/>
      <c r="DH207" s="280"/>
      <c r="DI207" s="280"/>
      <c r="DJ207" s="280"/>
      <c r="DK207" s="280"/>
      <c r="DL207" s="280"/>
      <c r="DM207" s="280"/>
      <c r="DN207" s="280"/>
      <c r="DO207" s="280"/>
      <c r="DP207" s="280"/>
      <c r="DQ207" s="280"/>
      <c r="DR207" s="280"/>
      <c r="DS207" s="280"/>
      <c r="DT207" s="280"/>
      <c r="DU207" s="280"/>
      <c r="DV207" s="280"/>
      <c r="DW207" s="280"/>
      <c r="DX207" s="280"/>
      <c r="DY207" s="280"/>
      <c r="DZ207" s="280"/>
      <c r="EA207" s="280"/>
      <c r="EB207" s="280"/>
      <c r="EC207" s="280"/>
      <c r="ED207" s="280"/>
      <c r="EE207" s="280"/>
      <c r="EF207" s="280"/>
      <c r="EG207" s="280"/>
      <c r="EH207" s="280"/>
      <c r="EI207" s="280"/>
      <c r="EJ207" s="280"/>
      <c r="EK207" s="280"/>
      <c r="EL207" s="280"/>
      <c r="EM207" s="280"/>
      <c r="EN207" s="280"/>
      <c r="EO207" s="280"/>
      <c r="EP207" s="280"/>
      <c r="EQ207" s="280"/>
      <c r="ER207" s="280"/>
      <c r="ES207" s="280"/>
      <c r="ET207" s="280"/>
      <c r="EU207" s="280"/>
      <c r="EV207" s="280"/>
      <c r="EW207" s="280"/>
      <c r="EX207" s="280"/>
      <c r="EY207" s="280"/>
      <c r="EZ207" s="280"/>
      <c r="FA207" s="280"/>
      <c r="FB207" s="280"/>
      <c r="FC207" s="280"/>
      <c r="FD207" s="280"/>
      <c r="FE207" s="280"/>
      <c r="FF207" s="280"/>
      <c r="FG207" s="280"/>
      <c r="FH207" s="280"/>
      <c r="FI207" s="280"/>
      <c r="FJ207" s="280"/>
      <c r="FK207" s="280"/>
      <c r="FL207" s="280"/>
      <c r="FM207" s="280"/>
      <c r="FN207" s="280"/>
      <c r="FO207" s="280"/>
      <c r="FP207" s="280"/>
      <c r="FQ207" s="280"/>
      <c r="FR207" s="280"/>
    </row>
    <row r="208" spans="2:174" s="29" customFormat="1" ht="16" customHeight="1">
      <c r="B208" s="25"/>
      <c r="C208" s="309" t="e">
        <f>ROUND(($E$165*$D$208*12),0)</f>
        <v>#N/A</v>
      </c>
      <c r="D208" s="269">
        <v>0.3</v>
      </c>
      <c r="E208" s="304" t="e">
        <f>C208</f>
        <v>#N/A</v>
      </c>
      <c r="F208" s="64" t="e">
        <f>$E$164&amp;"/USD"&amp;FIXED((E208/$F$167),0)&amp;" ("&amp;FIXED(($E$165*D208*12),0)&amp;$E$164&amp;" Recommended: RF x "&amp;FIXED(($D208*100),0)&amp;"% x 12)"</f>
        <v>#N/A</v>
      </c>
      <c r="G208" s="260"/>
      <c r="H208" s="34"/>
      <c r="I208" s="27"/>
      <c r="J208" s="28"/>
      <c r="K208" s="185"/>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c r="FI208" s="28"/>
      <c r="FJ208" s="28"/>
      <c r="FK208" s="28"/>
      <c r="FL208" s="28"/>
      <c r="FM208" s="28"/>
      <c r="FN208" s="28"/>
      <c r="FO208" s="28"/>
      <c r="FP208" s="28"/>
      <c r="FQ208" s="28"/>
      <c r="FR208" s="28"/>
    </row>
    <row r="209" spans="2:174" s="29" customFormat="1" ht="18" customHeight="1" thickBot="1">
      <c r="B209" s="25"/>
      <c r="C209" s="311"/>
      <c r="D209" s="289"/>
      <c r="E209" s="266"/>
      <c r="F209" s="70"/>
      <c r="G209" s="260"/>
      <c r="H209" s="34"/>
      <c r="I209" s="27"/>
      <c r="J209" s="28"/>
      <c r="K209" s="185"/>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c r="FI209" s="28"/>
      <c r="FJ209" s="28"/>
      <c r="FK209" s="28"/>
      <c r="FL209" s="28"/>
      <c r="FM209" s="28"/>
      <c r="FN209" s="28"/>
      <c r="FO209" s="28"/>
      <c r="FP209" s="28"/>
      <c r="FQ209" s="28"/>
      <c r="FR209" s="28"/>
    </row>
    <row r="210" spans="2:174" s="29" customFormat="1" ht="18" customHeight="1" thickTop="1" thickBot="1">
      <c r="B210" s="25"/>
      <c r="C210" s="312" t="e">
        <f>ROUND(SUM(C208,C206,C204,C202,C200,C198,C196,C194,C192,C190,C188,C186,C184,C182,C180,C178,C176),0)</f>
        <v>#N/A</v>
      </c>
      <c r="D210" s="289"/>
      <c r="E210" s="299" t="e">
        <f>ROUND(SUM(E208,E206,E204,E202,E200,E198,E196,E194,E192,E190,E188,E186,E184,E182,E180,E178,E176),0)</f>
        <v>#N/A</v>
      </c>
      <c r="F210" s="270" t="e">
        <f>$E$164&amp;"/USD"&amp;FIXED((E210/$F$167),0)&amp;" ("&amp;"TOTAL BUDGET)"</f>
        <v>#N/A</v>
      </c>
      <c r="G210" s="260"/>
      <c r="H210" s="34"/>
      <c r="I210" s="27"/>
      <c r="J210" s="28"/>
      <c r="K210" s="185"/>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c r="ET210" s="28"/>
      <c r="EU210" s="28"/>
      <c r="EV210" s="28"/>
      <c r="EW210" s="28"/>
      <c r="EX210" s="28"/>
      <c r="EY210" s="28"/>
      <c r="EZ210" s="28"/>
      <c r="FA210" s="28"/>
      <c r="FB210" s="28"/>
      <c r="FC210" s="28"/>
      <c r="FD210" s="28"/>
      <c r="FE210" s="28"/>
      <c r="FF210" s="28"/>
      <c r="FG210" s="28"/>
      <c r="FH210" s="28"/>
      <c r="FI210" s="28"/>
      <c r="FJ210" s="28"/>
      <c r="FK210" s="28"/>
      <c r="FL210" s="28"/>
      <c r="FM210" s="28"/>
      <c r="FN210" s="28"/>
      <c r="FO210" s="28"/>
      <c r="FP210" s="28"/>
      <c r="FQ210" s="28"/>
      <c r="FR210" s="28"/>
    </row>
    <row r="211" spans="2:174" s="29" customFormat="1" ht="16" customHeight="1" thickTop="1" thickBot="1">
      <c r="B211" s="25"/>
      <c r="C211" s="308"/>
      <c r="D211" s="290"/>
      <c r="E211" s="267"/>
      <c r="F211" s="79"/>
      <c r="G211" s="263"/>
      <c r="H211" s="34"/>
      <c r="I211" s="27"/>
      <c r="J211" s="28"/>
      <c r="K211" s="185"/>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c r="EK211" s="28"/>
      <c r="EL211" s="28"/>
      <c r="EM211" s="28"/>
      <c r="EN211" s="28"/>
      <c r="EO211" s="28"/>
      <c r="EP211" s="28"/>
      <c r="EQ211" s="28"/>
      <c r="ER211" s="28"/>
      <c r="ES211" s="28"/>
      <c r="ET211" s="28"/>
      <c r="EU211" s="28"/>
      <c r="EV211" s="28"/>
      <c r="EW211" s="28"/>
      <c r="EX211" s="28"/>
      <c r="EY211" s="28"/>
      <c r="EZ211" s="28"/>
      <c r="FA211" s="28"/>
      <c r="FB211" s="28"/>
      <c r="FC211" s="28"/>
      <c r="FD211" s="28"/>
      <c r="FE211" s="28"/>
      <c r="FF211" s="28"/>
      <c r="FG211" s="28"/>
      <c r="FH211" s="28"/>
      <c r="FI211" s="28"/>
      <c r="FJ211" s="28"/>
      <c r="FK211" s="28"/>
      <c r="FL211" s="28"/>
      <c r="FM211" s="28"/>
      <c r="FN211" s="28"/>
      <c r="FO211" s="28"/>
      <c r="FP211" s="28"/>
      <c r="FQ211" s="28"/>
      <c r="FR211" s="28"/>
    </row>
    <row r="212" spans="2:174" s="29" customFormat="1" ht="16" customHeight="1">
      <c r="B212" s="25"/>
      <c r="C212" s="32"/>
      <c r="D212" s="291"/>
      <c r="E212" s="39"/>
      <c r="F212" s="39"/>
      <c r="G212" s="39"/>
      <c r="H212" s="34"/>
      <c r="I212" s="27"/>
      <c r="J212" s="28"/>
      <c r="K212" s="185"/>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c r="EK212" s="28"/>
      <c r="EL212" s="28"/>
      <c r="EM212" s="28"/>
      <c r="EN212" s="28"/>
      <c r="EO212" s="28"/>
      <c r="EP212" s="28"/>
      <c r="EQ212" s="28"/>
      <c r="ER212" s="28"/>
      <c r="ES212" s="28"/>
      <c r="ET212" s="28"/>
      <c r="EU212" s="28"/>
      <c r="EV212" s="28"/>
      <c r="EW212" s="28"/>
      <c r="EX212" s="28"/>
      <c r="EY212" s="28"/>
      <c r="EZ212" s="28"/>
      <c r="FA212" s="28"/>
      <c r="FB212" s="28"/>
      <c r="FC212" s="28"/>
      <c r="FD212" s="28"/>
      <c r="FE212" s="28"/>
      <c r="FF212" s="28"/>
      <c r="FG212" s="28"/>
      <c r="FH212" s="28"/>
      <c r="FI212" s="28"/>
      <c r="FJ212" s="28"/>
      <c r="FK212" s="28"/>
      <c r="FL212" s="28"/>
      <c r="FM212" s="28"/>
      <c r="FN212" s="28"/>
      <c r="FO212" s="28"/>
      <c r="FP212" s="28"/>
      <c r="FQ212" s="28"/>
      <c r="FR212" s="28"/>
    </row>
    <row r="213" spans="2:174" s="29" customFormat="1" ht="16" customHeight="1">
      <c r="B213" s="25"/>
      <c r="C213" s="32"/>
      <c r="D213" s="291"/>
      <c r="E213" s="39"/>
      <c r="F213" s="39"/>
      <c r="G213" s="39"/>
      <c r="H213" s="34"/>
      <c r="I213" s="27"/>
      <c r="J213" s="28"/>
      <c r="K213" s="185"/>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c r="FI213" s="28"/>
      <c r="FJ213" s="28"/>
      <c r="FK213" s="28"/>
      <c r="FL213" s="28"/>
      <c r="FM213" s="28"/>
      <c r="FN213" s="28"/>
      <c r="FO213" s="28"/>
      <c r="FP213" s="28"/>
      <c r="FQ213" s="28"/>
      <c r="FR213" s="28"/>
    </row>
    <row r="214" spans="2:174" s="29" customFormat="1" ht="16" customHeight="1" thickBot="1">
      <c r="B214" s="25"/>
      <c r="C214" s="32"/>
      <c r="D214" s="291"/>
      <c r="E214" s="39" t="s">
        <v>4982</v>
      </c>
      <c r="F214" s="39"/>
      <c r="G214" s="39"/>
      <c r="H214" s="34"/>
      <c r="I214" s="27"/>
      <c r="J214" s="28"/>
      <c r="K214" s="185"/>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c r="FI214" s="28"/>
      <c r="FJ214" s="28"/>
      <c r="FK214" s="28"/>
      <c r="FL214" s="28"/>
      <c r="FM214" s="28"/>
      <c r="FN214" s="28"/>
      <c r="FO214" s="28"/>
      <c r="FP214" s="28"/>
      <c r="FQ214" s="28"/>
      <c r="FR214" s="28"/>
    </row>
    <row r="215" spans="2:174" s="29" customFormat="1" ht="16" customHeight="1">
      <c r="B215" s="25"/>
      <c r="C215" s="32"/>
      <c r="D215" s="292"/>
      <c r="E215" s="69"/>
      <c r="F215" s="69"/>
      <c r="G215" s="258"/>
      <c r="H215" s="34"/>
      <c r="I215" s="27"/>
      <c r="J215" s="28"/>
      <c r="K215" s="185"/>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c r="FI215" s="28"/>
      <c r="FJ215" s="28"/>
      <c r="FK215" s="28"/>
      <c r="FL215" s="28"/>
      <c r="FM215" s="28"/>
      <c r="FN215" s="28"/>
      <c r="FO215" s="28"/>
      <c r="FP215" s="28"/>
      <c r="FQ215" s="28"/>
      <c r="FR215" s="28"/>
    </row>
    <row r="216" spans="2:174" s="272" customFormat="1" ht="18" customHeight="1">
      <c r="B216" s="273"/>
      <c r="C216" s="307"/>
      <c r="D216" s="287">
        <f>D207+1</f>
        <v>66</v>
      </c>
      <c r="E216" s="275" t="e">
        <f>"What is the project's "&amp;($F$11-1)&amp;" annual tithe and offering income which can be used? (in "&amp;$E$164&amp;")"</f>
        <v>#N/A</v>
      </c>
      <c r="F216" s="276"/>
      <c r="G216" s="277"/>
      <c r="H216" s="278"/>
      <c r="I216" s="279"/>
      <c r="J216" s="280"/>
      <c r="K216" s="281"/>
      <c r="L216" s="280"/>
      <c r="M216" s="280"/>
      <c r="N216" s="280"/>
      <c r="O216" s="280"/>
      <c r="P216" s="280"/>
      <c r="Q216" s="280"/>
      <c r="R216" s="280"/>
      <c r="S216" s="280"/>
      <c r="T216" s="280"/>
      <c r="U216" s="280"/>
      <c r="V216" s="280"/>
      <c r="W216" s="280"/>
      <c r="X216" s="280"/>
      <c r="Y216" s="280"/>
      <c r="Z216" s="280"/>
      <c r="AA216" s="280"/>
      <c r="AB216" s="280"/>
      <c r="AC216" s="280"/>
      <c r="AD216" s="280"/>
      <c r="AE216" s="280"/>
      <c r="AF216" s="280"/>
      <c r="AG216" s="280"/>
      <c r="AH216" s="280"/>
      <c r="AI216" s="280"/>
      <c r="AJ216" s="280"/>
      <c r="AK216" s="280"/>
      <c r="AL216" s="280"/>
      <c r="AM216" s="280"/>
      <c r="AN216" s="280"/>
      <c r="AO216" s="280"/>
      <c r="AP216" s="280"/>
      <c r="AQ216" s="280"/>
      <c r="AR216" s="280"/>
      <c r="AS216" s="280"/>
      <c r="AT216" s="280"/>
      <c r="AU216" s="280"/>
      <c r="AV216" s="280"/>
      <c r="AW216" s="280"/>
      <c r="AX216" s="280"/>
      <c r="AY216" s="280"/>
      <c r="AZ216" s="280"/>
      <c r="BA216" s="280"/>
      <c r="BB216" s="280"/>
      <c r="BC216" s="280"/>
      <c r="BD216" s="280"/>
      <c r="BE216" s="280"/>
      <c r="BF216" s="280"/>
      <c r="BG216" s="280"/>
      <c r="BH216" s="280"/>
      <c r="BI216" s="280"/>
      <c r="BJ216" s="280"/>
      <c r="BK216" s="280"/>
      <c r="BL216" s="280"/>
      <c r="BM216" s="280"/>
      <c r="BN216" s="280"/>
      <c r="BO216" s="280"/>
      <c r="BP216" s="280"/>
      <c r="BQ216" s="280"/>
      <c r="BR216" s="280"/>
      <c r="BS216" s="280"/>
      <c r="BT216" s="280"/>
      <c r="BU216" s="280"/>
      <c r="BV216" s="280"/>
      <c r="BW216" s="280"/>
      <c r="BX216" s="280"/>
      <c r="BY216" s="280"/>
      <c r="BZ216" s="280"/>
      <c r="CA216" s="280"/>
      <c r="CB216" s="280"/>
      <c r="CC216" s="280"/>
      <c r="CD216" s="280"/>
      <c r="CE216" s="280"/>
      <c r="CF216" s="280"/>
      <c r="CG216" s="280"/>
      <c r="CH216" s="280"/>
      <c r="CI216" s="280"/>
      <c r="CJ216" s="280"/>
      <c r="CK216" s="280"/>
      <c r="CL216" s="280"/>
      <c r="CM216" s="280"/>
      <c r="CN216" s="280"/>
      <c r="CO216" s="280"/>
      <c r="CP216" s="280"/>
      <c r="CQ216" s="280"/>
      <c r="CR216" s="280"/>
      <c r="CS216" s="280"/>
      <c r="CT216" s="280"/>
      <c r="CU216" s="280"/>
      <c r="CV216" s="280"/>
      <c r="CW216" s="280"/>
      <c r="CX216" s="280"/>
      <c r="CY216" s="280"/>
      <c r="CZ216" s="280"/>
      <c r="DA216" s="280"/>
      <c r="DB216" s="280"/>
      <c r="DC216" s="280"/>
      <c r="DD216" s="280"/>
      <c r="DE216" s="280"/>
      <c r="DF216" s="280"/>
      <c r="DG216" s="280"/>
      <c r="DH216" s="280"/>
      <c r="DI216" s="280"/>
      <c r="DJ216" s="280"/>
      <c r="DK216" s="280"/>
      <c r="DL216" s="280"/>
      <c r="DM216" s="280"/>
      <c r="DN216" s="280"/>
      <c r="DO216" s="280"/>
      <c r="DP216" s="280"/>
      <c r="DQ216" s="280"/>
      <c r="DR216" s="280"/>
      <c r="DS216" s="280"/>
      <c r="DT216" s="280"/>
      <c r="DU216" s="280"/>
      <c r="DV216" s="280"/>
      <c r="DW216" s="280"/>
      <c r="DX216" s="280"/>
      <c r="DY216" s="280"/>
      <c r="DZ216" s="280"/>
      <c r="EA216" s="280"/>
      <c r="EB216" s="280"/>
      <c r="EC216" s="280"/>
      <c r="ED216" s="280"/>
      <c r="EE216" s="280"/>
      <c r="EF216" s="280"/>
      <c r="EG216" s="280"/>
      <c r="EH216" s="280"/>
      <c r="EI216" s="280"/>
      <c r="EJ216" s="280"/>
      <c r="EK216" s="280"/>
      <c r="EL216" s="280"/>
      <c r="EM216" s="280"/>
      <c r="EN216" s="280"/>
      <c r="EO216" s="280"/>
      <c r="EP216" s="280"/>
      <c r="EQ216" s="280"/>
      <c r="ER216" s="280"/>
      <c r="ES216" s="280"/>
      <c r="ET216" s="280"/>
      <c r="EU216" s="280"/>
      <c r="EV216" s="280"/>
      <c r="EW216" s="280"/>
      <c r="EX216" s="280"/>
      <c r="EY216" s="280"/>
      <c r="EZ216" s="280"/>
      <c r="FA216" s="280"/>
      <c r="FB216" s="280"/>
      <c r="FC216" s="280"/>
      <c r="FD216" s="280"/>
      <c r="FE216" s="280"/>
      <c r="FF216" s="280"/>
      <c r="FG216" s="280"/>
      <c r="FH216" s="280"/>
      <c r="FI216" s="280"/>
      <c r="FJ216" s="280"/>
      <c r="FK216" s="280"/>
      <c r="FL216" s="280"/>
      <c r="FM216" s="280"/>
      <c r="FN216" s="280"/>
      <c r="FO216" s="280"/>
      <c r="FP216" s="280"/>
      <c r="FQ216" s="280"/>
      <c r="FR216" s="280"/>
    </row>
    <row r="217" spans="2:174" s="29" customFormat="1" ht="16" customHeight="1">
      <c r="B217" s="25"/>
      <c r="C217" s="308"/>
      <c r="D217" s="293"/>
      <c r="E217" s="271"/>
      <c r="F217" s="40"/>
      <c r="G217" s="260"/>
      <c r="H217" s="34"/>
      <c r="I217" s="27"/>
      <c r="J217" s="28"/>
      <c r="K217" s="185"/>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row>
    <row r="218" spans="2:174" s="272" customFormat="1" ht="18" customHeight="1">
      <c r="B218" s="273"/>
      <c r="C218" s="307"/>
      <c r="D218" s="287">
        <f>D216+1</f>
        <v>67</v>
      </c>
      <c r="E218" s="275" t="str">
        <f>"What is the total amount that other individuals, churchs, or supporting ministries will give to this project in "&amp;$F$11&amp;"?"</f>
        <v>What is the total amount that other individuals, churchs, or supporting ministries will give to this project in ?</v>
      </c>
      <c r="F218" s="276"/>
      <c r="G218" s="277"/>
      <c r="H218" s="278"/>
      <c r="I218" s="279"/>
      <c r="J218" s="280"/>
      <c r="K218" s="281"/>
      <c r="L218" s="280"/>
      <c r="M218" s="280"/>
      <c r="N218" s="280"/>
      <c r="O218" s="280"/>
      <c r="P218" s="280"/>
      <c r="Q218" s="280"/>
      <c r="R218" s="280"/>
      <c r="S218" s="280"/>
      <c r="T218" s="280"/>
      <c r="U218" s="280"/>
      <c r="V218" s="280"/>
      <c r="W218" s="280"/>
      <c r="X218" s="280"/>
      <c r="Y218" s="280"/>
      <c r="Z218" s="280"/>
      <c r="AA218" s="280"/>
      <c r="AB218" s="280"/>
      <c r="AC218" s="280"/>
      <c r="AD218" s="280"/>
      <c r="AE218" s="280"/>
      <c r="AF218" s="280"/>
      <c r="AG218" s="280"/>
      <c r="AH218" s="280"/>
      <c r="AI218" s="280"/>
      <c r="AJ218" s="280"/>
      <c r="AK218" s="280"/>
      <c r="AL218" s="280"/>
      <c r="AM218" s="280"/>
      <c r="AN218" s="280"/>
      <c r="AO218" s="280"/>
      <c r="AP218" s="280"/>
      <c r="AQ218" s="280"/>
      <c r="AR218" s="280"/>
      <c r="AS218" s="280"/>
      <c r="AT218" s="280"/>
      <c r="AU218" s="280"/>
      <c r="AV218" s="280"/>
      <c r="AW218" s="280"/>
      <c r="AX218" s="280"/>
      <c r="AY218" s="280"/>
      <c r="AZ218" s="280"/>
      <c r="BA218" s="280"/>
      <c r="BB218" s="280"/>
      <c r="BC218" s="280"/>
      <c r="BD218" s="280"/>
      <c r="BE218" s="280"/>
      <c r="BF218" s="280"/>
      <c r="BG218" s="280"/>
      <c r="BH218" s="280"/>
      <c r="BI218" s="280"/>
      <c r="BJ218" s="280"/>
      <c r="BK218" s="280"/>
      <c r="BL218" s="280"/>
      <c r="BM218" s="280"/>
      <c r="BN218" s="280"/>
      <c r="BO218" s="280"/>
      <c r="BP218" s="280"/>
      <c r="BQ218" s="280"/>
      <c r="BR218" s="280"/>
      <c r="BS218" s="280"/>
      <c r="BT218" s="280"/>
      <c r="BU218" s="280"/>
      <c r="BV218" s="280"/>
      <c r="BW218" s="280"/>
      <c r="BX218" s="280"/>
      <c r="BY218" s="280"/>
      <c r="BZ218" s="280"/>
      <c r="CA218" s="280"/>
      <c r="CB218" s="280"/>
      <c r="CC218" s="280"/>
      <c r="CD218" s="280"/>
      <c r="CE218" s="280"/>
      <c r="CF218" s="280"/>
      <c r="CG218" s="280"/>
      <c r="CH218" s="280"/>
      <c r="CI218" s="280"/>
      <c r="CJ218" s="280"/>
      <c r="CK218" s="280"/>
      <c r="CL218" s="280"/>
      <c r="CM218" s="280"/>
      <c r="CN218" s="280"/>
      <c r="CO218" s="280"/>
      <c r="CP218" s="280"/>
      <c r="CQ218" s="280"/>
      <c r="CR218" s="280"/>
      <c r="CS218" s="280"/>
      <c r="CT218" s="280"/>
      <c r="CU218" s="280"/>
      <c r="CV218" s="280"/>
      <c r="CW218" s="280"/>
      <c r="CX218" s="280"/>
      <c r="CY218" s="280"/>
      <c r="CZ218" s="280"/>
      <c r="DA218" s="280"/>
      <c r="DB218" s="280"/>
      <c r="DC218" s="280"/>
      <c r="DD218" s="280"/>
      <c r="DE218" s="280"/>
      <c r="DF218" s="280"/>
      <c r="DG218" s="280"/>
      <c r="DH218" s="280"/>
      <c r="DI218" s="280"/>
      <c r="DJ218" s="280"/>
      <c r="DK218" s="280"/>
      <c r="DL218" s="280"/>
      <c r="DM218" s="280"/>
      <c r="DN218" s="280"/>
      <c r="DO218" s="280"/>
      <c r="DP218" s="280"/>
      <c r="DQ218" s="280"/>
      <c r="DR218" s="280"/>
      <c r="DS218" s="280"/>
      <c r="DT218" s="280"/>
      <c r="DU218" s="280"/>
      <c r="DV218" s="280"/>
      <c r="DW218" s="280"/>
      <c r="DX218" s="280"/>
      <c r="DY218" s="280"/>
      <c r="DZ218" s="280"/>
      <c r="EA218" s="280"/>
      <c r="EB218" s="280"/>
      <c r="EC218" s="280"/>
      <c r="ED218" s="280"/>
      <c r="EE218" s="280"/>
      <c r="EF218" s="280"/>
      <c r="EG218" s="280"/>
      <c r="EH218" s="280"/>
      <c r="EI218" s="280"/>
      <c r="EJ218" s="280"/>
      <c r="EK218" s="280"/>
      <c r="EL218" s="280"/>
      <c r="EM218" s="280"/>
      <c r="EN218" s="280"/>
      <c r="EO218" s="280"/>
      <c r="EP218" s="280"/>
      <c r="EQ218" s="280"/>
      <c r="ER218" s="280"/>
      <c r="ES218" s="280"/>
      <c r="ET218" s="280"/>
      <c r="EU218" s="280"/>
      <c r="EV218" s="280"/>
      <c r="EW218" s="280"/>
      <c r="EX218" s="280"/>
      <c r="EY218" s="280"/>
      <c r="EZ218" s="280"/>
      <c r="FA218" s="280"/>
      <c r="FB218" s="280"/>
      <c r="FC218" s="280"/>
      <c r="FD218" s="280"/>
      <c r="FE218" s="280"/>
      <c r="FF218" s="280"/>
      <c r="FG218" s="280"/>
      <c r="FH218" s="280"/>
      <c r="FI218" s="280"/>
      <c r="FJ218" s="280"/>
      <c r="FK218" s="280"/>
      <c r="FL218" s="280"/>
      <c r="FM218" s="280"/>
      <c r="FN218" s="280"/>
      <c r="FO218" s="280"/>
      <c r="FP218" s="280"/>
      <c r="FQ218" s="280"/>
      <c r="FR218" s="280"/>
    </row>
    <row r="219" spans="2:174" s="29" customFormat="1" ht="16" customHeight="1">
      <c r="B219" s="25"/>
      <c r="C219" s="311"/>
      <c r="D219" s="293"/>
      <c r="E219" s="271"/>
      <c r="F219" s="40"/>
      <c r="G219" s="260"/>
      <c r="H219" s="34"/>
      <c r="I219" s="27"/>
      <c r="J219" s="28"/>
      <c r="K219" s="185"/>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c r="FI219" s="28"/>
      <c r="FJ219" s="28"/>
      <c r="FK219" s="28"/>
      <c r="FL219" s="28"/>
      <c r="FM219" s="28"/>
      <c r="FN219" s="28"/>
      <c r="FO219" s="28"/>
      <c r="FP219" s="28"/>
      <c r="FQ219" s="28"/>
      <c r="FR219" s="28"/>
    </row>
    <row r="220" spans="2:174" s="272" customFormat="1" ht="18" customHeight="1">
      <c r="B220" s="273"/>
      <c r="C220" s="310"/>
      <c r="D220" s="287">
        <f>D218+1</f>
        <v>68</v>
      </c>
      <c r="E220" s="275" t="s">
        <v>4988</v>
      </c>
      <c r="F220" s="275"/>
      <c r="G220" s="277"/>
      <c r="H220" s="278"/>
      <c r="I220" s="279"/>
      <c r="J220" s="280"/>
      <c r="K220" s="281"/>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0"/>
      <c r="AY220" s="280"/>
      <c r="AZ220" s="280"/>
      <c r="BA220" s="280"/>
      <c r="BB220" s="280"/>
      <c r="BC220" s="280"/>
      <c r="BD220" s="280"/>
      <c r="BE220" s="280"/>
      <c r="BF220" s="280"/>
      <c r="BG220" s="280"/>
      <c r="BH220" s="280"/>
      <c r="BI220" s="280"/>
      <c r="BJ220" s="280"/>
      <c r="BK220" s="280"/>
      <c r="BL220" s="280"/>
      <c r="BM220" s="280"/>
      <c r="BN220" s="280"/>
      <c r="BO220" s="280"/>
      <c r="BP220" s="280"/>
      <c r="BQ220" s="280"/>
      <c r="BR220" s="280"/>
      <c r="BS220" s="280"/>
      <c r="BT220" s="280"/>
      <c r="BU220" s="280"/>
      <c r="BV220" s="280"/>
      <c r="BW220" s="280"/>
      <c r="BX220" s="280"/>
      <c r="BY220" s="280"/>
      <c r="BZ220" s="280"/>
      <c r="CA220" s="280"/>
      <c r="CB220" s="280"/>
      <c r="CC220" s="280"/>
      <c r="CD220" s="280"/>
      <c r="CE220" s="280"/>
      <c r="CF220" s="280"/>
      <c r="CG220" s="280"/>
      <c r="CH220" s="280"/>
      <c r="CI220" s="280"/>
      <c r="CJ220" s="280"/>
      <c r="CK220" s="280"/>
      <c r="CL220" s="280"/>
      <c r="CM220" s="280"/>
      <c r="CN220" s="280"/>
      <c r="CO220" s="280"/>
      <c r="CP220" s="280"/>
      <c r="CQ220" s="280"/>
      <c r="CR220" s="280"/>
      <c r="CS220" s="280"/>
      <c r="CT220" s="280"/>
      <c r="CU220" s="280"/>
      <c r="CV220" s="280"/>
      <c r="CW220" s="280"/>
      <c r="CX220" s="280"/>
      <c r="CY220" s="280"/>
      <c r="CZ220" s="280"/>
      <c r="DA220" s="280"/>
      <c r="DB220" s="280"/>
      <c r="DC220" s="280"/>
      <c r="DD220" s="280"/>
      <c r="DE220" s="280"/>
      <c r="DF220" s="280"/>
      <c r="DG220" s="280"/>
      <c r="DH220" s="280"/>
      <c r="DI220" s="280"/>
      <c r="DJ220" s="280"/>
      <c r="DK220" s="280"/>
      <c r="DL220" s="280"/>
      <c r="DM220" s="280"/>
      <c r="DN220" s="280"/>
      <c r="DO220" s="280"/>
      <c r="DP220" s="280"/>
      <c r="DQ220" s="280"/>
      <c r="DR220" s="280"/>
      <c r="DS220" s="280"/>
      <c r="DT220" s="280"/>
      <c r="DU220" s="280"/>
      <c r="DV220" s="280"/>
      <c r="DW220" s="280"/>
      <c r="DX220" s="280"/>
      <c r="DY220" s="280"/>
      <c r="DZ220" s="280"/>
      <c r="EA220" s="280"/>
      <c r="EB220" s="280"/>
      <c r="EC220" s="280"/>
      <c r="ED220" s="280"/>
      <c r="EE220" s="280"/>
      <c r="EF220" s="280"/>
      <c r="EG220" s="280"/>
      <c r="EH220" s="280"/>
      <c r="EI220" s="280"/>
      <c r="EJ220" s="280"/>
      <c r="EK220" s="280"/>
      <c r="EL220" s="280"/>
      <c r="EM220" s="280"/>
      <c r="EN220" s="280"/>
      <c r="EO220" s="280"/>
      <c r="EP220" s="280"/>
      <c r="EQ220" s="280"/>
      <c r="ER220" s="280"/>
      <c r="ES220" s="280"/>
      <c r="ET220" s="280"/>
      <c r="EU220" s="280"/>
      <c r="EV220" s="280"/>
      <c r="EW220" s="280"/>
      <c r="EX220" s="280"/>
      <c r="EY220" s="280"/>
      <c r="EZ220" s="280"/>
      <c r="FA220" s="280"/>
      <c r="FB220" s="280"/>
      <c r="FC220" s="280"/>
      <c r="FD220" s="280"/>
      <c r="FE220" s="280"/>
      <c r="FF220" s="280"/>
      <c r="FG220" s="280"/>
      <c r="FH220" s="280"/>
      <c r="FI220" s="280"/>
      <c r="FJ220" s="280"/>
      <c r="FK220" s="280"/>
      <c r="FL220" s="280"/>
      <c r="FM220" s="280"/>
      <c r="FN220" s="280"/>
      <c r="FO220" s="280"/>
      <c r="FP220" s="280"/>
      <c r="FQ220" s="280"/>
      <c r="FR220" s="280"/>
    </row>
    <row r="221" spans="2:174" s="29" customFormat="1" ht="16" customHeight="1">
      <c r="B221" s="25"/>
      <c r="C221" s="309" t="e">
        <f>ROUND(($E$210*$D$221),0)</f>
        <v>#N/A</v>
      </c>
      <c r="D221" s="288" t="e">
        <f>(100%-SUM($D$225,$D$227,$D$229))/2</f>
        <v>#N/A</v>
      </c>
      <c r="E221" s="297" t="e">
        <f>C221</f>
        <v>#N/A</v>
      </c>
      <c r="F221" s="64" t="e">
        <f>$E$164&amp;"/USD"&amp;FIXED((E221/$F$167),0)&amp;" ("&amp;FIXED(($E$210*D221),0)&amp;$E$164&amp;" Recommended GC Funding: Budget x MAXIMUM "&amp;FIXED(($D221*100),1)&amp;"%)"</f>
        <v>#N/A</v>
      </c>
      <c r="G221" s="260"/>
      <c r="H221" s="34"/>
      <c r="I221" s="27"/>
      <c r="J221" s="28"/>
      <c r="K221" s="185"/>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c r="FI221" s="28"/>
      <c r="FJ221" s="28"/>
      <c r="FK221" s="28"/>
      <c r="FL221" s="28"/>
      <c r="FM221" s="28"/>
      <c r="FN221" s="28"/>
      <c r="FO221" s="28"/>
      <c r="FP221" s="28"/>
      <c r="FQ221" s="28"/>
      <c r="FR221" s="28"/>
    </row>
    <row r="222" spans="2:174" s="272" customFormat="1" ht="18" customHeight="1">
      <c r="B222" s="273"/>
      <c r="C222" s="310"/>
      <c r="D222" s="287">
        <f>D220+1</f>
        <v>69</v>
      </c>
      <c r="E222" s="295" t="s">
        <v>4987</v>
      </c>
      <c r="F222" s="275"/>
      <c r="G222" s="277"/>
      <c r="H222" s="278"/>
      <c r="I222" s="279"/>
      <c r="J222" s="280"/>
      <c r="K222" s="281"/>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0"/>
      <c r="AY222" s="280"/>
      <c r="AZ222" s="280"/>
      <c r="BA222" s="280"/>
      <c r="BB222" s="280"/>
      <c r="BC222" s="280"/>
      <c r="BD222" s="280"/>
      <c r="BE222" s="280"/>
      <c r="BF222" s="280"/>
      <c r="BG222" s="280"/>
      <c r="BH222" s="280"/>
      <c r="BI222" s="280"/>
      <c r="BJ222" s="280"/>
      <c r="BK222" s="280"/>
      <c r="BL222" s="280"/>
      <c r="BM222" s="280"/>
      <c r="BN222" s="280"/>
      <c r="BO222" s="280"/>
      <c r="BP222" s="280"/>
      <c r="BQ222" s="280"/>
      <c r="BR222" s="280"/>
      <c r="BS222" s="280"/>
      <c r="BT222" s="280"/>
      <c r="BU222" s="280"/>
      <c r="BV222" s="280"/>
      <c r="BW222" s="280"/>
      <c r="BX222" s="280"/>
      <c r="BY222" s="280"/>
      <c r="BZ222" s="280"/>
      <c r="CA222" s="280"/>
      <c r="CB222" s="280"/>
      <c r="CC222" s="280"/>
      <c r="CD222" s="280"/>
      <c r="CE222" s="280"/>
      <c r="CF222" s="280"/>
      <c r="CG222" s="280"/>
      <c r="CH222" s="280"/>
      <c r="CI222" s="280"/>
      <c r="CJ222" s="280"/>
      <c r="CK222" s="280"/>
      <c r="CL222" s="280"/>
      <c r="CM222" s="280"/>
      <c r="CN222" s="280"/>
      <c r="CO222" s="280"/>
      <c r="CP222" s="280"/>
      <c r="CQ222" s="280"/>
      <c r="CR222" s="280"/>
      <c r="CS222" s="280"/>
      <c r="CT222" s="280"/>
      <c r="CU222" s="280"/>
      <c r="CV222" s="280"/>
      <c r="CW222" s="280"/>
      <c r="CX222" s="280"/>
      <c r="CY222" s="280"/>
      <c r="CZ222" s="280"/>
      <c r="DA222" s="280"/>
      <c r="DB222" s="280"/>
      <c r="DC222" s="280"/>
      <c r="DD222" s="280"/>
      <c r="DE222" s="280"/>
      <c r="DF222" s="280"/>
      <c r="DG222" s="280"/>
      <c r="DH222" s="280"/>
      <c r="DI222" s="280"/>
      <c r="DJ222" s="280"/>
      <c r="DK222" s="280"/>
      <c r="DL222" s="280"/>
      <c r="DM222" s="280"/>
      <c r="DN222" s="280"/>
      <c r="DO222" s="280"/>
      <c r="DP222" s="280"/>
      <c r="DQ222" s="280"/>
      <c r="DR222" s="280"/>
      <c r="DS222" s="280"/>
      <c r="DT222" s="280"/>
      <c r="DU222" s="280"/>
      <c r="DV222" s="280"/>
      <c r="DW222" s="280"/>
      <c r="DX222" s="280"/>
      <c r="DY222" s="280"/>
      <c r="DZ222" s="280"/>
      <c r="EA222" s="280"/>
      <c r="EB222" s="280"/>
      <c r="EC222" s="280"/>
      <c r="ED222" s="280"/>
      <c r="EE222" s="280"/>
      <c r="EF222" s="280"/>
      <c r="EG222" s="280"/>
      <c r="EH222" s="280"/>
      <c r="EI222" s="280"/>
      <c r="EJ222" s="280"/>
      <c r="EK222" s="280"/>
      <c r="EL222" s="280"/>
      <c r="EM222" s="280"/>
      <c r="EN222" s="280"/>
      <c r="EO222" s="280"/>
      <c r="EP222" s="280"/>
      <c r="EQ222" s="280"/>
      <c r="ER222" s="280"/>
      <c r="ES222" s="280"/>
      <c r="ET222" s="280"/>
      <c r="EU222" s="280"/>
      <c r="EV222" s="280"/>
      <c r="EW222" s="280"/>
      <c r="EX222" s="280"/>
      <c r="EY222" s="280"/>
      <c r="EZ222" s="280"/>
      <c r="FA222" s="280"/>
      <c r="FB222" s="280"/>
      <c r="FC222" s="280"/>
      <c r="FD222" s="280"/>
      <c r="FE222" s="280"/>
      <c r="FF222" s="280"/>
      <c r="FG222" s="280"/>
      <c r="FH222" s="280"/>
      <c r="FI222" s="280"/>
      <c r="FJ222" s="280"/>
      <c r="FK222" s="280"/>
      <c r="FL222" s="280"/>
      <c r="FM222" s="280"/>
      <c r="FN222" s="280"/>
      <c r="FO222" s="280"/>
      <c r="FP222" s="280"/>
      <c r="FQ222" s="280"/>
      <c r="FR222" s="280"/>
    </row>
    <row r="223" spans="2:174" s="29" customFormat="1" ht="16" customHeight="1">
      <c r="B223" s="25"/>
      <c r="C223" s="309" t="e">
        <f>ROUND(($E$210*$D$223),0)</f>
        <v>#N/A</v>
      </c>
      <c r="D223" s="288" t="e">
        <f>(100%-SUM($D$225,$D$227,$D$229))/2</f>
        <v>#N/A</v>
      </c>
      <c r="E223" s="297" t="e">
        <f>C223</f>
        <v>#N/A</v>
      </c>
      <c r="F223" s="64" t="e">
        <f>$E$164&amp;"/USD"&amp;FIXED((E223/$F$167),0)&amp;" ("&amp;FIXED(($E$210*D223),0)&amp;$E$164&amp;" Recommended SSD Funding: Budget x MAXIMUM "&amp;FIXED(($D223*100),1)&amp;"%)"</f>
        <v>#N/A</v>
      </c>
      <c r="G223" s="260"/>
      <c r="H223" s="34"/>
      <c r="I223" s="27"/>
      <c r="J223" s="28"/>
      <c r="K223" s="185"/>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c r="FI223" s="28"/>
      <c r="FJ223" s="28"/>
      <c r="FK223" s="28"/>
      <c r="FL223" s="28"/>
      <c r="FM223" s="28"/>
      <c r="FN223" s="28"/>
      <c r="FO223" s="28"/>
      <c r="FP223" s="28"/>
      <c r="FQ223" s="28"/>
      <c r="FR223" s="28"/>
    </row>
    <row r="224" spans="2:174" s="272" customFormat="1" ht="18" customHeight="1">
      <c r="B224" s="273"/>
      <c r="C224" s="310"/>
      <c r="D224" s="287">
        <f>D222+1</f>
        <v>70</v>
      </c>
      <c r="E224" s="295" t="str">
        <f>"How much will you ask from the Local Union ("&amp;$F$28&amp;")?"</f>
        <v>How much will you ask from the Local Union ()?</v>
      </c>
      <c r="F224" s="275"/>
      <c r="G224" s="277"/>
      <c r="H224" s="278"/>
      <c r="I224" s="279"/>
      <c r="J224" s="280"/>
      <c r="K224" s="281"/>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0"/>
      <c r="AY224" s="280"/>
      <c r="AZ224" s="280"/>
      <c r="BA224" s="280"/>
      <c r="BB224" s="280"/>
      <c r="BC224" s="280"/>
      <c r="BD224" s="280"/>
      <c r="BE224" s="280"/>
      <c r="BF224" s="280"/>
      <c r="BG224" s="280"/>
      <c r="BH224" s="280"/>
      <c r="BI224" s="280"/>
      <c r="BJ224" s="280"/>
      <c r="BK224" s="280"/>
      <c r="BL224" s="280"/>
      <c r="BM224" s="280"/>
      <c r="BN224" s="280"/>
      <c r="BO224" s="280"/>
      <c r="BP224" s="280"/>
      <c r="BQ224" s="280"/>
      <c r="BR224" s="280"/>
      <c r="BS224" s="280"/>
      <c r="BT224" s="280"/>
      <c r="BU224" s="280"/>
      <c r="BV224" s="280"/>
      <c r="BW224" s="280"/>
      <c r="BX224" s="280"/>
      <c r="BY224" s="280"/>
      <c r="BZ224" s="280"/>
      <c r="CA224" s="280"/>
      <c r="CB224" s="280"/>
      <c r="CC224" s="280"/>
      <c r="CD224" s="280"/>
      <c r="CE224" s="280"/>
      <c r="CF224" s="280"/>
      <c r="CG224" s="280"/>
      <c r="CH224" s="280"/>
      <c r="CI224" s="280"/>
      <c r="CJ224" s="280"/>
      <c r="CK224" s="280"/>
      <c r="CL224" s="280"/>
      <c r="CM224" s="280"/>
      <c r="CN224" s="280"/>
      <c r="CO224" s="280"/>
      <c r="CP224" s="280"/>
      <c r="CQ224" s="280"/>
      <c r="CR224" s="280"/>
      <c r="CS224" s="280"/>
      <c r="CT224" s="280"/>
      <c r="CU224" s="280"/>
      <c r="CV224" s="280"/>
      <c r="CW224" s="280"/>
      <c r="CX224" s="280"/>
      <c r="CY224" s="280"/>
      <c r="CZ224" s="280"/>
      <c r="DA224" s="280"/>
      <c r="DB224" s="280"/>
      <c r="DC224" s="280"/>
      <c r="DD224" s="280"/>
      <c r="DE224" s="280"/>
      <c r="DF224" s="280"/>
      <c r="DG224" s="280"/>
      <c r="DH224" s="280"/>
      <c r="DI224" s="280"/>
      <c r="DJ224" s="280"/>
      <c r="DK224" s="280"/>
      <c r="DL224" s="280"/>
      <c r="DM224" s="280"/>
      <c r="DN224" s="280"/>
      <c r="DO224" s="280"/>
      <c r="DP224" s="280"/>
      <c r="DQ224" s="280"/>
      <c r="DR224" s="280"/>
      <c r="DS224" s="280"/>
      <c r="DT224" s="280"/>
      <c r="DU224" s="280"/>
      <c r="DV224" s="280"/>
      <c r="DW224" s="280"/>
      <c r="DX224" s="280"/>
      <c r="DY224" s="280"/>
      <c r="DZ224" s="280"/>
      <c r="EA224" s="280"/>
      <c r="EB224" s="280"/>
      <c r="EC224" s="280"/>
      <c r="ED224" s="280"/>
      <c r="EE224" s="280"/>
      <c r="EF224" s="280"/>
      <c r="EG224" s="280"/>
      <c r="EH224" s="280"/>
      <c r="EI224" s="280"/>
      <c r="EJ224" s="280"/>
      <c r="EK224" s="280"/>
      <c r="EL224" s="280"/>
      <c r="EM224" s="280"/>
      <c r="EN224" s="280"/>
      <c r="EO224" s="280"/>
      <c r="EP224" s="280"/>
      <c r="EQ224" s="280"/>
      <c r="ER224" s="280"/>
      <c r="ES224" s="280"/>
      <c r="ET224" s="280"/>
      <c r="EU224" s="280"/>
      <c r="EV224" s="280"/>
      <c r="EW224" s="280"/>
      <c r="EX224" s="280"/>
      <c r="EY224" s="280"/>
      <c r="EZ224" s="280"/>
      <c r="FA224" s="280"/>
      <c r="FB224" s="280"/>
      <c r="FC224" s="280"/>
      <c r="FD224" s="280"/>
      <c r="FE224" s="280"/>
      <c r="FF224" s="280"/>
      <c r="FG224" s="280"/>
      <c r="FH224" s="280"/>
      <c r="FI224" s="280"/>
      <c r="FJ224" s="280"/>
      <c r="FK224" s="280"/>
      <c r="FL224" s="280"/>
      <c r="FM224" s="280"/>
      <c r="FN224" s="280"/>
      <c r="FO224" s="280"/>
      <c r="FP224" s="280"/>
      <c r="FQ224" s="280"/>
      <c r="FR224" s="280"/>
    </row>
    <row r="225" spans="1:174" s="29" customFormat="1" ht="16" customHeight="1">
      <c r="B225" s="25"/>
      <c r="C225" s="309" t="e">
        <f>$E$210-$C$221-$C$223-$C$227-$C$229</f>
        <v>#N/A</v>
      </c>
      <c r="D225" s="288">
        <f>IF(ISNUMBER(SEARCH("*C",$F$28)),25%,10%)</f>
        <v>0.1</v>
      </c>
      <c r="E225" s="297" t="e">
        <f>C225</f>
        <v>#N/A</v>
      </c>
      <c r="F225" s="64" t="e">
        <f>$E$164&amp;"/USD"&amp;FIXED((E225/$F$167),0)&amp;" ("&amp;FIXED(($E$210*D225),0)&amp;$E$164&amp;" Recommended "&amp;$F$28&amp;" Funding: Budget x MINIMUM "&amp;FIXED(($D225*100),1)&amp;"%)"</f>
        <v>#N/A</v>
      </c>
      <c r="G225" s="260"/>
      <c r="H225" s="34"/>
      <c r="I225" s="27"/>
      <c r="J225" s="28"/>
      <c r="K225" s="185"/>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8"/>
      <c r="FQ225" s="28"/>
      <c r="FR225" s="28"/>
    </row>
    <row r="226" spans="1:174" s="272" customFormat="1" ht="18" customHeight="1">
      <c r="B226" s="273"/>
      <c r="C226" s="310"/>
      <c r="D226" s="287">
        <f>D224+1</f>
        <v>71</v>
      </c>
      <c r="E226" s="295" t="str">
        <f>"How much will you ask from the Local Region/Mission/Conference ("&amp;$F$24&amp;")?"</f>
        <v>How much will you ask from the Local Region/Mission/Conference ()?</v>
      </c>
      <c r="F226" s="275"/>
      <c r="G226" s="277"/>
      <c r="H226" s="278"/>
      <c r="I226" s="279"/>
      <c r="J226" s="280"/>
      <c r="K226" s="281"/>
      <c r="L226" s="280"/>
      <c r="M226" s="280"/>
      <c r="N226" s="280"/>
      <c r="O226" s="280"/>
      <c r="P226" s="280"/>
      <c r="Q226" s="280"/>
      <c r="R226" s="280"/>
      <c r="S226" s="280"/>
      <c r="T226" s="280"/>
      <c r="U226" s="280"/>
      <c r="V226" s="280"/>
      <c r="W226" s="280"/>
      <c r="X226" s="280"/>
      <c r="Y226" s="280"/>
      <c r="Z226" s="280"/>
      <c r="AA226" s="280"/>
      <c r="AB226" s="280"/>
      <c r="AC226" s="280"/>
      <c r="AD226" s="280"/>
      <c r="AE226" s="280"/>
      <c r="AF226" s="280"/>
      <c r="AG226" s="280"/>
      <c r="AH226" s="280"/>
      <c r="AI226" s="280"/>
      <c r="AJ226" s="280"/>
      <c r="AK226" s="280"/>
      <c r="AL226" s="280"/>
      <c r="AM226" s="280"/>
      <c r="AN226" s="280"/>
      <c r="AO226" s="280"/>
      <c r="AP226" s="280"/>
      <c r="AQ226" s="280"/>
      <c r="AR226" s="280"/>
      <c r="AS226" s="280"/>
      <c r="AT226" s="280"/>
      <c r="AU226" s="280"/>
      <c r="AV226" s="280"/>
      <c r="AW226" s="280"/>
      <c r="AX226" s="280"/>
      <c r="AY226" s="280"/>
      <c r="AZ226" s="280"/>
      <c r="BA226" s="280"/>
      <c r="BB226" s="280"/>
      <c r="BC226" s="280"/>
      <c r="BD226" s="280"/>
      <c r="BE226" s="280"/>
      <c r="BF226" s="280"/>
      <c r="BG226" s="280"/>
      <c r="BH226" s="280"/>
      <c r="BI226" s="280"/>
      <c r="BJ226" s="280"/>
      <c r="BK226" s="280"/>
      <c r="BL226" s="280"/>
      <c r="BM226" s="280"/>
      <c r="BN226" s="280"/>
      <c r="BO226" s="280"/>
      <c r="BP226" s="280"/>
      <c r="BQ226" s="280"/>
      <c r="BR226" s="280"/>
      <c r="BS226" s="280"/>
      <c r="BT226" s="280"/>
      <c r="BU226" s="280"/>
      <c r="BV226" s="280"/>
      <c r="BW226" s="280"/>
      <c r="BX226" s="280"/>
      <c r="BY226" s="280"/>
      <c r="BZ226" s="280"/>
      <c r="CA226" s="280"/>
      <c r="CB226" s="280"/>
      <c r="CC226" s="280"/>
      <c r="CD226" s="280"/>
      <c r="CE226" s="280"/>
      <c r="CF226" s="280"/>
      <c r="CG226" s="280"/>
      <c r="CH226" s="280"/>
      <c r="CI226" s="280"/>
      <c r="CJ226" s="280"/>
      <c r="CK226" s="280"/>
      <c r="CL226" s="280"/>
      <c r="CM226" s="280"/>
      <c r="CN226" s="280"/>
      <c r="CO226" s="280"/>
      <c r="CP226" s="280"/>
      <c r="CQ226" s="280"/>
      <c r="CR226" s="280"/>
      <c r="CS226" s="280"/>
      <c r="CT226" s="280"/>
      <c r="CU226" s="280"/>
      <c r="CV226" s="280"/>
      <c r="CW226" s="280"/>
      <c r="CX226" s="280"/>
      <c r="CY226" s="280"/>
      <c r="CZ226" s="280"/>
      <c r="DA226" s="280"/>
      <c r="DB226" s="280"/>
      <c r="DC226" s="280"/>
      <c r="DD226" s="280"/>
      <c r="DE226" s="280"/>
      <c r="DF226" s="280"/>
      <c r="DG226" s="280"/>
      <c r="DH226" s="280"/>
      <c r="DI226" s="280"/>
      <c r="DJ226" s="280"/>
      <c r="DK226" s="280"/>
      <c r="DL226" s="280"/>
      <c r="DM226" s="280"/>
      <c r="DN226" s="280"/>
      <c r="DO226" s="280"/>
      <c r="DP226" s="280"/>
      <c r="DQ226" s="280"/>
      <c r="DR226" s="280"/>
      <c r="DS226" s="280"/>
      <c r="DT226" s="280"/>
      <c r="DU226" s="280"/>
      <c r="DV226" s="280"/>
      <c r="DW226" s="280"/>
      <c r="DX226" s="280"/>
      <c r="DY226" s="280"/>
      <c r="DZ226" s="280"/>
      <c r="EA226" s="280"/>
      <c r="EB226" s="280"/>
      <c r="EC226" s="280"/>
      <c r="ED226" s="280"/>
      <c r="EE226" s="280"/>
      <c r="EF226" s="280"/>
      <c r="EG226" s="280"/>
      <c r="EH226" s="280"/>
      <c r="EI226" s="280"/>
      <c r="EJ226" s="280"/>
      <c r="EK226" s="280"/>
      <c r="EL226" s="280"/>
      <c r="EM226" s="280"/>
      <c r="EN226" s="280"/>
      <c r="EO226" s="280"/>
      <c r="EP226" s="280"/>
      <c r="EQ226" s="280"/>
      <c r="ER226" s="280"/>
      <c r="ES226" s="280"/>
      <c r="ET226" s="280"/>
      <c r="EU226" s="280"/>
      <c r="EV226" s="280"/>
      <c r="EW226" s="280"/>
      <c r="EX226" s="280"/>
      <c r="EY226" s="280"/>
      <c r="EZ226" s="280"/>
      <c r="FA226" s="280"/>
      <c r="FB226" s="280"/>
      <c r="FC226" s="280"/>
      <c r="FD226" s="280"/>
      <c r="FE226" s="280"/>
      <c r="FF226" s="280"/>
      <c r="FG226" s="280"/>
      <c r="FH226" s="280"/>
      <c r="FI226" s="280"/>
      <c r="FJ226" s="280"/>
      <c r="FK226" s="280"/>
      <c r="FL226" s="280"/>
      <c r="FM226" s="280"/>
      <c r="FN226" s="280"/>
      <c r="FO226" s="280"/>
      <c r="FP226" s="280"/>
      <c r="FQ226" s="280"/>
      <c r="FR226" s="280"/>
    </row>
    <row r="227" spans="1:174" s="29" customFormat="1" ht="16" customHeight="1">
      <c r="B227" s="25"/>
      <c r="C227" s="309" t="e">
        <f>ROUND(($E$210*$D$227),0)</f>
        <v>#N/A</v>
      </c>
      <c r="D227" s="288">
        <f>IF($F$25="region",5%,IF($F$25="mission",10%,25%))</f>
        <v>0.25</v>
      </c>
      <c r="E227" s="297" t="e">
        <f>C227</f>
        <v>#N/A</v>
      </c>
      <c r="F227" s="64" t="e">
        <f>$E$164&amp;"/USD"&amp;FIXED((E227/$F$167),0)&amp;" ("&amp;FIXED(($E$210*D227),0)&amp;$E$164&amp;" Recommended "&amp;$F$24&amp;" Funding: Budget x MINIMUM "&amp;FIXED(($D227*100),1)&amp;"%)"</f>
        <v>#N/A</v>
      </c>
      <c r="G227" s="260"/>
      <c r="H227" s="34"/>
      <c r="I227" s="27"/>
      <c r="J227" s="28"/>
      <c r="K227" s="185"/>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8"/>
      <c r="FQ227" s="28"/>
      <c r="FR227" s="28"/>
    </row>
    <row r="228" spans="1:174" s="272" customFormat="1" ht="18" customHeight="1">
      <c r="B228" s="273"/>
      <c r="C228" s="310"/>
      <c r="D228" s="287">
        <f>D226+1</f>
        <v>72</v>
      </c>
      <c r="E228" s="295" t="s">
        <v>5048</v>
      </c>
      <c r="F228" s="275"/>
      <c r="G228" s="277"/>
      <c r="H228" s="278"/>
      <c r="I228" s="279"/>
      <c r="J228" s="280"/>
      <c r="K228" s="281"/>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0"/>
      <c r="AY228" s="280"/>
      <c r="AZ228" s="280"/>
      <c r="BA228" s="280"/>
      <c r="BB228" s="280"/>
      <c r="BC228" s="280"/>
      <c r="BD228" s="280"/>
      <c r="BE228" s="280"/>
      <c r="BF228" s="280"/>
      <c r="BG228" s="280"/>
      <c r="BH228" s="280"/>
      <c r="BI228" s="280"/>
      <c r="BJ228" s="280"/>
      <c r="BK228" s="280"/>
      <c r="BL228" s="280"/>
      <c r="BM228" s="280"/>
      <c r="BN228" s="280"/>
      <c r="BO228" s="280"/>
      <c r="BP228" s="280"/>
      <c r="BQ228" s="280"/>
      <c r="BR228" s="280"/>
      <c r="BS228" s="280"/>
      <c r="BT228" s="280"/>
      <c r="BU228" s="280"/>
      <c r="BV228" s="280"/>
      <c r="BW228" s="280"/>
      <c r="BX228" s="280"/>
      <c r="BY228" s="280"/>
      <c r="BZ228" s="280"/>
      <c r="CA228" s="280"/>
      <c r="CB228" s="280"/>
      <c r="CC228" s="280"/>
      <c r="CD228" s="280"/>
      <c r="CE228" s="280"/>
      <c r="CF228" s="280"/>
      <c r="CG228" s="280"/>
      <c r="CH228" s="280"/>
      <c r="CI228" s="280"/>
      <c r="CJ228" s="280"/>
      <c r="CK228" s="280"/>
      <c r="CL228" s="280"/>
      <c r="CM228" s="280"/>
      <c r="CN228" s="280"/>
      <c r="CO228" s="280"/>
      <c r="CP228" s="280"/>
      <c r="CQ228" s="280"/>
      <c r="CR228" s="280"/>
      <c r="CS228" s="280"/>
      <c r="CT228" s="280"/>
      <c r="CU228" s="280"/>
      <c r="CV228" s="280"/>
      <c r="CW228" s="280"/>
      <c r="CX228" s="280"/>
      <c r="CY228" s="280"/>
      <c r="CZ228" s="280"/>
      <c r="DA228" s="280"/>
      <c r="DB228" s="280"/>
      <c r="DC228" s="280"/>
      <c r="DD228" s="280"/>
      <c r="DE228" s="280"/>
      <c r="DF228" s="280"/>
      <c r="DG228" s="280"/>
      <c r="DH228" s="280"/>
      <c r="DI228" s="280"/>
      <c r="DJ228" s="280"/>
      <c r="DK228" s="280"/>
      <c r="DL228" s="280"/>
      <c r="DM228" s="280"/>
      <c r="DN228" s="280"/>
      <c r="DO228" s="280"/>
      <c r="DP228" s="280"/>
      <c r="DQ228" s="280"/>
      <c r="DR228" s="280"/>
      <c r="DS228" s="280"/>
      <c r="DT228" s="280"/>
      <c r="DU228" s="280"/>
      <c r="DV228" s="280"/>
      <c r="DW228" s="280"/>
      <c r="DX228" s="280"/>
      <c r="DY228" s="280"/>
      <c r="DZ228" s="280"/>
      <c r="EA228" s="280"/>
      <c r="EB228" s="280"/>
      <c r="EC228" s="280"/>
      <c r="ED228" s="280"/>
      <c r="EE228" s="280"/>
      <c r="EF228" s="280"/>
      <c r="EG228" s="280"/>
      <c r="EH228" s="280"/>
      <c r="EI228" s="280"/>
      <c r="EJ228" s="280"/>
      <c r="EK228" s="280"/>
      <c r="EL228" s="280"/>
      <c r="EM228" s="280"/>
      <c r="EN228" s="280"/>
      <c r="EO228" s="280"/>
      <c r="EP228" s="280"/>
      <c r="EQ228" s="280"/>
      <c r="ER228" s="280"/>
      <c r="ES228" s="280"/>
      <c r="ET228" s="280"/>
      <c r="EU228" s="280"/>
      <c r="EV228" s="280"/>
      <c r="EW228" s="280"/>
      <c r="EX228" s="280"/>
      <c r="EY228" s="280"/>
      <c r="EZ228" s="280"/>
      <c r="FA228" s="280"/>
      <c r="FB228" s="280"/>
      <c r="FC228" s="280"/>
      <c r="FD228" s="280"/>
      <c r="FE228" s="280"/>
      <c r="FF228" s="280"/>
      <c r="FG228" s="280"/>
      <c r="FH228" s="280"/>
      <c r="FI228" s="280"/>
      <c r="FJ228" s="280"/>
      <c r="FK228" s="280"/>
      <c r="FL228" s="280"/>
      <c r="FM228" s="280"/>
      <c r="FN228" s="280"/>
      <c r="FO228" s="280"/>
      <c r="FP228" s="280"/>
      <c r="FQ228" s="280"/>
      <c r="FR228" s="280"/>
    </row>
    <row r="229" spans="1:174" s="29" customFormat="1" ht="16" customHeight="1">
      <c r="B229" s="25"/>
      <c r="C229" s="309">
        <f>$F$219+$F$217</f>
        <v>0</v>
      </c>
      <c r="D229" s="288" t="e">
        <f>ROUND(($F$217+$F$219)/$E$210,2)</f>
        <v>#N/A</v>
      </c>
      <c r="E229" s="297">
        <f>C229</f>
        <v>0</v>
      </c>
      <c r="F229" s="64" t="e">
        <f>$E$164&amp;"/USD"&amp;FIXED((E229/$F$167),0)&amp;" ("&amp;FIXED(($E$210*D229),0)&amp;$E$164&amp;" Recommended Church/Project Funding: Budget x "&amp;FIXED(($D229*100),1)&amp;"%)"</f>
        <v>#N/A</v>
      </c>
      <c r="G229" s="260"/>
      <c r="H229" s="34"/>
      <c r="I229" s="27"/>
      <c r="J229" s="28"/>
      <c r="K229" s="185"/>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28"/>
      <c r="DY229" s="28"/>
      <c r="DZ229" s="28"/>
      <c r="EA229" s="28"/>
      <c r="EB229" s="28"/>
      <c r="EC229" s="28"/>
      <c r="ED229" s="28"/>
      <c r="EE229" s="28"/>
      <c r="EF229" s="28"/>
      <c r="EG229" s="28"/>
      <c r="EH229" s="28"/>
      <c r="EI229" s="28"/>
      <c r="EJ229" s="28"/>
      <c r="EK229" s="28"/>
      <c r="EL229" s="28"/>
      <c r="EM229" s="28"/>
      <c r="EN229" s="28"/>
      <c r="EO229" s="28"/>
      <c r="EP229" s="28"/>
      <c r="EQ229" s="28"/>
      <c r="ER229" s="28"/>
      <c r="ES229" s="28"/>
      <c r="ET229" s="28"/>
      <c r="EU229" s="28"/>
      <c r="EV229" s="28"/>
      <c r="EW229" s="28"/>
      <c r="EX229" s="28"/>
      <c r="EY229" s="28"/>
      <c r="EZ229" s="28"/>
      <c r="FA229" s="28"/>
      <c r="FB229" s="28"/>
      <c r="FC229" s="28"/>
      <c r="FD229" s="28"/>
      <c r="FE229" s="28"/>
      <c r="FF229" s="28"/>
      <c r="FG229" s="28"/>
      <c r="FH229" s="28"/>
      <c r="FI229" s="28"/>
      <c r="FJ229" s="28"/>
      <c r="FK229" s="28"/>
      <c r="FL229" s="28"/>
      <c r="FM229" s="28"/>
      <c r="FN229" s="28"/>
      <c r="FO229" s="28"/>
      <c r="FP229" s="28"/>
      <c r="FQ229" s="28"/>
      <c r="FR229" s="28"/>
    </row>
    <row r="230" spans="1:174" s="29" customFormat="1" ht="16" customHeight="1" thickBot="1">
      <c r="B230" s="25"/>
      <c r="C230" s="311"/>
      <c r="D230" s="289"/>
      <c r="E230" s="298"/>
      <c r="F230" s="70"/>
      <c r="G230" s="260"/>
      <c r="H230" s="34"/>
      <c r="I230" s="27"/>
      <c r="J230" s="28"/>
      <c r="K230" s="185"/>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c r="EJ230" s="28"/>
      <c r="EK230" s="28"/>
      <c r="EL230" s="28"/>
      <c r="EM230" s="28"/>
      <c r="EN230" s="28"/>
      <c r="EO230" s="28"/>
      <c r="EP230" s="28"/>
      <c r="EQ230" s="28"/>
      <c r="ER230" s="28"/>
      <c r="ES230" s="28"/>
      <c r="ET230" s="28"/>
      <c r="EU230" s="28"/>
      <c r="EV230" s="28"/>
      <c r="EW230" s="28"/>
      <c r="EX230" s="28"/>
      <c r="EY230" s="28"/>
      <c r="EZ230" s="28"/>
      <c r="FA230" s="28"/>
      <c r="FB230" s="28"/>
      <c r="FC230" s="28"/>
      <c r="FD230" s="28"/>
      <c r="FE230" s="28"/>
      <c r="FF230" s="28"/>
      <c r="FG230" s="28"/>
      <c r="FH230" s="28"/>
      <c r="FI230" s="28"/>
      <c r="FJ230" s="28"/>
      <c r="FK230" s="28"/>
      <c r="FL230" s="28"/>
      <c r="FM230" s="28"/>
      <c r="FN230" s="28"/>
      <c r="FO230" s="28"/>
      <c r="FP230" s="28"/>
      <c r="FQ230" s="28"/>
      <c r="FR230" s="28"/>
    </row>
    <row r="231" spans="1:174" s="29" customFormat="1" ht="16" customHeight="1" thickTop="1" thickBot="1">
      <c r="B231" s="25"/>
      <c r="C231" s="311"/>
      <c r="D231" s="289"/>
      <c r="E231" s="299" t="e">
        <f>(SUM(E221:E230))</f>
        <v>#N/A</v>
      </c>
      <c r="F231" s="270" t="e">
        <f>$E$164&amp;"/USD"&amp;FIXED((E231/$F$167),0)&amp;" TOTAL FUNDING"</f>
        <v>#N/A</v>
      </c>
      <c r="G231" s="260"/>
      <c r="H231" s="34"/>
      <c r="I231" s="27"/>
      <c r="J231" s="28"/>
      <c r="K231" s="185"/>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c r="EJ231" s="28"/>
      <c r="EK231" s="28"/>
      <c r="EL231" s="28"/>
      <c r="EM231" s="28"/>
      <c r="EN231" s="28"/>
      <c r="EO231" s="28"/>
      <c r="EP231" s="28"/>
      <c r="EQ231" s="28"/>
      <c r="ER231" s="28"/>
      <c r="ES231" s="28"/>
      <c r="ET231" s="28"/>
      <c r="EU231" s="28"/>
      <c r="EV231" s="28"/>
      <c r="EW231" s="28"/>
      <c r="EX231" s="28"/>
      <c r="EY231" s="28"/>
      <c r="EZ231" s="28"/>
      <c r="FA231" s="28"/>
      <c r="FB231" s="28"/>
      <c r="FC231" s="28"/>
      <c r="FD231" s="28"/>
      <c r="FE231" s="28"/>
      <c r="FF231" s="28"/>
      <c r="FG231" s="28"/>
      <c r="FH231" s="28"/>
      <c r="FI231" s="28"/>
      <c r="FJ231" s="28"/>
      <c r="FK231" s="28"/>
      <c r="FL231" s="28"/>
      <c r="FM231" s="28"/>
      <c r="FN231" s="28"/>
      <c r="FO231" s="28"/>
      <c r="FP231" s="28"/>
      <c r="FQ231" s="28"/>
      <c r="FR231" s="28"/>
    </row>
    <row r="232" spans="1:174" s="29" customFormat="1" ht="16" customHeight="1" thickTop="1" thickBot="1">
      <c r="B232" s="25"/>
      <c r="C232" s="32"/>
      <c r="D232" s="290"/>
      <c r="E232" s="265"/>
      <c r="F232" s="79"/>
      <c r="G232" s="263"/>
      <c r="H232" s="34"/>
      <c r="I232" s="27"/>
      <c r="J232" s="28"/>
      <c r="K232" s="185"/>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c r="DS232" s="28"/>
      <c r="DT232" s="28"/>
      <c r="DU232" s="28"/>
      <c r="DV232" s="28"/>
      <c r="DW232" s="28"/>
      <c r="DX232" s="28"/>
      <c r="DY232" s="28"/>
      <c r="DZ232" s="28"/>
      <c r="EA232" s="28"/>
      <c r="EB232" s="28"/>
      <c r="EC232" s="28"/>
      <c r="ED232" s="28"/>
      <c r="EE232" s="28"/>
      <c r="EF232" s="28"/>
      <c r="EG232" s="28"/>
      <c r="EH232" s="28"/>
      <c r="EI232" s="28"/>
      <c r="EJ232" s="28"/>
      <c r="EK232" s="28"/>
      <c r="EL232" s="28"/>
      <c r="EM232" s="28"/>
      <c r="EN232" s="28"/>
      <c r="EO232" s="28"/>
      <c r="EP232" s="28"/>
      <c r="EQ232" s="28"/>
      <c r="ER232" s="28"/>
      <c r="ES232" s="28"/>
      <c r="ET232" s="28"/>
      <c r="EU232" s="28"/>
      <c r="EV232" s="28"/>
      <c r="EW232" s="28"/>
      <c r="EX232" s="28"/>
      <c r="EY232" s="28"/>
      <c r="EZ232" s="28"/>
      <c r="FA232" s="28"/>
      <c r="FB232" s="28"/>
      <c r="FC232" s="28"/>
      <c r="FD232" s="28"/>
      <c r="FE232" s="28"/>
      <c r="FF232" s="28"/>
      <c r="FG232" s="28"/>
      <c r="FH232" s="28"/>
      <c r="FI232" s="28"/>
      <c r="FJ232" s="28"/>
      <c r="FK232" s="28"/>
      <c r="FL232" s="28"/>
      <c r="FM232" s="28"/>
      <c r="FN232" s="28"/>
      <c r="FO232" s="28"/>
      <c r="FP232" s="28"/>
      <c r="FQ232" s="28"/>
      <c r="FR232" s="28"/>
    </row>
    <row r="233" spans="1:174" s="29" customFormat="1" ht="16" customHeight="1">
      <c r="B233" s="25"/>
      <c r="C233" s="32"/>
      <c r="D233" s="291"/>
      <c r="E233" s="255"/>
      <c r="F233" s="39"/>
      <c r="G233" s="39"/>
      <c r="H233" s="34"/>
      <c r="I233" s="27"/>
      <c r="J233" s="28"/>
      <c r="K233" s="185"/>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c r="DS233" s="28"/>
      <c r="DT233" s="28"/>
      <c r="DU233" s="28"/>
      <c r="DV233" s="28"/>
      <c r="DW233" s="28"/>
      <c r="DX233" s="28"/>
      <c r="DY233" s="28"/>
      <c r="DZ233" s="28"/>
      <c r="EA233" s="28"/>
      <c r="EB233" s="28"/>
      <c r="EC233" s="28"/>
      <c r="ED233" s="28"/>
      <c r="EE233" s="28"/>
      <c r="EF233" s="28"/>
      <c r="EG233" s="28"/>
      <c r="EH233" s="28"/>
      <c r="EI233" s="28"/>
      <c r="EJ233" s="28"/>
      <c r="EK233" s="28"/>
      <c r="EL233" s="28"/>
      <c r="EM233" s="28"/>
      <c r="EN233" s="28"/>
      <c r="EO233" s="28"/>
      <c r="EP233" s="28"/>
      <c r="EQ233" s="28"/>
      <c r="ER233" s="28"/>
      <c r="ES233" s="28"/>
      <c r="ET233" s="28"/>
      <c r="EU233" s="28"/>
      <c r="EV233" s="28"/>
      <c r="EW233" s="28"/>
      <c r="EX233" s="28"/>
      <c r="EY233" s="28"/>
      <c r="EZ233" s="28"/>
      <c r="FA233" s="28"/>
      <c r="FB233" s="28"/>
      <c r="FC233" s="28"/>
      <c r="FD233" s="28"/>
      <c r="FE233" s="28"/>
      <c r="FF233" s="28"/>
      <c r="FG233" s="28"/>
      <c r="FH233" s="28"/>
      <c r="FI233" s="28"/>
      <c r="FJ233" s="28"/>
      <c r="FK233" s="28"/>
      <c r="FL233" s="28"/>
      <c r="FM233" s="28"/>
      <c r="FN233" s="28"/>
      <c r="FO233" s="28"/>
      <c r="FP233" s="28"/>
      <c r="FQ233" s="28"/>
      <c r="FR233" s="28"/>
    </row>
    <row r="234" spans="1:174" ht="16" customHeight="1" thickBot="1">
      <c r="B234" s="12"/>
      <c r="C234" s="340"/>
      <c r="D234" s="344" t="s">
        <v>5046</v>
      </c>
      <c r="E234" s="344"/>
      <c r="F234" s="341"/>
      <c r="G234" s="342"/>
      <c r="H234" s="343"/>
      <c r="I234" s="13"/>
    </row>
    <row r="235" spans="1:174" ht="16" customHeight="1" thickTop="1" thickBot="1">
      <c r="B235" s="14"/>
      <c r="C235" s="22"/>
      <c r="D235" s="55"/>
      <c r="E235" s="89"/>
      <c r="F235" s="15"/>
      <c r="G235" s="15"/>
      <c r="H235" s="15"/>
      <c r="I235" s="16"/>
    </row>
    <row r="236" spans="1:174" ht="16" customHeight="1">
      <c r="B236" s="19"/>
      <c r="C236" s="19"/>
      <c r="D236" s="56"/>
      <c r="E236" s="30"/>
      <c r="F236" s="20"/>
      <c r="G236" s="20"/>
      <c r="H236" s="20"/>
      <c r="I236" s="20"/>
    </row>
    <row r="237" spans="1:174" s="90" customFormat="1">
      <c r="A237" s="313"/>
      <c r="B237" s="313"/>
      <c r="C237" s="313"/>
      <c r="D237" s="454"/>
      <c r="E237" s="455" t="s">
        <v>71</v>
      </c>
      <c r="F237" s="456"/>
      <c r="G237" s="456"/>
      <c r="H237" s="456"/>
      <c r="I237" s="99"/>
      <c r="J237" s="99"/>
      <c r="K237" s="18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18"/>
      <c r="CD237" s="18"/>
      <c r="CE237" s="18"/>
      <c r="CF237" s="18"/>
      <c r="CG237" s="18"/>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18"/>
      <c r="DG237" s="18"/>
      <c r="DH237" s="18"/>
      <c r="DI237" s="18"/>
      <c r="DJ237" s="18"/>
      <c r="DK237" s="18"/>
      <c r="DL237" s="18"/>
      <c r="DM237" s="18"/>
      <c r="DN237" s="18"/>
      <c r="DO237" s="18"/>
      <c r="DP237" s="18"/>
      <c r="DQ237" s="18"/>
      <c r="DR237" s="18"/>
      <c r="DS237" s="18"/>
      <c r="DT237" s="18"/>
      <c r="DU237" s="18"/>
      <c r="DV237" s="18"/>
      <c r="DW237" s="18"/>
      <c r="DX237" s="18"/>
      <c r="DY237" s="18"/>
      <c r="DZ237" s="18"/>
      <c r="EA237" s="18"/>
      <c r="EB237" s="18"/>
      <c r="EC237" s="18"/>
      <c r="ED237" s="18"/>
      <c r="EE237" s="18"/>
      <c r="EF237" s="18"/>
      <c r="EG237" s="18"/>
      <c r="EH237" s="18"/>
      <c r="EI237" s="18"/>
      <c r="EJ237" s="18"/>
      <c r="EK237" s="18"/>
      <c r="EL237" s="18"/>
      <c r="EM237" s="18"/>
      <c r="EN237" s="18"/>
      <c r="EO237" s="18"/>
      <c r="EP237" s="18"/>
      <c r="EQ237" s="18"/>
      <c r="ER237" s="18"/>
      <c r="ES237" s="18"/>
      <c r="ET237" s="18"/>
      <c r="EU237" s="18"/>
      <c r="EV237" s="18"/>
      <c r="EW237" s="18"/>
      <c r="EX237" s="18"/>
      <c r="EY237" s="18"/>
      <c r="EZ237" s="18"/>
      <c r="FA237" s="18"/>
      <c r="FB237" s="18"/>
      <c r="FC237" s="18"/>
      <c r="FD237" s="18"/>
      <c r="FE237" s="18"/>
      <c r="FF237" s="18"/>
      <c r="FG237" s="18"/>
      <c r="FH237" s="18"/>
      <c r="FI237" s="18"/>
      <c r="FJ237" s="18"/>
      <c r="FK237" s="18"/>
      <c r="FL237" s="18"/>
      <c r="FM237" s="18"/>
      <c r="FN237" s="18"/>
      <c r="FO237" s="18"/>
      <c r="FP237" s="18"/>
      <c r="FQ237" s="18"/>
      <c r="FR237" s="18"/>
    </row>
    <row r="238" spans="1:174" s="90" customFormat="1">
      <c r="A238" s="313"/>
      <c r="B238" s="313"/>
      <c r="C238" s="313"/>
      <c r="D238" s="454"/>
      <c r="E238" s="457" t="str">
        <f>"New: Beginning "&amp;$F$11</f>
        <v xml:space="preserve">New: Beginning </v>
      </c>
      <c r="F238" s="456"/>
      <c r="G238" s="456"/>
      <c r="H238" s="456"/>
      <c r="I238" s="99"/>
      <c r="J238" s="99"/>
      <c r="K238" s="18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c r="CA238" s="18"/>
      <c r="CB238" s="18"/>
      <c r="CC238" s="18"/>
      <c r="CD238" s="18"/>
      <c r="CE238" s="18"/>
      <c r="CF238" s="18"/>
      <c r="CG238" s="18"/>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c r="DJ238" s="18"/>
      <c r="DK238" s="18"/>
      <c r="DL238" s="18"/>
      <c r="DM238" s="18"/>
      <c r="DN238" s="18"/>
      <c r="DO238" s="18"/>
      <c r="DP238" s="18"/>
      <c r="DQ238" s="18"/>
      <c r="DR238" s="18"/>
      <c r="DS238" s="18"/>
      <c r="DT238" s="18"/>
      <c r="DU238" s="18"/>
      <c r="DV238" s="18"/>
      <c r="DW238" s="18"/>
      <c r="DX238" s="18"/>
      <c r="DY238" s="18"/>
      <c r="DZ238" s="18"/>
      <c r="EA238" s="18"/>
      <c r="EB238" s="18"/>
      <c r="EC238" s="18"/>
      <c r="ED238" s="18"/>
      <c r="EE238" s="18"/>
      <c r="EF238" s="18"/>
      <c r="EG238" s="18"/>
      <c r="EH238" s="18"/>
      <c r="EI238" s="18"/>
      <c r="EJ238" s="18"/>
      <c r="EK238" s="18"/>
      <c r="EL238" s="18"/>
      <c r="EM238" s="18"/>
      <c r="EN238" s="18"/>
      <c r="EO238" s="18"/>
      <c r="EP238" s="18"/>
      <c r="EQ238" s="18"/>
      <c r="ER238" s="18"/>
      <c r="ES238" s="18"/>
      <c r="ET238" s="18"/>
      <c r="EU238" s="18"/>
      <c r="EV238" s="18"/>
      <c r="EW238" s="18"/>
      <c r="EX238" s="18"/>
      <c r="EY238" s="18"/>
      <c r="EZ238" s="18"/>
      <c r="FA238" s="18"/>
      <c r="FB238" s="18"/>
      <c r="FC238" s="18"/>
      <c r="FD238" s="18"/>
      <c r="FE238" s="18"/>
      <c r="FF238" s="18"/>
      <c r="FG238" s="18"/>
      <c r="FH238" s="18"/>
      <c r="FI238" s="18"/>
      <c r="FJ238" s="18"/>
      <c r="FK238" s="18"/>
      <c r="FL238" s="18"/>
      <c r="FM238" s="18"/>
      <c r="FN238" s="18"/>
      <c r="FO238" s="18"/>
      <c r="FP238" s="18"/>
      <c r="FQ238" s="18"/>
      <c r="FR238" s="18"/>
    </row>
    <row r="239" spans="1:174" s="90" customFormat="1">
      <c r="A239" s="313"/>
      <c r="B239" s="313"/>
      <c r="C239" s="313"/>
      <c r="D239" s="454"/>
      <c r="E239" s="457" t="str">
        <f>"Year 2: Began in "&amp;($F$11-1)</f>
        <v>Year 2: Began in -1</v>
      </c>
      <c r="F239" s="456"/>
      <c r="G239" s="456"/>
      <c r="H239" s="456"/>
      <c r="I239" s="99"/>
      <c r="J239" s="99"/>
      <c r="K239" s="18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c r="CA239" s="18"/>
      <c r="CB239" s="18"/>
      <c r="CC239" s="18"/>
      <c r="CD239" s="18"/>
      <c r="CE239" s="18"/>
      <c r="CF239" s="18"/>
      <c r="CG239" s="18"/>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18"/>
      <c r="DG239" s="18"/>
      <c r="DH239" s="18"/>
      <c r="DI239" s="18"/>
      <c r="DJ239" s="18"/>
      <c r="DK239" s="18"/>
      <c r="DL239" s="18"/>
      <c r="DM239" s="18"/>
      <c r="DN239" s="18"/>
      <c r="DO239" s="18"/>
      <c r="DP239" s="18"/>
      <c r="DQ239" s="18"/>
      <c r="DR239" s="18"/>
      <c r="DS239" s="18"/>
      <c r="DT239" s="18"/>
      <c r="DU239" s="18"/>
      <c r="DV239" s="18"/>
      <c r="DW239" s="18"/>
      <c r="DX239" s="18"/>
      <c r="DY239" s="18"/>
      <c r="DZ239" s="18"/>
      <c r="EA239" s="18"/>
      <c r="EB239" s="18"/>
      <c r="EC239" s="18"/>
      <c r="ED239" s="18"/>
      <c r="EE239" s="18"/>
      <c r="EF239" s="18"/>
      <c r="EG239" s="18"/>
      <c r="EH239" s="18"/>
      <c r="EI239" s="18"/>
      <c r="EJ239" s="18"/>
      <c r="EK239" s="18"/>
      <c r="EL239" s="18"/>
      <c r="EM239" s="18"/>
      <c r="EN239" s="18"/>
      <c r="EO239" s="18"/>
      <c r="EP239" s="18"/>
      <c r="EQ239" s="18"/>
      <c r="ER239" s="18"/>
      <c r="ES239" s="18"/>
      <c r="ET239" s="18"/>
      <c r="EU239" s="18"/>
      <c r="EV239" s="18"/>
      <c r="EW239" s="18"/>
      <c r="EX239" s="18"/>
      <c r="EY239" s="18"/>
      <c r="EZ239" s="18"/>
      <c r="FA239" s="18"/>
      <c r="FB239" s="18"/>
      <c r="FC239" s="18"/>
      <c r="FD239" s="18"/>
      <c r="FE239" s="18"/>
      <c r="FF239" s="18"/>
      <c r="FG239" s="18"/>
      <c r="FH239" s="18"/>
      <c r="FI239" s="18"/>
      <c r="FJ239" s="18"/>
      <c r="FK239" s="18"/>
      <c r="FL239" s="18"/>
      <c r="FM239" s="18"/>
      <c r="FN239" s="18"/>
      <c r="FO239" s="18"/>
      <c r="FP239" s="18"/>
      <c r="FQ239" s="18"/>
      <c r="FR239" s="18"/>
    </row>
    <row r="240" spans="1:174" s="90" customFormat="1">
      <c r="A240" s="313"/>
      <c r="B240" s="313"/>
      <c r="C240" s="313"/>
      <c r="D240" s="454"/>
      <c r="E240" s="457" t="str">
        <f>"Year 3: Began in "&amp;($F$11-2)</f>
        <v>Year 3: Began in -2</v>
      </c>
      <c r="F240" s="456"/>
      <c r="G240" s="456"/>
      <c r="H240" s="456"/>
      <c r="I240" s="99"/>
      <c r="J240" s="99"/>
      <c r="K240" s="18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c r="CA240" s="18"/>
      <c r="CB240" s="18"/>
      <c r="CC240" s="18"/>
      <c r="CD240" s="18"/>
      <c r="CE240" s="18"/>
      <c r="CF240" s="18"/>
      <c r="CG240" s="18"/>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c r="DL240" s="18"/>
      <c r="DM240" s="18"/>
      <c r="DN240" s="18"/>
      <c r="DO240" s="18"/>
      <c r="DP240" s="18"/>
      <c r="DQ240" s="18"/>
      <c r="DR240" s="18"/>
      <c r="DS240" s="18"/>
      <c r="DT240" s="18"/>
      <c r="DU240" s="18"/>
      <c r="DV240" s="18"/>
      <c r="DW240" s="18"/>
      <c r="DX240" s="18"/>
      <c r="DY240" s="18"/>
      <c r="DZ240" s="18"/>
      <c r="EA240" s="18"/>
      <c r="EB240" s="18"/>
      <c r="EC240" s="18"/>
      <c r="ED240" s="18"/>
      <c r="EE240" s="18"/>
      <c r="EF240" s="18"/>
      <c r="EG240" s="18"/>
      <c r="EH240" s="18"/>
      <c r="EI240" s="18"/>
      <c r="EJ240" s="18"/>
      <c r="EK240" s="18"/>
      <c r="EL240" s="18"/>
      <c r="EM240" s="18"/>
      <c r="EN240" s="18"/>
      <c r="EO240" s="18"/>
      <c r="EP240" s="18"/>
      <c r="EQ240" s="18"/>
      <c r="ER240" s="18"/>
      <c r="ES240" s="18"/>
      <c r="ET240" s="18"/>
      <c r="EU240" s="18"/>
      <c r="EV240" s="18"/>
      <c r="EW240" s="18"/>
      <c r="EX240" s="18"/>
      <c r="EY240" s="18"/>
      <c r="EZ240" s="18"/>
      <c r="FA240" s="18"/>
      <c r="FB240" s="18"/>
      <c r="FC240" s="18"/>
      <c r="FD240" s="18"/>
      <c r="FE240" s="18"/>
      <c r="FF240" s="18"/>
      <c r="FG240" s="18"/>
      <c r="FH240" s="18"/>
      <c r="FI240" s="18"/>
      <c r="FJ240" s="18"/>
      <c r="FK240" s="18"/>
      <c r="FL240" s="18"/>
      <c r="FM240" s="18"/>
      <c r="FN240" s="18"/>
      <c r="FO240" s="18"/>
      <c r="FP240" s="18"/>
      <c r="FQ240" s="18"/>
      <c r="FR240" s="18"/>
    </row>
    <row r="241" spans="1:174" s="90" customFormat="1">
      <c r="A241" s="313"/>
      <c r="B241" s="313"/>
      <c r="C241" s="313"/>
      <c r="D241" s="454"/>
      <c r="E241" s="457" t="str">
        <f>"Year 4: Began in "&amp;($F$11-3)</f>
        <v>Year 4: Began in -3</v>
      </c>
      <c r="F241" s="456"/>
      <c r="G241" s="456"/>
      <c r="H241" s="456"/>
      <c r="I241" s="99"/>
      <c r="J241" s="99"/>
      <c r="K241" s="18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c r="DI241" s="18"/>
      <c r="DJ241" s="18"/>
      <c r="DK241" s="18"/>
      <c r="DL241" s="18"/>
      <c r="DM241" s="18"/>
      <c r="DN241" s="18"/>
      <c r="DO241" s="18"/>
      <c r="DP241" s="18"/>
      <c r="DQ241" s="18"/>
      <c r="DR241" s="18"/>
      <c r="DS241" s="18"/>
      <c r="DT241" s="18"/>
      <c r="DU241" s="18"/>
      <c r="DV241" s="18"/>
      <c r="DW241" s="18"/>
      <c r="DX241" s="18"/>
      <c r="DY241" s="18"/>
      <c r="DZ241" s="18"/>
      <c r="EA241" s="18"/>
      <c r="EB241" s="18"/>
      <c r="EC241" s="18"/>
      <c r="ED241" s="18"/>
      <c r="EE241" s="18"/>
      <c r="EF241" s="18"/>
      <c r="EG241" s="18"/>
      <c r="EH241" s="18"/>
      <c r="EI241" s="18"/>
      <c r="EJ241" s="18"/>
      <c r="EK241" s="18"/>
      <c r="EL241" s="18"/>
      <c r="EM241" s="18"/>
      <c r="EN241" s="18"/>
      <c r="EO241" s="18"/>
      <c r="EP241" s="18"/>
      <c r="EQ241" s="18"/>
      <c r="ER241" s="18"/>
      <c r="ES241" s="18"/>
      <c r="ET241" s="18"/>
      <c r="EU241" s="18"/>
      <c r="EV241" s="18"/>
      <c r="EW241" s="18"/>
      <c r="EX241" s="18"/>
      <c r="EY241" s="18"/>
      <c r="EZ241" s="18"/>
      <c r="FA241" s="18"/>
      <c r="FB241" s="18"/>
      <c r="FC241" s="18"/>
      <c r="FD241" s="18"/>
      <c r="FE241" s="18"/>
      <c r="FF241" s="18"/>
      <c r="FG241" s="18"/>
      <c r="FH241" s="18"/>
      <c r="FI241" s="18"/>
      <c r="FJ241" s="18"/>
      <c r="FK241" s="18"/>
      <c r="FL241" s="18"/>
      <c r="FM241" s="18"/>
      <c r="FN241" s="18"/>
      <c r="FO241" s="18"/>
      <c r="FP241" s="18"/>
      <c r="FQ241" s="18"/>
      <c r="FR241" s="18"/>
    </row>
    <row r="242" spans="1:174" s="90" customFormat="1">
      <c r="A242" s="313"/>
      <c r="B242" s="313"/>
      <c r="C242" s="313"/>
      <c r="D242" s="454"/>
      <c r="E242" s="457" t="str">
        <f>"Final Year: Began in "&amp;($F$11-4)</f>
        <v>Final Year: Began in -4</v>
      </c>
      <c r="F242" s="456"/>
      <c r="G242" s="456"/>
      <c r="H242" s="456"/>
      <c r="I242" s="99"/>
      <c r="J242" s="99"/>
      <c r="K242" s="18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c r="DJ242" s="18"/>
      <c r="DK242" s="18"/>
      <c r="DL242" s="18"/>
      <c r="DM242" s="18"/>
      <c r="DN242" s="18"/>
      <c r="DO242" s="18"/>
      <c r="DP242" s="18"/>
      <c r="DQ242" s="18"/>
      <c r="DR242" s="18"/>
      <c r="DS242" s="18"/>
      <c r="DT242" s="18"/>
      <c r="DU242" s="18"/>
      <c r="DV242" s="18"/>
      <c r="DW242" s="18"/>
      <c r="DX242" s="18"/>
      <c r="DY242" s="18"/>
      <c r="DZ242" s="18"/>
      <c r="EA242" s="18"/>
      <c r="EB242" s="18"/>
      <c r="EC242" s="18"/>
      <c r="ED242" s="18"/>
      <c r="EE242" s="18"/>
      <c r="EF242" s="18"/>
      <c r="EG242" s="18"/>
      <c r="EH242" s="18"/>
      <c r="EI242" s="18"/>
      <c r="EJ242" s="18"/>
      <c r="EK242" s="18"/>
      <c r="EL242" s="18"/>
      <c r="EM242" s="18"/>
      <c r="EN242" s="18"/>
      <c r="EO242" s="18"/>
      <c r="EP242" s="18"/>
      <c r="EQ242" s="18"/>
      <c r="ER242" s="18"/>
      <c r="ES242" s="18"/>
      <c r="ET242" s="18"/>
      <c r="EU242" s="18"/>
      <c r="EV242" s="18"/>
      <c r="EW242" s="18"/>
      <c r="EX242" s="18"/>
      <c r="EY242" s="18"/>
      <c r="EZ242" s="18"/>
      <c r="FA242" s="18"/>
      <c r="FB242" s="18"/>
      <c r="FC242" s="18"/>
      <c r="FD242" s="18"/>
      <c r="FE242" s="18"/>
      <c r="FF242" s="18"/>
      <c r="FG242" s="18"/>
      <c r="FH242" s="18"/>
      <c r="FI242" s="18"/>
      <c r="FJ242" s="18"/>
      <c r="FK242" s="18"/>
      <c r="FL242" s="18"/>
      <c r="FM242" s="18"/>
      <c r="FN242" s="18"/>
      <c r="FO242" s="18"/>
      <c r="FP242" s="18"/>
      <c r="FQ242" s="18"/>
      <c r="FR242" s="18"/>
    </row>
    <row r="243" spans="1:174" s="90" customFormat="1">
      <c r="A243" s="313"/>
      <c r="B243" s="313"/>
      <c r="C243" s="313"/>
      <c r="D243" s="454"/>
      <c r="E243" s="457"/>
      <c r="F243" s="456"/>
      <c r="G243" s="456"/>
      <c r="H243" s="456"/>
      <c r="I243" s="99"/>
      <c r="J243" s="99"/>
      <c r="K243" s="18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18"/>
      <c r="DG243" s="18"/>
      <c r="DH243" s="18"/>
      <c r="DI243" s="18"/>
      <c r="DJ243" s="18"/>
      <c r="DK243" s="18"/>
      <c r="DL243" s="18"/>
      <c r="DM243" s="18"/>
      <c r="DN243" s="18"/>
      <c r="DO243" s="18"/>
      <c r="DP243" s="18"/>
      <c r="DQ243" s="18"/>
      <c r="DR243" s="18"/>
      <c r="DS243" s="18"/>
      <c r="DT243" s="18"/>
      <c r="DU243" s="18"/>
      <c r="DV243" s="18"/>
      <c r="DW243" s="18"/>
      <c r="DX243" s="18"/>
      <c r="DY243" s="18"/>
      <c r="DZ243" s="18"/>
      <c r="EA243" s="18"/>
      <c r="EB243" s="18"/>
      <c r="EC243" s="18"/>
      <c r="ED243" s="18"/>
      <c r="EE243" s="18"/>
      <c r="EF243" s="18"/>
      <c r="EG243" s="18"/>
      <c r="EH243" s="18"/>
      <c r="EI243" s="18"/>
      <c r="EJ243" s="18"/>
      <c r="EK243" s="18"/>
      <c r="EL243" s="18"/>
      <c r="EM243" s="18"/>
      <c r="EN243" s="18"/>
      <c r="EO243" s="18"/>
      <c r="EP243" s="18"/>
      <c r="EQ243" s="18"/>
      <c r="ER243" s="18"/>
      <c r="ES243" s="18"/>
      <c r="ET243" s="18"/>
      <c r="EU243" s="18"/>
      <c r="EV243" s="18"/>
      <c r="EW243" s="18"/>
      <c r="EX243" s="18"/>
      <c r="EY243" s="18"/>
      <c r="EZ243" s="18"/>
      <c r="FA243" s="18"/>
      <c r="FB243" s="18"/>
      <c r="FC243" s="18"/>
      <c r="FD243" s="18"/>
      <c r="FE243" s="18"/>
      <c r="FF243" s="18"/>
      <c r="FG243" s="18"/>
      <c r="FH243" s="18"/>
      <c r="FI243" s="18"/>
      <c r="FJ243" s="18"/>
      <c r="FK243" s="18"/>
      <c r="FL243" s="18"/>
      <c r="FM243" s="18"/>
      <c r="FN243" s="18"/>
      <c r="FO243" s="18"/>
      <c r="FP243" s="18"/>
      <c r="FQ243" s="18"/>
      <c r="FR243" s="18"/>
    </row>
    <row r="244" spans="1:174" s="90" customFormat="1">
      <c r="A244" s="313"/>
      <c r="B244" s="313"/>
      <c r="C244" s="313"/>
      <c r="D244" s="454"/>
      <c r="E244" s="455" t="s">
        <v>75</v>
      </c>
      <c r="F244" s="458">
        <f>IF($F$147=$E$335,IF(0.45+($F$149*0.035)&gt;=0.65,0.65,0.45+($F$149*0.035)),IF(0.65+($F$149*0.03)&gt;=1,1,0.65+($F$149*0.03)))</f>
        <v>0.65</v>
      </c>
      <c r="G244" s="456"/>
      <c r="H244" s="456"/>
      <c r="I244" s="99"/>
      <c r="J244" s="99"/>
      <c r="K244" s="18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c r="FF244" s="18"/>
      <c r="FG244" s="18"/>
      <c r="FH244" s="18"/>
      <c r="FI244" s="18"/>
      <c r="FJ244" s="18"/>
      <c r="FK244" s="18"/>
      <c r="FL244" s="18"/>
      <c r="FM244" s="18"/>
      <c r="FN244" s="18"/>
      <c r="FO244" s="18"/>
      <c r="FP244" s="18"/>
      <c r="FQ244" s="18"/>
      <c r="FR244" s="18"/>
    </row>
    <row r="245" spans="1:174" s="90" customFormat="1">
      <c r="A245" s="313"/>
      <c r="B245" s="313"/>
      <c r="C245" s="313"/>
      <c r="D245" s="454"/>
      <c r="E245" s="457" t="s">
        <v>70</v>
      </c>
      <c r="F245" s="458" t="e">
        <f>IF($F$147=$E$335,$E$165*IF(0.45+($F$149*0.035)&gt;=0.65,0.65,0.45+($F$149*0.035))*(12+$F$169),$E$165*IF(0.65+($F$149*0.03)&gt;=1,1,0.65+($F$149*0.03))*(12+$F$169))</f>
        <v>#N/A</v>
      </c>
      <c r="G245" s="456"/>
      <c r="H245" s="456"/>
      <c r="I245" s="99"/>
      <c r="J245" s="99"/>
      <c r="K245" s="18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c r="CA245" s="18"/>
      <c r="CB245" s="18"/>
      <c r="CC245" s="18"/>
      <c r="CD245" s="18"/>
      <c r="CE245" s="18"/>
      <c r="CF245" s="18"/>
      <c r="CG245" s="18"/>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18"/>
      <c r="DG245" s="18"/>
      <c r="DH245" s="18"/>
      <c r="DI245" s="18"/>
      <c r="DJ245" s="18"/>
      <c r="DK245" s="18"/>
      <c r="DL245" s="18"/>
      <c r="DM245" s="18"/>
      <c r="DN245" s="18"/>
      <c r="DO245" s="18"/>
      <c r="DP245" s="18"/>
      <c r="DQ245" s="18"/>
      <c r="DR245" s="18"/>
      <c r="DS245" s="18"/>
      <c r="DT245" s="18"/>
      <c r="DU245" s="18"/>
      <c r="DV245" s="18"/>
      <c r="DW245" s="18"/>
      <c r="DX245" s="18"/>
      <c r="DY245" s="18"/>
      <c r="DZ245" s="18"/>
      <c r="EA245" s="18"/>
      <c r="EB245" s="18"/>
      <c r="EC245" s="18"/>
      <c r="ED245" s="18"/>
      <c r="EE245" s="18"/>
      <c r="EF245" s="18"/>
      <c r="EG245" s="18"/>
      <c r="EH245" s="18"/>
      <c r="EI245" s="18"/>
      <c r="EJ245" s="18"/>
      <c r="EK245" s="18"/>
      <c r="EL245" s="18"/>
      <c r="EM245" s="18"/>
      <c r="EN245" s="18"/>
      <c r="EO245" s="18"/>
      <c r="EP245" s="18"/>
      <c r="EQ245" s="18"/>
      <c r="ER245" s="18"/>
      <c r="ES245" s="18"/>
      <c r="ET245" s="18"/>
      <c r="EU245" s="18"/>
      <c r="EV245" s="18"/>
      <c r="EW245" s="18"/>
      <c r="EX245" s="18"/>
      <c r="EY245" s="18"/>
      <c r="EZ245" s="18"/>
      <c r="FA245" s="18"/>
      <c r="FB245" s="18"/>
      <c r="FC245" s="18"/>
      <c r="FD245" s="18"/>
      <c r="FE245" s="18"/>
      <c r="FF245" s="18"/>
      <c r="FG245" s="18"/>
      <c r="FH245" s="18"/>
      <c r="FI245" s="18"/>
      <c r="FJ245" s="18"/>
      <c r="FK245" s="18"/>
      <c r="FL245" s="18"/>
      <c r="FM245" s="18"/>
      <c r="FN245" s="18"/>
      <c r="FO245" s="18"/>
      <c r="FP245" s="18"/>
      <c r="FQ245" s="18"/>
      <c r="FR245" s="18"/>
    </row>
    <row r="246" spans="1:174" s="90" customFormat="1">
      <c r="A246" s="313"/>
      <c r="B246" s="313"/>
      <c r="C246" s="313"/>
      <c r="D246" s="454"/>
      <c r="E246" s="457" t="s">
        <v>77</v>
      </c>
      <c r="F246" s="458" t="e">
        <f>IF($F$129=$E$335,$E$165*IF(0.45+($F$131*0.035)&gt;=0.65,0.65,0.45+($F$131*0.035))*(12+$F$169),$E$165*IF(0.65+($F$131*0.03)&gt;=1,1,0.65+($F$131*0.03))*(12+$F$169))</f>
        <v>#N/A</v>
      </c>
      <c r="G246" s="456"/>
      <c r="H246" s="456"/>
      <c r="I246" s="99"/>
      <c r="J246" s="99"/>
      <c r="K246" s="18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c r="DN246" s="18"/>
      <c r="DO246" s="18"/>
      <c r="DP246" s="18"/>
      <c r="DQ246" s="18"/>
      <c r="DR246" s="18"/>
      <c r="DS246" s="18"/>
      <c r="DT246" s="18"/>
      <c r="DU246" s="18"/>
      <c r="DV246" s="18"/>
      <c r="DW246" s="18"/>
      <c r="DX246" s="18"/>
      <c r="DY246" s="18"/>
      <c r="DZ246" s="18"/>
      <c r="EA246" s="18"/>
      <c r="EB246" s="18"/>
      <c r="EC246" s="18"/>
      <c r="ED246" s="18"/>
      <c r="EE246" s="18"/>
      <c r="EF246" s="18"/>
      <c r="EG246" s="18"/>
      <c r="EH246" s="18"/>
      <c r="EI246" s="18"/>
      <c r="EJ246" s="18"/>
      <c r="EK246" s="18"/>
      <c r="EL246" s="18"/>
      <c r="EM246" s="18"/>
      <c r="EN246" s="18"/>
      <c r="EO246" s="18"/>
      <c r="EP246" s="18"/>
      <c r="EQ246" s="18"/>
      <c r="ER246" s="18"/>
      <c r="ES246" s="18"/>
      <c r="ET246" s="18"/>
      <c r="EU246" s="18"/>
      <c r="EV246" s="18"/>
      <c r="EW246" s="18"/>
      <c r="EX246" s="18"/>
      <c r="EY246" s="18"/>
      <c r="EZ246" s="18"/>
      <c r="FA246" s="18"/>
      <c r="FB246" s="18"/>
      <c r="FC246" s="18"/>
      <c r="FD246" s="18"/>
      <c r="FE246" s="18"/>
      <c r="FF246" s="18"/>
      <c r="FG246" s="18"/>
      <c r="FH246" s="18"/>
      <c r="FI246" s="18"/>
      <c r="FJ246" s="18"/>
      <c r="FK246" s="18"/>
      <c r="FL246" s="18"/>
      <c r="FM246" s="18"/>
      <c r="FN246" s="18"/>
      <c r="FO246" s="18"/>
      <c r="FP246" s="18"/>
      <c r="FQ246" s="18"/>
      <c r="FR246" s="18"/>
    </row>
    <row r="247" spans="1:174" s="90" customFormat="1">
      <c r="A247" s="313"/>
      <c r="B247" s="313"/>
      <c r="C247" s="313"/>
      <c r="D247" s="454"/>
      <c r="E247" s="457" t="s">
        <v>76</v>
      </c>
      <c r="F247" s="458">
        <f>IF($F$129=$E$335,IF(0.45+($F$131*0.035)&gt;=0.65,0.65,0.45+($F$131*0.035)),IF(0.65+($F$131*0.03)&gt;=1,1,0.65+($F$131*0.03)))</f>
        <v>0.65</v>
      </c>
      <c r="G247" s="456"/>
      <c r="H247" s="456"/>
      <c r="I247" s="99"/>
      <c r="J247" s="99"/>
      <c r="K247" s="18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c r="CA247" s="18"/>
      <c r="CB247" s="18"/>
      <c r="CC247" s="18"/>
      <c r="CD247" s="18"/>
      <c r="CE247" s="18"/>
      <c r="CF247" s="18"/>
      <c r="CG247" s="18"/>
      <c r="CH247" s="18"/>
      <c r="CI247" s="18"/>
      <c r="CJ247" s="18"/>
      <c r="CK247" s="18"/>
      <c r="CL247" s="18"/>
      <c r="CM247" s="18"/>
      <c r="CN247" s="18"/>
      <c r="CO247" s="18"/>
      <c r="CP247" s="18"/>
      <c r="CQ247" s="18"/>
      <c r="CR247" s="18"/>
      <c r="CS247" s="18"/>
      <c r="CT247" s="18"/>
      <c r="CU247" s="18"/>
      <c r="CV247" s="18"/>
      <c r="CW247" s="18"/>
      <c r="CX247" s="18"/>
      <c r="CY247" s="18"/>
      <c r="CZ247" s="18"/>
      <c r="DA247" s="18"/>
      <c r="DB247" s="18"/>
      <c r="DC247" s="18"/>
      <c r="DD247" s="18"/>
      <c r="DE247" s="18"/>
      <c r="DF247" s="18"/>
      <c r="DG247" s="18"/>
      <c r="DH247" s="18"/>
      <c r="DI247" s="18"/>
      <c r="DJ247" s="18"/>
      <c r="DK247" s="18"/>
      <c r="DL247" s="18"/>
      <c r="DM247" s="18"/>
      <c r="DN247" s="18"/>
      <c r="DO247" s="18"/>
      <c r="DP247" s="18"/>
      <c r="DQ247" s="18"/>
      <c r="DR247" s="18"/>
      <c r="DS247" s="18"/>
      <c r="DT247" s="18"/>
      <c r="DU247" s="18"/>
      <c r="DV247" s="18"/>
      <c r="DW247" s="18"/>
      <c r="DX247" s="18"/>
      <c r="DY247" s="18"/>
      <c r="DZ247" s="18"/>
      <c r="EA247" s="18"/>
      <c r="EB247" s="18"/>
      <c r="EC247" s="18"/>
      <c r="ED247" s="18"/>
      <c r="EE247" s="18"/>
      <c r="EF247" s="18"/>
      <c r="EG247" s="18"/>
      <c r="EH247" s="18"/>
      <c r="EI247" s="18"/>
      <c r="EJ247" s="18"/>
      <c r="EK247" s="18"/>
      <c r="EL247" s="18"/>
      <c r="EM247" s="18"/>
      <c r="EN247" s="18"/>
      <c r="EO247" s="18"/>
      <c r="EP247" s="18"/>
      <c r="EQ247" s="18"/>
      <c r="ER247" s="18"/>
      <c r="ES247" s="18"/>
      <c r="ET247" s="18"/>
      <c r="EU247" s="18"/>
      <c r="EV247" s="18"/>
      <c r="EW247" s="18"/>
      <c r="EX247" s="18"/>
      <c r="EY247" s="18"/>
      <c r="EZ247" s="18"/>
      <c r="FA247" s="18"/>
      <c r="FB247" s="18"/>
      <c r="FC247" s="18"/>
      <c r="FD247" s="18"/>
      <c r="FE247" s="18"/>
      <c r="FF247" s="18"/>
      <c r="FG247" s="18"/>
      <c r="FH247" s="18"/>
      <c r="FI247" s="18"/>
      <c r="FJ247" s="18"/>
      <c r="FK247" s="18"/>
      <c r="FL247" s="18"/>
      <c r="FM247" s="18"/>
      <c r="FN247" s="18"/>
      <c r="FO247" s="18"/>
      <c r="FP247" s="18"/>
      <c r="FQ247" s="18"/>
      <c r="FR247" s="18"/>
    </row>
    <row r="248" spans="1:174" s="90" customFormat="1">
      <c r="A248" s="313"/>
      <c r="B248" s="313"/>
      <c r="C248" s="313"/>
      <c r="D248" s="454"/>
      <c r="E248" s="457" t="s">
        <v>78</v>
      </c>
      <c r="F248" s="459" t="e">
        <f>IF($F$117=2,IF($F$129=$E$335,$E$165*IF(0.45+($F$131*0.035)&gt;=0.65,0.65,0.45+($F$131*0.035))*(12+$F$169),$E$165*IF(0.65+($F$131*0.03)&gt;=1,1,0.65+($F$131*0.03))*(12+$F$169))+IF($F$147=$E$335,$E$165*IF(0.45+($F$149*0.035)&gt;=0.65,0.65,0.45+($F$149*0.035))*(12+$F$169),$E$165*IF(0.65+($F$149*0.03)&gt;=1,1,0.65+($F$149*0.03))*(12+$F$169)),IF($F$129=$E$335,$E$165*IF(0.45+($F$131*0.035)&gt;=0.65,0.65,0.45+($F$131*0.035))*(12+$F$169),$E$165*IF(0.65+($F$131*0.03)&gt;=1,1,0.65+($F$131*0.03))*(12+$F$169)))</f>
        <v>#N/A</v>
      </c>
      <c r="G248" s="456"/>
      <c r="H248" s="456"/>
      <c r="I248" s="99"/>
      <c r="J248" s="99"/>
      <c r="K248" s="18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c r="DJ248" s="18"/>
      <c r="DK248" s="18"/>
      <c r="DL248" s="18"/>
      <c r="DM248" s="18"/>
      <c r="DN248" s="18"/>
      <c r="DO248" s="18"/>
      <c r="DP248" s="18"/>
      <c r="DQ248" s="18"/>
      <c r="DR248" s="18"/>
      <c r="DS248" s="18"/>
      <c r="DT248" s="18"/>
      <c r="DU248" s="18"/>
      <c r="DV248" s="18"/>
      <c r="DW248" s="18"/>
      <c r="DX248" s="18"/>
      <c r="DY248" s="18"/>
      <c r="DZ248" s="18"/>
      <c r="EA248" s="18"/>
      <c r="EB248" s="18"/>
      <c r="EC248" s="18"/>
      <c r="ED248" s="18"/>
      <c r="EE248" s="18"/>
      <c r="EF248" s="18"/>
      <c r="EG248" s="18"/>
      <c r="EH248" s="18"/>
      <c r="EI248" s="18"/>
      <c r="EJ248" s="18"/>
      <c r="EK248" s="18"/>
      <c r="EL248" s="18"/>
      <c r="EM248" s="18"/>
      <c r="EN248" s="18"/>
      <c r="EO248" s="18"/>
      <c r="EP248" s="18"/>
      <c r="EQ248" s="18"/>
      <c r="ER248" s="18"/>
      <c r="ES248" s="18"/>
      <c r="ET248" s="18"/>
      <c r="EU248" s="18"/>
      <c r="EV248" s="18"/>
      <c r="EW248" s="18"/>
      <c r="EX248" s="18"/>
      <c r="EY248" s="18"/>
      <c r="EZ248" s="18"/>
      <c r="FA248" s="18"/>
      <c r="FB248" s="18"/>
      <c r="FC248" s="18"/>
      <c r="FD248" s="18"/>
      <c r="FE248" s="18"/>
      <c r="FF248" s="18"/>
      <c r="FG248" s="18"/>
      <c r="FH248" s="18"/>
      <c r="FI248" s="18"/>
      <c r="FJ248" s="18"/>
      <c r="FK248" s="18"/>
      <c r="FL248" s="18"/>
      <c r="FM248" s="18"/>
      <c r="FN248" s="18"/>
      <c r="FO248" s="18"/>
      <c r="FP248" s="18"/>
      <c r="FQ248" s="18"/>
      <c r="FR248" s="18"/>
    </row>
    <row r="249" spans="1:174" s="90" customFormat="1">
      <c r="A249" s="313"/>
      <c r="B249" s="313"/>
      <c r="C249" s="313"/>
      <c r="D249" s="454"/>
      <c r="E249" s="457" t="s">
        <v>82</v>
      </c>
      <c r="F249" s="456"/>
      <c r="G249" s="456"/>
      <c r="H249" s="456"/>
      <c r="I249" s="99"/>
      <c r="J249" s="99"/>
      <c r="K249" s="18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c r="CA249" s="18"/>
      <c r="CB249" s="18"/>
      <c r="CC249" s="18"/>
      <c r="CD249" s="18"/>
      <c r="CE249" s="18"/>
      <c r="CF249" s="18"/>
      <c r="CG249" s="18"/>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18"/>
      <c r="DG249" s="18"/>
      <c r="DH249" s="18"/>
      <c r="DI249" s="18"/>
      <c r="DJ249" s="18"/>
      <c r="DK249" s="18"/>
      <c r="DL249" s="18"/>
      <c r="DM249" s="18"/>
      <c r="DN249" s="18"/>
      <c r="DO249" s="18"/>
      <c r="DP249" s="18"/>
      <c r="DQ249" s="18"/>
      <c r="DR249" s="18"/>
      <c r="DS249" s="18"/>
      <c r="DT249" s="18"/>
      <c r="DU249" s="18"/>
      <c r="DV249" s="18"/>
      <c r="DW249" s="18"/>
      <c r="DX249" s="18"/>
      <c r="DY249" s="18"/>
      <c r="DZ249" s="18"/>
      <c r="EA249" s="18"/>
      <c r="EB249" s="18"/>
      <c r="EC249" s="18"/>
      <c r="ED249" s="18"/>
      <c r="EE249" s="18"/>
      <c r="EF249" s="18"/>
      <c r="EG249" s="18"/>
      <c r="EH249" s="18"/>
      <c r="EI249" s="18"/>
      <c r="EJ249" s="18"/>
      <c r="EK249" s="18"/>
      <c r="EL249" s="18"/>
      <c r="EM249" s="18"/>
      <c r="EN249" s="18"/>
      <c r="EO249" s="18"/>
      <c r="EP249" s="18"/>
      <c r="EQ249" s="18"/>
      <c r="ER249" s="18"/>
      <c r="ES249" s="18"/>
      <c r="ET249" s="18"/>
      <c r="EU249" s="18"/>
      <c r="EV249" s="18"/>
      <c r="EW249" s="18"/>
      <c r="EX249" s="18"/>
      <c r="EY249" s="18"/>
      <c r="EZ249" s="18"/>
      <c r="FA249" s="18"/>
      <c r="FB249" s="18"/>
      <c r="FC249" s="18"/>
      <c r="FD249" s="18"/>
      <c r="FE249" s="18"/>
      <c r="FF249" s="18"/>
      <c r="FG249" s="18"/>
      <c r="FH249" s="18"/>
      <c r="FI249" s="18"/>
      <c r="FJ249" s="18"/>
      <c r="FK249" s="18"/>
      <c r="FL249" s="18"/>
      <c r="FM249" s="18"/>
      <c r="FN249" s="18"/>
      <c r="FO249" s="18"/>
      <c r="FP249" s="18"/>
      <c r="FQ249" s="18"/>
      <c r="FR249" s="18"/>
    </row>
    <row r="250" spans="1:174" s="90" customFormat="1">
      <c r="A250" s="313"/>
      <c r="B250" s="313"/>
      <c r="C250" s="313"/>
      <c r="D250" s="454"/>
      <c r="E250" s="457" t="s">
        <v>83</v>
      </c>
      <c r="F250" s="456"/>
      <c r="G250" s="456"/>
      <c r="H250" s="456"/>
      <c r="I250" s="99"/>
      <c r="J250" s="99"/>
      <c r="K250" s="18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18"/>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c r="DJ250" s="18"/>
      <c r="DK250" s="18"/>
      <c r="DL250" s="18"/>
      <c r="DM250" s="18"/>
      <c r="DN250" s="18"/>
      <c r="DO250" s="18"/>
      <c r="DP250" s="18"/>
      <c r="DQ250" s="18"/>
      <c r="DR250" s="18"/>
      <c r="DS250" s="18"/>
      <c r="DT250" s="18"/>
      <c r="DU250" s="18"/>
      <c r="DV250" s="18"/>
      <c r="DW250" s="18"/>
      <c r="DX250" s="18"/>
      <c r="DY250" s="18"/>
      <c r="DZ250" s="18"/>
      <c r="EA250" s="18"/>
      <c r="EB250" s="18"/>
      <c r="EC250" s="18"/>
      <c r="ED250" s="18"/>
      <c r="EE250" s="18"/>
      <c r="EF250" s="18"/>
      <c r="EG250" s="18"/>
      <c r="EH250" s="18"/>
      <c r="EI250" s="18"/>
      <c r="EJ250" s="18"/>
      <c r="EK250" s="18"/>
      <c r="EL250" s="18"/>
      <c r="EM250" s="18"/>
      <c r="EN250" s="18"/>
      <c r="EO250" s="18"/>
      <c r="EP250" s="18"/>
      <c r="EQ250" s="18"/>
      <c r="ER250" s="18"/>
      <c r="ES250" s="18"/>
      <c r="ET250" s="18"/>
      <c r="EU250" s="18"/>
      <c r="EV250" s="18"/>
      <c r="EW250" s="18"/>
      <c r="EX250" s="18"/>
      <c r="EY250" s="18"/>
      <c r="EZ250" s="18"/>
      <c r="FA250" s="18"/>
      <c r="FB250" s="18"/>
      <c r="FC250" s="18"/>
      <c r="FD250" s="18"/>
      <c r="FE250" s="18"/>
      <c r="FF250" s="18"/>
      <c r="FG250" s="18"/>
      <c r="FH250" s="18"/>
      <c r="FI250" s="18"/>
      <c r="FJ250" s="18"/>
      <c r="FK250" s="18"/>
      <c r="FL250" s="18"/>
      <c r="FM250" s="18"/>
      <c r="FN250" s="18"/>
      <c r="FO250" s="18"/>
      <c r="FP250" s="18"/>
      <c r="FQ250" s="18"/>
      <c r="FR250" s="18"/>
    </row>
    <row r="251" spans="1:174" s="90" customFormat="1">
      <c r="A251" s="313"/>
      <c r="B251" s="313"/>
      <c r="C251" s="313"/>
      <c r="D251" s="454"/>
      <c r="E251" s="457" t="s">
        <v>79</v>
      </c>
      <c r="F251" s="456"/>
      <c r="G251" s="456"/>
      <c r="H251" s="456"/>
      <c r="I251" s="99"/>
      <c r="J251" s="99"/>
      <c r="K251" s="18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18"/>
      <c r="DG251" s="18"/>
      <c r="DH251" s="18"/>
      <c r="DI251" s="18"/>
      <c r="DJ251" s="18"/>
      <c r="DK251" s="18"/>
      <c r="DL251" s="18"/>
      <c r="DM251" s="18"/>
      <c r="DN251" s="18"/>
      <c r="DO251" s="18"/>
      <c r="DP251" s="18"/>
      <c r="DQ251" s="18"/>
      <c r="DR251" s="18"/>
      <c r="DS251" s="18"/>
      <c r="DT251" s="18"/>
      <c r="DU251" s="18"/>
      <c r="DV251" s="18"/>
      <c r="DW251" s="18"/>
      <c r="DX251" s="18"/>
      <c r="DY251" s="18"/>
      <c r="DZ251" s="18"/>
      <c r="EA251" s="18"/>
      <c r="EB251" s="18"/>
      <c r="EC251" s="18"/>
      <c r="ED251" s="18"/>
      <c r="EE251" s="18"/>
      <c r="EF251" s="18"/>
      <c r="EG251" s="18"/>
      <c r="EH251" s="18"/>
      <c r="EI251" s="18"/>
      <c r="EJ251" s="18"/>
      <c r="EK251" s="18"/>
      <c r="EL251" s="18"/>
      <c r="EM251" s="18"/>
      <c r="EN251" s="18"/>
      <c r="EO251" s="18"/>
      <c r="EP251" s="18"/>
      <c r="EQ251" s="18"/>
      <c r="ER251" s="18"/>
      <c r="ES251" s="18"/>
      <c r="ET251" s="18"/>
      <c r="EU251" s="18"/>
      <c r="EV251" s="18"/>
      <c r="EW251" s="18"/>
      <c r="EX251" s="18"/>
      <c r="EY251" s="18"/>
      <c r="EZ251" s="18"/>
      <c r="FA251" s="18"/>
      <c r="FB251" s="18"/>
      <c r="FC251" s="18"/>
      <c r="FD251" s="18"/>
      <c r="FE251" s="18"/>
      <c r="FF251" s="18"/>
      <c r="FG251" s="18"/>
      <c r="FH251" s="18"/>
      <c r="FI251" s="18"/>
      <c r="FJ251" s="18"/>
      <c r="FK251" s="18"/>
      <c r="FL251" s="18"/>
      <c r="FM251" s="18"/>
      <c r="FN251" s="18"/>
      <c r="FO251" s="18"/>
      <c r="FP251" s="18"/>
      <c r="FQ251" s="18"/>
      <c r="FR251" s="18"/>
    </row>
    <row r="252" spans="1:174" s="90" customFormat="1">
      <c r="A252" s="313"/>
      <c r="B252" s="313"/>
      <c r="C252" s="313"/>
      <c r="D252" s="454"/>
      <c r="E252" s="457" t="s">
        <v>80</v>
      </c>
      <c r="F252" s="456"/>
      <c r="G252" s="456"/>
      <c r="H252" s="456"/>
      <c r="I252" s="99"/>
      <c r="J252" s="99"/>
      <c r="K252" s="18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c r="DK252" s="18"/>
      <c r="DL252" s="18"/>
      <c r="DM252" s="18"/>
      <c r="DN252" s="18"/>
      <c r="DO252" s="18"/>
      <c r="DP252" s="18"/>
      <c r="DQ252" s="18"/>
      <c r="DR252" s="18"/>
      <c r="DS252" s="18"/>
      <c r="DT252" s="18"/>
      <c r="DU252" s="18"/>
      <c r="DV252" s="18"/>
      <c r="DW252" s="18"/>
      <c r="DX252" s="18"/>
      <c r="DY252" s="18"/>
      <c r="DZ252" s="18"/>
      <c r="EA252" s="18"/>
      <c r="EB252" s="18"/>
      <c r="EC252" s="18"/>
      <c r="ED252" s="18"/>
      <c r="EE252" s="18"/>
      <c r="EF252" s="18"/>
      <c r="EG252" s="18"/>
      <c r="EH252" s="18"/>
      <c r="EI252" s="18"/>
      <c r="EJ252" s="18"/>
      <c r="EK252" s="18"/>
      <c r="EL252" s="18"/>
      <c r="EM252" s="18"/>
      <c r="EN252" s="18"/>
      <c r="EO252" s="18"/>
      <c r="EP252" s="18"/>
      <c r="EQ252" s="18"/>
      <c r="ER252" s="18"/>
      <c r="ES252" s="18"/>
      <c r="ET252" s="18"/>
      <c r="EU252" s="18"/>
      <c r="EV252" s="18"/>
      <c r="EW252" s="18"/>
      <c r="EX252" s="18"/>
      <c r="EY252" s="18"/>
      <c r="EZ252" s="18"/>
      <c r="FA252" s="18"/>
      <c r="FB252" s="18"/>
      <c r="FC252" s="18"/>
      <c r="FD252" s="18"/>
      <c r="FE252" s="18"/>
      <c r="FF252" s="18"/>
      <c r="FG252" s="18"/>
      <c r="FH252" s="18"/>
      <c r="FI252" s="18"/>
      <c r="FJ252" s="18"/>
      <c r="FK252" s="18"/>
      <c r="FL252" s="18"/>
      <c r="FM252" s="18"/>
      <c r="FN252" s="18"/>
      <c r="FO252" s="18"/>
      <c r="FP252" s="18"/>
      <c r="FQ252" s="18"/>
      <c r="FR252" s="18"/>
    </row>
    <row r="253" spans="1:174" s="90" customFormat="1">
      <c r="A253" s="313"/>
      <c r="B253" s="313"/>
      <c r="C253" s="313"/>
      <c r="D253" s="454"/>
      <c r="E253" s="457" t="s">
        <v>81</v>
      </c>
      <c r="F253" s="456"/>
      <c r="G253" s="456"/>
      <c r="H253" s="456"/>
      <c r="I253" s="99"/>
      <c r="J253" s="99"/>
      <c r="K253" s="18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c r="DJ253" s="18"/>
      <c r="DK253" s="18"/>
      <c r="DL253" s="18"/>
      <c r="DM253" s="18"/>
      <c r="DN253" s="18"/>
      <c r="DO253" s="18"/>
      <c r="DP253" s="18"/>
      <c r="DQ253" s="18"/>
      <c r="DR253" s="18"/>
      <c r="DS253" s="18"/>
      <c r="DT253" s="18"/>
      <c r="DU253" s="18"/>
      <c r="DV253" s="18"/>
      <c r="DW253" s="18"/>
      <c r="DX253" s="18"/>
      <c r="DY253" s="18"/>
      <c r="DZ253" s="18"/>
      <c r="EA253" s="18"/>
      <c r="EB253" s="18"/>
      <c r="EC253" s="18"/>
      <c r="ED253" s="18"/>
      <c r="EE253" s="18"/>
      <c r="EF253" s="18"/>
      <c r="EG253" s="18"/>
      <c r="EH253" s="18"/>
      <c r="EI253" s="18"/>
      <c r="EJ253" s="18"/>
      <c r="EK253" s="18"/>
      <c r="EL253" s="18"/>
      <c r="EM253" s="18"/>
      <c r="EN253" s="18"/>
      <c r="EO253" s="18"/>
      <c r="EP253" s="18"/>
      <c r="EQ253" s="18"/>
      <c r="ER253" s="18"/>
      <c r="ES253" s="18"/>
      <c r="ET253" s="18"/>
      <c r="EU253" s="18"/>
      <c r="EV253" s="18"/>
      <c r="EW253" s="18"/>
      <c r="EX253" s="18"/>
      <c r="EY253" s="18"/>
      <c r="EZ253" s="18"/>
      <c r="FA253" s="18"/>
      <c r="FB253" s="18"/>
      <c r="FC253" s="18"/>
      <c r="FD253" s="18"/>
      <c r="FE253" s="18"/>
      <c r="FF253" s="18"/>
      <c r="FG253" s="18"/>
      <c r="FH253" s="18"/>
      <c r="FI253" s="18"/>
      <c r="FJ253" s="18"/>
      <c r="FK253" s="18"/>
      <c r="FL253" s="18"/>
      <c r="FM253" s="18"/>
      <c r="FN253" s="18"/>
      <c r="FO253" s="18"/>
      <c r="FP253" s="18"/>
      <c r="FQ253" s="18"/>
      <c r="FR253" s="18"/>
    </row>
    <row r="254" spans="1:174" s="90" customFormat="1">
      <c r="A254" s="313"/>
      <c r="B254" s="313"/>
      <c r="C254" s="313"/>
      <c r="D254" s="454"/>
      <c r="E254" s="457"/>
      <c r="F254" s="456"/>
      <c r="G254" s="456"/>
      <c r="H254" s="456"/>
      <c r="I254" s="99"/>
      <c r="J254" s="99"/>
      <c r="K254" s="18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18"/>
      <c r="DG254" s="18"/>
      <c r="DH254" s="18"/>
      <c r="DI254" s="18"/>
      <c r="DJ254" s="18"/>
      <c r="DK254" s="18"/>
      <c r="DL254" s="18"/>
      <c r="DM254" s="18"/>
      <c r="DN254" s="18"/>
      <c r="DO254" s="18"/>
      <c r="DP254" s="18"/>
      <c r="DQ254" s="18"/>
      <c r="DR254" s="18"/>
      <c r="DS254" s="18"/>
      <c r="DT254" s="18"/>
      <c r="DU254" s="18"/>
      <c r="DV254" s="18"/>
      <c r="DW254" s="18"/>
      <c r="DX254" s="18"/>
      <c r="DY254" s="18"/>
      <c r="DZ254" s="18"/>
      <c r="EA254" s="18"/>
      <c r="EB254" s="18"/>
      <c r="EC254" s="18"/>
      <c r="ED254" s="18"/>
      <c r="EE254" s="18"/>
      <c r="EF254" s="18"/>
      <c r="EG254" s="18"/>
      <c r="EH254" s="18"/>
      <c r="EI254" s="18"/>
      <c r="EJ254" s="18"/>
      <c r="EK254" s="18"/>
      <c r="EL254" s="18"/>
      <c r="EM254" s="18"/>
      <c r="EN254" s="18"/>
      <c r="EO254" s="18"/>
      <c r="EP254" s="18"/>
      <c r="EQ254" s="18"/>
      <c r="ER254" s="18"/>
      <c r="ES254" s="18"/>
      <c r="ET254" s="18"/>
      <c r="EU254" s="18"/>
      <c r="EV254" s="18"/>
      <c r="EW254" s="18"/>
      <c r="EX254" s="18"/>
      <c r="EY254" s="18"/>
      <c r="EZ254" s="18"/>
      <c r="FA254" s="18"/>
      <c r="FB254" s="18"/>
      <c r="FC254" s="18"/>
      <c r="FD254" s="18"/>
      <c r="FE254" s="18"/>
      <c r="FF254" s="18"/>
      <c r="FG254" s="18"/>
      <c r="FH254" s="18"/>
      <c r="FI254" s="18"/>
      <c r="FJ254" s="18"/>
      <c r="FK254" s="18"/>
      <c r="FL254" s="18"/>
      <c r="FM254" s="18"/>
      <c r="FN254" s="18"/>
      <c r="FO254" s="18"/>
      <c r="FP254" s="18"/>
      <c r="FQ254" s="18"/>
      <c r="FR254" s="18"/>
    </row>
    <row r="255" spans="1:174" s="90" customFormat="1">
      <c r="A255" s="313"/>
      <c r="B255" s="313"/>
      <c r="C255" s="313"/>
      <c r="D255" s="454"/>
      <c r="E255" s="455" t="s">
        <v>8</v>
      </c>
      <c r="F255" s="456"/>
      <c r="G255" s="456"/>
      <c r="H255" s="456"/>
      <c r="I255" s="99"/>
      <c r="J255" s="99"/>
      <c r="K255" s="18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c r="DJ255" s="18"/>
      <c r="DK255" s="18"/>
      <c r="DL255" s="18"/>
      <c r="DM255" s="18"/>
      <c r="DN255" s="18"/>
      <c r="DO255" s="18"/>
      <c r="DP255" s="18"/>
      <c r="DQ255" s="18"/>
      <c r="DR255" s="18"/>
      <c r="DS255" s="18"/>
      <c r="DT255" s="18"/>
      <c r="DU255" s="18"/>
      <c r="DV255" s="18"/>
      <c r="DW255" s="18"/>
      <c r="DX255" s="18"/>
      <c r="DY255" s="18"/>
      <c r="DZ255" s="18"/>
      <c r="EA255" s="18"/>
      <c r="EB255" s="18"/>
      <c r="EC255" s="18"/>
      <c r="ED255" s="18"/>
      <c r="EE255" s="18"/>
      <c r="EF255" s="18"/>
      <c r="EG255" s="18"/>
      <c r="EH255" s="18"/>
      <c r="EI255" s="18"/>
      <c r="EJ255" s="18"/>
      <c r="EK255" s="18"/>
      <c r="EL255" s="18"/>
      <c r="EM255" s="18"/>
      <c r="EN255" s="18"/>
      <c r="EO255" s="18"/>
      <c r="EP255" s="18"/>
      <c r="EQ255" s="18"/>
      <c r="ER255" s="18"/>
      <c r="ES255" s="18"/>
      <c r="ET255" s="18"/>
      <c r="EU255" s="18"/>
      <c r="EV255" s="18"/>
      <c r="EW255" s="18"/>
      <c r="EX255" s="18"/>
      <c r="EY255" s="18"/>
      <c r="EZ255" s="18"/>
      <c r="FA255" s="18"/>
      <c r="FB255" s="18"/>
      <c r="FC255" s="18"/>
      <c r="FD255" s="18"/>
      <c r="FE255" s="18"/>
      <c r="FF255" s="18"/>
      <c r="FG255" s="18"/>
      <c r="FH255" s="18"/>
      <c r="FI255" s="18"/>
      <c r="FJ255" s="18"/>
      <c r="FK255" s="18"/>
      <c r="FL255" s="18"/>
      <c r="FM255" s="18"/>
      <c r="FN255" s="18"/>
      <c r="FO255" s="18"/>
      <c r="FP255" s="18"/>
      <c r="FQ255" s="18"/>
      <c r="FR255" s="18"/>
    </row>
    <row r="256" spans="1:174" s="90" customFormat="1">
      <c r="A256" s="313"/>
      <c r="B256" s="313"/>
      <c r="C256" s="313"/>
      <c r="D256" s="454"/>
      <c r="E256" s="457" t="s">
        <v>5049</v>
      </c>
      <c r="F256" s="456"/>
      <c r="G256" s="456"/>
      <c r="H256" s="456"/>
      <c r="I256" s="99"/>
      <c r="J256" s="99"/>
      <c r="K256" s="18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c r="CA256" s="18"/>
      <c r="CB256" s="18"/>
      <c r="CC256" s="18"/>
      <c r="CD256" s="18"/>
      <c r="CE256" s="18"/>
      <c r="CF256" s="18"/>
      <c r="CG256" s="18"/>
      <c r="CH256" s="18"/>
      <c r="CI256" s="18"/>
      <c r="CJ256" s="18"/>
      <c r="CK256" s="18"/>
      <c r="CL256" s="18"/>
      <c r="CM256" s="18"/>
      <c r="CN256" s="18"/>
      <c r="CO256" s="18"/>
      <c r="CP256" s="18"/>
      <c r="CQ256" s="18"/>
      <c r="CR256" s="18"/>
      <c r="CS256" s="18"/>
      <c r="CT256" s="18"/>
      <c r="CU256" s="18"/>
      <c r="CV256" s="18"/>
      <c r="CW256" s="18"/>
      <c r="CX256" s="18"/>
      <c r="CY256" s="18"/>
      <c r="CZ256" s="18"/>
      <c r="DA256" s="18"/>
      <c r="DB256" s="18"/>
      <c r="DC256" s="18"/>
      <c r="DD256" s="18"/>
      <c r="DE256" s="18"/>
      <c r="DF256" s="18"/>
      <c r="DG256" s="18"/>
      <c r="DH256" s="18"/>
      <c r="DI256" s="18"/>
      <c r="DJ256" s="18"/>
      <c r="DK256" s="18"/>
      <c r="DL256" s="18"/>
      <c r="DM256" s="18"/>
      <c r="DN256" s="18"/>
      <c r="DO256" s="18"/>
      <c r="DP256" s="18"/>
      <c r="DQ256" s="18"/>
      <c r="DR256" s="18"/>
      <c r="DS256" s="18"/>
      <c r="DT256" s="18"/>
      <c r="DU256" s="18"/>
      <c r="DV256" s="18"/>
      <c r="DW256" s="18"/>
      <c r="DX256" s="18"/>
      <c r="DY256" s="18"/>
      <c r="DZ256" s="18"/>
      <c r="EA256" s="18"/>
      <c r="EB256" s="18"/>
      <c r="EC256" s="18"/>
      <c r="ED256" s="18"/>
      <c r="EE256" s="18"/>
      <c r="EF256" s="18"/>
      <c r="EG256" s="18"/>
      <c r="EH256" s="18"/>
      <c r="EI256" s="18"/>
      <c r="EJ256" s="18"/>
      <c r="EK256" s="18"/>
      <c r="EL256" s="18"/>
      <c r="EM256" s="18"/>
      <c r="EN256" s="18"/>
      <c r="EO256" s="18"/>
      <c r="EP256" s="18"/>
      <c r="EQ256" s="18"/>
      <c r="ER256" s="18"/>
      <c r="ES256" s="18"/>
      <c r="ET256" s="18"/>
      <c r="EU256" s="18"/>
      <c r="EV256" s="18"/>
      <c r="EW256" s="18"/>
      <c r="EX256" s="18"/>
      <c r="EY256" s="18"/>
      <c r="EZ256" s="18"/>
      <c r="FA256" s="18"/>
      <c r="FB256" s="18"/>
      <c r="FC256" s="18"/>
      <c r="FD256" s="18"/>
      <c r="FE256" s="18"/>
      <c r="FF256" s="18"/>
      <c r="FG256" s="18"/>
      <c r="FH256" s="18"/>
      <c r="FI256" s="18"/>
      <c r="FJ256" s="18"/>
      <c r="FK256" s="18"/>
      <c r="FL256" s="18"/>
      <c r="FM256" s="18"/>
      <c r="FN256" s="18"/>
      <c r="FO256" s="18"/>
      <c r="FP256" s="18"/>
      <c r="FQ256" s="18"/>
      <c r="FR256" s="18"/>
    </row>
    <row r="257" spans="1:174" s="90" customFormat="1">
      <c r="A257" s="313"/>
      <c r="B257" s="313"/>
      <c r="C257" s="313"/>
      <c r="D257" s="454"/>
      <c r="E257" s="457" t="s">
        <v>4934</v>
      </c>
      <c r="F257" s="456"/>
      <c r="G257" s="456"/>
      <c r="H257" s="456"/>
      <c r="I257" s="99"/>
      <c r="J257" s="99"/>
      <c r="K257" s="18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c r="DJ257" s="18"/>
      <c r="DK257" s="18"/>
      <c r="DL257" s="18"/>
      <c r="DM257" s="18"/>
      <c r="DN257" s="18"/>
      <c r="DO257" s="18"/>
      <c r="DP257" s="18"/>
      <c r="DQ257" s="18"/>
      <c r="DR257" s="18"/>
      <c r="DS257" s="18"/>
      <c r="DT257" s="18"/>
      <c r="DU257" s="18"/>
      <c r="DV257" s="18"/>
      <c r="DW257" s="18"/>
      <c r="DX257" s="18"/>
      <c r="DY257" s="18"/>
      <c r="DZ257" s="18"/>
      <c r="EA257" s="18"/>
      <c r="EB257" s="18"/>
      <c r="EC257" s="18"/>
      <c r="ED257" s="18"/>
      <c r="EE257" s="18"/>
      <c r="EF257" s="18"/>
      <c r="EG257" s="18"/>
      <c r="EH257" s="18"/>
      <c r="EI257" s="18"/>
      <c r="EJ257" s="18"/>
      <c r="EK257" s="18"/>
      <c r="EL257" s="18"/>
      <c r="EM257" s="18"/>
      <c r="EN257" s="18"/>
      <c r="EO257" s="18"/>
      <c r="EP257" s="18"/>
      <c r="EQ257" s="18"/>
      <c r="ER257" s="18"/>
      <c r="ES257" s="18"/>
      <c r="ET257" s="18"/>
      <c r="EU257" s="18"/>
      <c r="EV257" s="18"/>
      <c r="EW257" s="18"/>
      <c r="EX257" s="18"/>
      <c r="EY257" s="18"/>
      <c r="EZ257" s="18"/>
      <c r="FA257" s="18"/>
      <c r="FB257" s="18"/>
      <c r="FC257" s="18"/>
      <c r="FD257" s="18"/>
      <c r="FE257" s="18"/>
      <c r="FF257" s="18"/>
      <c r="FG257" s="18"/>
      <c r="FH257" s="18"/>
      <c r="FI257" s="18"/>
      <c r="FJ257" s="18"/>
      <c r="FK257" s="18"/>
      <c r="FL257" s="18"/>
      <c r="FM257" s="18"/>
      <c r="FN257" s="18"/>
      <c r="FO257" s="18"/>
      <c r="FP257" s="18"/>
      <c r="FQ257" s="18"/>
      <c r="FR257" s="18"/>
    </row>
    <row r="258" spans="1:174" s="90" customFormat="1">
      <c r="A258" s="313"/>
      <c r="B258" s="313"/>
      <c r="C258" s="313"/>
      <c r="D258" s="454"/>
      <c r="E258" s="457" t="s">
        <v>4935</v>
      </c>
      <c r="F258" s="456"/>
      <c r="G258" s="456"/>
      <c r="H258" s="456"/>
      <c r="I258" s="99"/>
      <c r="J258" s="99"/>
      <c r="K258" s="18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c r="DJ258" s="18"/>
      <c r="DK258" s="18"/>
      <c r="DL258" s="18"/>
      <c r="DM258" s="18"/>
      <c r="DN258" s="18"/>
      <c r="DO258" s="18"/>
      <c r="DP258" s="18"/>
      <c r="DQ258" s="18"/>
      <c r="DR258" s="18"/>
      <c r="DS258" s="18"/>
      <c r="DT258" s="18"/>
      <c r="DU258" s="18"/>
      <c r="DV258" s="18"/>
      <c r="DW258" s="18"/>
      <c r="DX258" s="18"/>
      <c r="DY258" s="18"/>
      <c r="DZ258" s="18"/>
      <c r="EA258" s="18"/>
      <c r="EB258" s="18"/>
      <c r="EC258" s="18"/>
      <c r="ED258" s="18"/>
      <c r="EE258" s="18"/>
      <c r="EF258" s="18"/>
      <c r="EG258" s="18"/>
      <c r="EH258" s="18"/>
      <c r="EI258" s="18"/>
      <c r="EJ258" s="18"/>
      <c r="EK258" s="18"/>
      <c r="EL258" s="18"/>
      <c r="EM258" s="18"/>
      <c r="EN258" s="18"/>
      <c r="EO258" s="18"/>
      <c r="EP258" s="18"/>
      <c r="EQ258" s="18"/>
      <c r="ER258" s="18"/>
      <c r="ES258" s="18"/>
      <c r="ET258" s="18"/>
      <c r="EU258" s="18"/>
      <c r="EV258" s="18"/>
      <c r="EW258" s="18"/>
      <c r="EX258" s="18"/>
      <c r="EY258" s="18"/>
      <c r="EZ258" s="18"/>
      <c r="FA258" s="18"/>
      <c r="FB258" s="18"/>
      <c r="FC258" s="18"/>
      <c r="FD258" s="18"/>
      <c r="FE258" s="18"/>
      <c r="FF258" s="18"/>
      <c r="FG258" s="18"/>
      <c r="FH258" s="18"/>
      <c r="FI258" s="18"/>
      <c r="FJ258" s="18"/>
      <c r="FK258" s="18"/>
      <c r="FL258" s="18"/>
      <c r="FM258" s="18"/>
      <c r="FN258" s="18"/>
      <c r="FO258" s="18"/>
      <c r="FP258" s="18"/>
      <c r="FQ258" s="18"/>
      <c r="FR258" s="18"/>
    </row>
    <row r="259" spans="1:174" s="90" customFormat="1">
      <c r="A259" s="313"/>
      <c r="B259" s="313"/>
      <c r="C259" s="313"/>
      <c r="D259" s="454"/>
      <c r="E259" s="457" t="s">
        <v>4936</v>
      </c>
      <c r="F259" s="456"/>
      <c r="G259" s="456"/>
      <c r="H259" s="456"/>
      <c r="I259" s="99"/>
      <c r="J259" s="99"/>
      <c r="K259" s="18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c r="CA259" s="18"/>
      <c r="CB259" s="18"/>
      <c r="CC259" s="18"/>
      <c r="CD259" s="18"/>
      <c r="CE259" s="18"/>
      <c r="CF259" s="18"/>
      <c r="CG259" s="18"/>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c r="DJ259" s="18"/>
      <c r="DK259" s="18"/>
      <c r="DL259" s="18"/>
      <c r="DM259" s="18"/>
      <c r="DN259" s="18"/>
      <c r="DO259" s="18"/>
      <c r="DP259" s="18"/>
      <c r="DQ259" s="18"/>
      <c r="DR259" s="18"/>
      <c r="DS259" s="18"/>
      <c r="DT259" s="18"/>
      <c r="DU259" s="18"/>
      <c r="DV259" s="18"/>
      <c r="DW259" s="18"/>
      <c r="DX259" s="18"/>
      <c r="DY259" s="18"/>
      <c r="DZ259" s="18"/>
      <c r="EA259" s="18"/>
      <c r="EB259" s="18"/>
      <c r="EC259" s="18"/>
      <c r="ED259" s="18"/>
      <c r="EE259" s="18"/>
      <c r="EF259" s="18"/>
      <c r="EG259" s="18"/>
      <c r="EH259" s="18"/>
      <c r="EI259" s="18"/>
      <c r="EJ259" s="18"/>
      <c r="EK259" s="18"/>
      <c r="EL259" s="18"/>
      <c r="EM259" s="18"/>
      <c r="EN259" s="18"/>
      <c r="EO259" s="18"/>
      <c r="EP259" s="18"/>
      <c r="EQ259" s="18"/>
      <c r="ER259" s="18"/>
      <c r="ES259" s="18"/>
      <c r="ET259" s="18"/>
      <c r="EU259" s="18"/>
      <c r="EV259" s="18"/>
      <c r="EW259" s="18"/>
      <c r="EX259" s="18"/>
      <c r="EY259" s="18"/>
      <c r="EZ259" s="18"/>
      <c r="FA259" s="18"/>
      <c r="FB259" s="18"/>
      <c r="FC259" s="18"/>
      <c r="FD259" s="18"/>
      <c r="FE259" s="18"/>
      <c r="FF259" s="18"/>
      <c r="FG259" s="18"/>
      <c r="FH259" s="18"/>
      <c r="FI259" s="18"/>
      <c r="FJ259" s="18"/>
      <c r="FK259" s="18"/>
      <c r="FL259" s="18"/>
      <c r="FM259" s="18"/>
      <c r="FN259" s="18"/>
      <c r="FO259" s="18"/>
      <c r="FP259" s="18"/>
      <c r="FQ259" s="18"/>
      <c r="FR259" s="18"/>
    </row>
    <row r="260" spans="1:174" s="90" customFormat="1">
      <c r="A260" s="313"/>
      <c r="B260" s="313"/>
      <c r="C260" s="313"/>
      <c r="D260" s="454"/>
      <c r="E260" s="457"/>
      <c r="F260" s="456"/>
      <c r="G260" s="456"/>
      <c r="H260" s="456"/>
      <c r="I260" s="99"/>
      <c r="J260" s="99"/>
      <c r="K260" s="18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c r="CA260" s="18"/>
      <c r="CB260" s="18"/>
      <c r="CC260" s="18"/>
      <c r="CD260" s="18"/>
      <c r="CE260" s="18"/>
      <c r="CF260" s="18"/>
      <c r="CG260" s="18"/>
      <c r="CH260" s="18"/>
      <c r="CI260" s="18"/>
      <c r="CJ260" s="18"/>
      <c r="CK260" s="18"/>
      <c r="CL260" s="18"/>
      <c r="CM260" s="18"/>
      <c r="CN260" s="18"/>
      <c r="CO260" s="18"/>
      <c r="CP260" s="18"/>
      <c r="CQ260" s="18"/>
      <c r="CR260" s="18"/>
      <c r="CS260" s="18"/>
      <c r="CT260" s="18"/>
      <c r="CU260" s="18"/>
      <c r="CV260" s="18"/>
      <c r="CW260" s="18"/>
      <c r="CX260" s="18"/>
      <c r="CY260" s="18"/>
      <c r="CZ260" s="18"/>
      <c r="DA260" s="18"/>
      <c r="DB260" s="18"/>
      <c r="DC260" s="18"/>
      <c r="DD260" s="18"/>
      <c r="DE260" s="18"/>
      <c r="DF260" s="18"/>
      <c r="DG260" s="18"/>
      <c r="DH260" s="18"/>
      <c r="DI260" s="18"/>
      <c r="DJ260" s="18"/>
      <c r="DK260" s="18"/>
      <c r="DL260" s="18"/>
      <c r="DM260" s="18"/>
      <c r="DN260" s="18"/>
      <c r="DO260" s="18"/>
      <c r="DP260" s="18"/>
      <c r="DQ260" s="18"/>
      <c r="DR260" s="18"/>
      <c r="DS260" s="18"/>
      <c r="DT260" s="18"/>
      <c r="DU260" s="18"/>
      <c r="DV260" s="18"/>
      <c r="DW260" s="18"/>
      <c r="DX260" s="18"/>
      <c r="DY260" s="18"/>
      <c r="DZ260" s="18"/>
      <c r="EA260" s="18"/>
      <c r="EB260" s="18"/>
      <c r="EC260" s="18"/>
      <c r="ED260" s="18"/>
      <c r="EE260" s="18"/>
      <c r="EF260" s="18"/>
      <c r="EG260" s="18"/>
      <c r="EH260" s="18"/>
      <c r="EI260" s="18"/>
      <c r="EJ260" s="18"/>
      <c r="EK260" s="18"/>
      <c r="EL260" s="18"/>
      <c r="EM260" s="18"/>
      <c r="EN260" s="18"/>
      <c r="EO260" s="18"/>
      <c r="EP260" s="18"/>
      <c r="EQ260" s="18"/>
      <c r="ER260" s="18"/>
      <c r="ES260" s="18"/>
      <c r="ET260" s="18"/>
      <c r="EU260" s="18"/>
      <c r="EV260" s="18"/>
      <c r="EW260" s="18"/>
      <c r="EX260" s="18"/>
      <c r="EY260" s="18"/>
      <c r="EZ260" s="18"/>
      <c r="FA260" s="18"/>
      <c r="FB260" s="18"/>
      <c r="FC260" s="18"/>
      <c r="FD260" s="18"/>
      <c r="FE260" s="18"/>
      <c r="FF260" s="18"/>
      <c r="FG260" s="18"/>
      <c r="FH260" s="18"/>
      <c r="FI260" s="18"/>
      <c r="FJ260" s="18"/>
      <c r="FK260" s="18"/>
      <c r="FL260" s="18"/>
      <c r="FM260" s="18"/>
      <c r="FN260" s="18"/>
      <c r="FO260" s="18"/>
      <c r="FP260" s="18"/>
      <c r="FQ260" s="18"/>
      <c r="FR260" s="18"/>
    </row>
    <row r="261" spans="1:174" s="90" customFormat="1">
      <c r="A261" s="313"/>
      <c r="B261" s="313"/>
      <c r="C261" s="313"/>
      <c r="D261" s="454"/>
      <c r="E261" s="455" t="s">
        <v>9</v>
      </c>
      <c r="F261" s="456"/>
      <c r="G261" s="456"/>
      <c r="H261" s="456"/>
      <c r="I261" s="99"/>
      <c r="J261" s="99"/>
      <c r="K261" s="18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row>
    <row r="262" spans="1:174" s="90" customFormat="1">
      <c r="A262" s="313"/>
      <c r="B262" s="313"/>
      <c r="C262" s="313"/>
      <c r="D262" s="454"/>
      <c r="E262" s="457" t="s">
        <v>115</v>
      </c>
      <c r="F262" s="456"/>
      <c r="G262" s="456"/>
      <c r="H262" s="456"/>
      <c r="I262" s="99"/>
      <c r="J262" s="99"/>
      <c r="K262" s="18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row>
    <row r="263" spans="1:174" s="90" customFormat="1">
      <c r="A263" s="313"/>
      <c r="B263" s="313"/>
      <c r="C263" s="313"/>
      <c r="D263" s="454"/>
      <c r="E263" s="457" t="s">
        <v>117</v>
      </c>
      <c r="F263" s="456"/>
      <c r="G263" s="456"/>
      <c r="H263" s="456"/>
      <c r="I263" s="99"/>
      <c r="J263" s="99"/>
      <c r="K263" s="18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row>
    <row r="264" spans="1:174" s="90" customFormat="1">
      <c r="A264" s="313"/>
      <c r="B264" s="313"/>
      <c r="C264" s="313"/>
      <c r="D264" s="454"/>
      <c r="E264" s="457" t="s">
        <v>45</v>
      </c>
      <c r="F264" s="456"/>
      <c r="G264" s="456"/>
      <c r="H264" s="456"/>
      <c r="I264" s="99"/>
      <c r="J264" s="99"/>
      <c r="K264" s="18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row>
    <row r="265" spans="1:174" s="90" customFormat="1">
      <c r="A265" s="313"/>
      <c r="B265" s="313"/>
      <c r="C265" s="313"/>
      <c r="D265" s="454"/>
      <c r="E265" s="457" t="s">
        <v>46</v>
      </c>
      <c r="F265" s="456"/>
      <c r="G265" s="456"/>
      <c r="H265" s="456"/>
      <c r="I265" s="99"/>
      <c r="J265" s="99"/>
      <c r="K265" s="18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row>
    <row r="266" spans="1:174" s="90" customFormat="1">
      <c r="A266" s="313"/>
      <c r="B266" s="313"/>
      <c r="C266" s="313"/>
      <c r="D266" s="454"/>
      <c r="E266" s="457"/>
      <c r="F266" s="456"/>
      <c r="G266" s="456"/>
      <c r="H266" s="456"/>
      <c r="I266" s="99"/>
      <c r="J266" s="99"/>
      <c r="K266" s="18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row>
    <row r="267" spans="1:174" s="90" customFormat="1">
      <c r="A267" s="313"/>
      <c r="B267" s="313"/>
      <c r="C267" s="313"/>
      <c r="D267" s="454"/>
      <c r="E267" s="455" t="s">
        <v>120</v>
      </c>
      <c r="F267" s="456"/>
      <c r="G267" s="456"/>
      <c r="H267" s="456"/>
      <c r="I267" s="99"/>
      <c r="J267" s="99"/>
      <c r="K267" s="18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row>
    <row r="268" spans="1:174" s="90" customFormat="1">
      <c r="A268" s="313"/>
      <c r="B268" s="313"/>
      <c r="C268" s="313"/>
      <c r="D268" s="454"/>
      <c r="E268" s="457" t="s">
        <v>10</v>
      </c>
      <c r="F268" s="456"/>
      <c r="G268" s="456"/>
      <c r="H268" s="456"/>
      <c r="I268" s="99"/>
      <c r="J268" s="99"/>
      <c r="K268" s="18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row>
    <row r="269" spans="1:174" s="90" customFormat="1">
      <c r="A269" s="313"/>
      <c r="B269" s="313"/>
      <c r="C269" s="313"/>
      <c r="D269" s="454"/>
      <c r="E269" s="457" t="s">
        <v>11</v>
      </c>
      <c r="F269" s="456"/>
      <c r="G269" s="456"/>
      <c r="H269" s="456"/>
      <c r="I269" s="99"/>
      <c r="J269" s="99"/>
      <c r="K269" s="18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
      <c r="EE269" s="18"/>
      <c r="EF269" s="18"/>
      <c r="EG269" s="18"/>
      <c r="EH269" s="18"/>
      <c r="EI269" s="18"/>
      <c r="EJ269" s="18"/>
      <c r="EK269" s="18"/>
      <c r="EL269" s="18"/>
      <c r="EM269" s="18"/>
      <c r="EN269" s="18"/>
      <c r="EO269" s="18"/>
      <c r="EP269" s="18"/>
      <c r="EQ269" s="18"/>
      <c r="ER269" s="18"/>
      <c r="ES269" s="18"/>
      <c r="ET269" s="18"/>
      <c r="EU269" s="18"/>
      <c r="EV269" s="18"/>
      <c r="EW269" s="18"/>
      <c r="EX269" s="18"/>
      <c r="EY269" s="18"/>
      <c r="EZ269" s="18"/>
      <c r="FA269" s="18"/>
      <c r="FB269" s="18"/>
      <c r="FC269" s="18"/>
      <c r="FD269" s="18"/>
      <c r="FE269" s="18"/>
      <c r="FF269" s="18"/>
      <c r="FG269" s="18"/>
      <c r="FH269" s="18"/>
      <c r="FI269" s="18"/>
      <c r="FJ269" s="18"/>
      <c r="FK269" s="18"/>
      <c r="FL269" s="18"/>
      <c r="FM269" s="18"/>
      <c r="FN269" s="18"/>
      <c r="FO269" s="18"/>
      <c r="FP269" s="18"/>
      <c r="FQ269" s="18"/>
      <c r="FR269" s="18"/>
    </row>
    <row r="270" spans="1:174" s="90" customFormat="1">
      <c r="A270" s="313"/>
      <c r="B270" s="313"/>
      <c r="C270" s="313"/>
      <c r="D270" s="454"/>
      <c r="E270" s="457" t="s">
        <v>12</v>
      </c>
      <c r="F270" s="456"/>
      <c r="G270" s="456"/>
      <c r="H270" s="456"/>
      <c r="I270" s="99"/>
      <c r="J270" s="99"/>
      <c r="K270" s="18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18"/>
      <c r="DL270" s="18"/>
      <c r="DM270" s="18"/>
      <c r="DN270" s="18"/>
      <c r="DO270" s="18"/>
      <c r="DP270" s="18"/>
      <c r="DQ270" s="18"/>
      <c r="DR270" s="18"/>
      <c r="DS270" s="18"/>
      <c r="DT270" s="18"/>
      <c r="DU270" s="18"/>
      <c r="DV270" s="18"/>
      <c r="DW270" s="18"/>
      <c r="DX270" s="18"/>
      <c r="DY270" s="18"/>
      <c r="DZ270" s="18"/>
      <c r="EA270" s="18"/>
      <c r="EB270" s="18"/>
      <c r="EC270" s="18"/>
      <c r="ED270" s="18"/>
      <c r="EE270" s="18"/>
      <c r="EF270" s="18"/>
      <c r="EG270" s="18"/>
      <c r="EH270" s="18"/>
      <c r="EI270" s="18"/>
      <c r="EJ270" s="18"/>
      <c r="EK270" s="18"/>
      <c r="EL270" s="18"/>
      <c r="EM270" s="18"/>
      <c r="EN270" s="18"/>
      <c r="EO270" s="18"/>
      <c r="EP270" s="18"/>
      <c r="EQ270" s="18"/>
      <c r="ER270" s="18"/>
      <c r="ES270" s="18"/>
      <c r="ET270" s="18"/>
      <c r="EU270" s="18"/>
      <c r="EV270" s="18"/>
      <c r="EW270" s="18"/>
      <c r="EX270" s="18"/>
      <c r="EY270" s="18"/>
      <c r="EZ270" s="18"/>
      <c r="FA270" s="18"/>
      <c r="FB270" s="18"/>
      <c r="FC270" s="18"/>
      <c r="FD270" s="18"/>
      <c r="FE270" s="18"/>
      <c r="FF270" s="18"/>
      <c r="FG270" s="18"/>
      <c r="FH270" s="18"/>
      <c r="FI270" s="18"/>
      <c r="FJ270" s="18"/>
      <c r="FK270" s="18"/>
      <c r="FL270" s="18"/>
      <c r="FM270" s="18"/>
      <c r="FN270" s="18"/>
      <c r="FO270" s="18"/>
      <c r="FP270" s="18"/>
      <c r="FQ270" s="18"/>
      <c r="FR270" s="18"/>
    </row>
    <row r="271" spans="1:174" s="90" customFormat="1">
      <c r="A271" s="313"/>
      <c r="B271" s="313"/>
      <c r="C271" s="313"/>
      <c r="D271" s="454"/>
      <c r="E271" s="457" t="s">
        <v>13</v>
      </c>
      <c r="F271" s="456"/>
      <c r="G271" s="456"/>
      <c r="H271" s="456"/>
      <c r="I271" s="99"/>
      <c r="J271" s="99"/>
      <c r="K271" s="18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c r="DJ271" s="18"/>
      <c r="DK271" s="18"/>
      <c r="DL271" s="18"/>
      <c r="DM271" s="18"/>
      <c r="DN271" s="18"/>
      <c r="DO271" s="18"/>
      <c r="DP271" s="18"/>
      <c r="DQ271" s="18"/>
      <c r="DR271" s="18"/>
      <c r="DS271" s="18"/>
      <c r="DT271" s="18"/>
      <c r="DU271" s="18"/>
      <c r="DV271" s="18"/>
      <c r="DW271" s="18"/>
      <c r="DX271" s="18"/>
      <c r="DY271" s="18"/>
      <c r="DZ271" s="18"/>
      <c r="EA271" s="18"/>
      <c r="EB271" s="18"/>
      <c r="EC271" s="18"/>
      <c r="ED271" s="18"/>
      <c r="EE271" s="18"/>
      <c r="EF271" s="18"/>
      <c r="EG271" s="18"/>
      <c r="EH271" s="18"/>
      <c r="EI271" s="18"/>
      <c r="EJ271" s="18"/>
      <c r="EK271" s="18"/>
      <c r="EL271" s="18"/>
      <c r="EM271" s="18"/>
      <c r="EN271" s="18"/>
      <c r="EO271" s="18"/>
      <c r="EP271" s="18"/>
      <c r="EQ271" s="18"/>
      <c r="ER271" s="18"/>
      <c r="ES271" s="18"/>
      <c r="ET271" s="18"/>
      <c r="EU271" s="18"/>
      <c r="EV271" s="18"/>
      <c r="EW271" s="18"/>
      <c r="EX271" s="18"/>
      <c r="EY271" s="18"/>
      <c r="EZ271" s="18"/>
      <c r="FA271" s="18"/>
      <c r="FB271" s="18"/>
      <c r="FC271" s="18"/>
      <c r="FD271" s="18"/>
      <c r="FE271" s="18"/>
      <c r="FF271" s="18"/>
      <c r="FG271" s="18"/>
      <c r="FH271" s="18"/>
      <c r="FI271" s="18"/>
      <c r="FJ271" s="18"/>
      <c r="FK271" s="18"/>
      <c r="FL271" s="18"/>
      <c r="FM271" s="18"/>
      <c r="FN271" s="18"/>
      <c r="FO271" s="18"/>
      <c r="FP271" s="18"/>
      <c r="FQ271" s="18"/>
      <c r="FR271" s="18"/>
    </row>
    <row r="272" spans="1:174" s="90" customFormat="1">
      <c r="A272" s="313"/>
      <c r="B272" s="313"/>
      <c r="C272" s="313"/>
      <c r="D272" s="454"/>
      <c r="E272" s="457" t="s">
        <v>14</v>
      </c>
      <c r="F272" s="456"/>
      <c r="G272" s="456"/>
      <c r="H272" s="456"/>
      <c r="I272" s="99"/>
      <c r="J272" s="99"/>
      <c r="K272" s="18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c r="CA272" s="18"/>
      <c r="CB272" s="18"/>
      <c r="CC272" s="18"/>
      <c r="CD272" s="18"/>
      <c r="CE272" s="18"/>
      <c r="CF272" s="18"/>
      <c r="CG272" s="18"/>
      <c r="CH272" s="18"/>
      <c r="CI272" s="18"/>
      <c r="CJ272" s="18"/>
      <c r="CK272" s="18"/>
      <c r="CL272" s="18"/>
      <c r="CM272" s="18"/>
      <c r="CN272" s="18"/>
      <c r="CO272" s="18"/>
      <c r="CP272" s="18"/>
      <c r="CQ272" s="18"/>
      <c r="CR272" s="18"/>
      <c r="CS272" s="18"/>
      <c r="CT272" s="18"/>
      <c r="CU272" s="18"/>
      <c r="CV272" s="18"/>
      <c r="CW272" s="18"/>
      <c r="CX272" s="18"/>
      <c r="CY272" s="18"/>
      <c r="CZ272" s="18"/>
      <c r="DA272" s="18"/>
      <c r="DB272" s="18"/>
      <c r="DC272" s="18"/>
      <c r="DD272" s="18"/>
      <c r="DE272" s="18"/>
      <c r="DF272" s="18"/>
      <c r="DG272" s="18"/>
      <c r="DH272" s="18"/>
      <c r="DI272" s="18"/>
      <c r="DJ272" s="18"/>
      <c r="DK272" s="18"/>
      <c r="DL272" s="18"/>
      <c r="DM272" s="18"/>
      <c r="DN272" s="18"/>
      <c r="DO272" s="18"/>
      <c r="DP272" s="18"/>
      <c r="DQ272" s="18"/>
      <c r="DR272" s="18"/>
      <c r="DS272" s="18"/>
      <c r="DT272" s="18"/>
      <c r="DU272" s="18"/>
      <c r="DV272" s="18"/>
      <c r="DW272" s="18"/>
      <c r="DX272" s="18"/>
      <c r="DY272" s="18"/>
      <c r="DZ272" s="18"/>
      <c r="EA272" s="18"/>
      <c r="EB272" s="18"/>
      <c r="EC272" s="18"/>
      <c r="ED272" s="18"/>
      <c r="EE272" s="18"/>
      <c r="EF272" s="18"/>
      <c r="EG272" s="18"/>
      <c r="EH272" s="18"/>
      <c r="EI272" s="18"/>
      <c r="EJ272" s="18"/>
      <c r="EK272" s="18"/>
      <c r="EL272" s="18"/>
      <c r="EM272" s="18"/>
      <c r="EN272" s="18"/>
      <c r="EO272" s="18"/>
      <c r="EP272" s="18"/>
      <c r="EQ272" s="18"/>
      <c r="ER272" s="18"/>
      <c r="ES272" s="18"/>
      <c r="ET272" s="18"/>
      <c r="EU272" s="18"/>
      <c r="EV272" s="18"/>
      <c r="EW272" s="18"/>
      <c r="EX272" s="18"/>
      <c r="EY272" s="18"/>
      <c r="EZ272" s="18"/>
      <c r="FA272" s="18"/>
      <c r="FB272" s="18"/>
      <c r="FC272" s="18"/>
      <c r="FD272" s="18"/>
      <c r="FE272" s="18"/>
      <c r="FF272" s="18"/>
      <c r="FG272" s="18"/>
      <c r="FH272" s="18"/>
      <c r="FI272" s="18"/>
      <c r="FJ272" s="18"/>
      <c r="FK272" s="18"/>
      <c r="FL272" s="18"/>
      <c r="FM272" s="18"/>
      <c r="FN272" s="18"/>
      <c r="FO272" s="18"/>
      <c r="FP272" s="18"/>
      <c r="FQ272" s="18"/>
      <c r="FR272" s="18"/>
    </row>
    <row r="273" spans="1:174" s="90" customFormat="1">
      <c r="A273" s="313"/>
      <c r="B273" s="313"/>
      <c r="C273" s="313"/>
      <c r="D273" s="454"/>
      <c r="E273" s="457"/>
      <c r="F273" s="456"/>
      <c r="G273" s="456"/>
      <c r="H273" s="456"/>
      <c r="I273" s="99"/>
      <c r="J273" s="99"/>
      <c r="K273" s="18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18"/>
      <c r="EE273" s="18"/>
      <c r="EF273" s="18"/>
      <c r="EG273" s="18"/>
      <c r="EH273" s="18"/>
      <c r="EI273" s="18"/>
      <c r="EJ273" s="18"/>
      <c r="EK273" s="18"/>
      <c r="EL273" s="18"/>
      <c r="EM273" s="18"/>
      <c r="EN273" s="18"/>
      <c r="EO273" s="18"/>
      <c r="EP273" s="18"/>
      <c r="EQ273" s="18"/>
      <c r="ER273" s="18"/>
      <c r="ES273" s="18"/>
      <c r="ET273" s="18"/>
      <c r="EU273" s="18"/>
      <c r="EV273" s="18"/>
      <c r="EW273" s="18"/>
      <c r="EX273" s="18"/>
      <c r="EY273" s="18"/>
      <c r="EZ273" s="18"/>
      <c r="FA273" s="18"/>
      <c r="FB273" s="18"/>
      <c r="FC273" s="18"/>
      <c r="FD273" s="18"/>
      <c r="FE273" s="18"/>
      <c r="FF273" s="18"/>
      <c r="FG273" s="18"/>
      <c r="FH273" s="18"/>
      <c r="FI273" s="18"/>
      <c r="FJ273" s="18"/>
      <c r="FK273" s="18"/>
      <c r="FL273" s="18"/>
      <c r="FM273" s="18"/>
      <c r="FN273" s="18"/>
      <c r="FO273" s="18"/>
      <c r="FP273" s="18"/>
      <c r="FQ273" s="18"/>
      <c r="FR273" s="18"/>
    </row>
    <row r="274" spans="1:174" s="90" customFormat="1">
      <c r="A274" s="313"/>
      <c r="B274" s="313"/>
      <c r="C274" s="313"/>
      <c r="D274" s="454"/>
      <c r="E274" s="455" t="s">
        <v>29</v>
      </c>
      <c r="F274" s="456"/>
      <c r="G274" s="456"/>
      <c r="H274" s="456"/>
      <c r="I274" s="99"/>
      <c r="J274" s="99"/>
      <c r="K274" s="18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c r="CM274" s="18"/>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18"/>
      <c r="DL274" s="18"/>
      <c r="DM274" s="18"/>
      <c r="DN274" s="18"/>
      <c r="DO274" s="18"/>
      <c r="DP274" s="18"/>
      <c r="DQ274" s="18"/>
      <c r="DR274" s="18"/>
      <c r="DS274" s="18"/>
      <c r="DT274" s="18"/>
      <c r="DU274" s="18"/>
      <c r="DV274" s="18"/>
      <c r="DW274" s="18"/>
      <c r="DX274" s="18"/>
      <c r="DY274" s="18"/>
      <c r="DZ274" s="18"/>
      <c r="EA274" s="18"/>
      <c r="EB274" s="18"/>
      <c r="EC274" s="18"/>
      <c r="ED274" s="18"/>
      <c r="EE274" s="18"/>
      <c r="EF274" s="18"/>
      <c r="EG274" s="18"/>
      <c r="EH274" s="18"/>
      <c r="EI274" s="18"/>
      <c r="EJ274" s="18"/>
      <c r="EK274" s="18"/>
      <c r="EL274" s="18"/>
      <c r="EM274" s="18"/>
      <c r="EN274" s="18"/>
      <c r="EO274" s="18"/>
      <c r="EP274" s="18"/>
      <c r="EQ274" s="18"/>
      <c r="ER274" s="18"/>
      <c r="ES274" s="18"/>
      <c r="ET274" s="18"/>
      <c r="EU274" s="18"/>
      <c r="EV274" s="18"/>
      <c r="EW274" s="18"/>
      <c r="EX274" s="18"/>
      <c r="EY274" s="18"/>
      <c r="EZ274" s="18"/>
      <c r="FA274" s="18"/>
      <c r="FB274" s="18"/>
      <c r="FC274" s="18"/>
      <c r="FD274" s="18"/>
      <c r="FE274" s="18"/>
      <c r="FF274" s="18"/>
      <c r="FG274" s="18"/>
      <c r="FH274" s="18"/>
      <c r="FI274" s="18"/>
      <c r="FJ274" s="18"/>
      <c r="FK274" s="18"/>
      <c r="FL274" s="18"/>
      <c r="FM274" s="18"/>
      <c r="FN274" s="18"/>
      <c r="FO274" s="18"/>
      <c r="FP274" s="18"/>
      <c r="FQ274" s="18"/>
      <c r="FR274" s="18"/>
    </row>
    <row r="275" spans="1:174" s="90" customFormat="1">
      <c r="A275" s="313"/>
      <c r="B275" s="313"/>
      <c r="C275" s="313"/>
      <c r="D275" s="454"/>
      <c r="E275" s="457" t="s">
        <v>30</v>
      </c>
      <c r="F275" s="456"/>
      <c r="G275" s="456"/>
      <c r="H275" s="456"/>
      <c r="I275" s="99"/>
      <c r="J275" s="99"/>
      <c r="K275" s="18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c r="CA275" s="18"/>
      <c r="CB275" s="18"/>
      <c r="CC275" s="18"/>
      <c r="CD275" s="18"/>
      <c r="CE275" s="18"/>
      <c r="CF275" s="18"/>
      <c r="CG275" s="18"/>
      <c r="CH275" s="18"/>
      <c r="CI275" s="18"/>
      <c r="CJ275" s="18"/>
      <c r="CK275" s="18"/>
      <c r="CL275" s="18"/>
      <c r="CM275" s="18"/>
      <c r="CN275" s="18"/>
      <c r="CO275" s="18"/>
      <c r="CP275" s="18"/>
      <c r="CQ275" s="18"/>
      <c r="CR275" s="18"/>
      <c r="CS275" s="18"/>
      <c r="CT275" s="18"/>
      <c r="CU275" s="18"/>
      <c r="CV275" s="18"/>
      <c r="CW275" s="18"/>
      <c r="CX275" s="18"/>
      <c r="CY275" s="18"/>
      <c r="CZ275" s="18"/>
      <c r="DA275" s="18"/>
      <c r="DB275" s="18"/>
      <c r="DC275" s="18"/>
      <c r="DD275" s="18"/>
      <c r="DE275" s="18"/>
      <c r="DF275" s="18"/>
      <c r="DG275" s="18"/>
      <c r="DH275" s="18"/>
      <c r="DI275" s="18"/>
      <c r="DJ275" s="18"/>
      <c r="DK275" s="18"/>
      <c r="DL275" s="18"/>
      <c r="DM275" s="18"/>
      <c r="DN275" s="18"/>
      <c r="DO275" s="18"/>
      <c r="DP275" s="18"/>
      <c r="DQ275" s="18"/>
      <c r="DR275" s="18"/>
      <c r="DS275" s="18"/>
      <c r="DT275" s="18"/>
      <c r="DU275" s="18"/>
      <c r="DV275" s="18"/>
      <c r="DW275" s="18"/>
      <c r="DX275" s="18"/>
      <c r="DY275" s="18"/>
      <c r="DZ275" s="18"/>
      <c r="EA275" s="18"/>
      <c r="EB275" s="18"/>
      <c r="EC275" s="18"/>
      <c r="ED275" s="18"/>
      <c r="EE275" s="18"/>
      <c r="EF275" s="18"/>
      <c r="EG275" s="18"/>
      <c r="EH275" s="18"/>
      <c r="EI275" s="18"/>
      <c r="EJ275" s="18"/>
      <c r="EK275" s="18"/>
      <c r="EL275" s="18"/>
      <c r="EM275" s="18"/>
      <c r="EN275" s="18"/>
      <c r="EO275" s="18"/>
      <c r="EP275" s="18"/>
      <c r="EQ275" s="18"/>
      <c r="ER275" s="18"/>
      <c r="ES275" s="18"/>
      <c r="ET275" s="18"/>
      <c r="EU275" s="18"/>
      <c r="EV275" s="18"/>
      <c r="EW275" s="18"/>
      <c r="EX275" s="18"/>
      <c r="EY275" s="18"/>
      <c r="EZ275" s="18"/>
      <c r="FA275" s="18"/>
      <c r="FB275" s="18"/>
      <c r="FC275" s="18"/>
      <c r="FD275" s="18"/>
      <c r="FE275" s="18"/>
      <c r="FF275" s="18"/>
      <c r="FG275" s="18"/>
      <c r="FH275" s="18"/>
      <c r="FI275" s="18"/>
      <c r="FJ275" s="18"/>
      <c r="FK275" s="18"/>
      <c r="FL275" s="18"/>
      <c r="FM275" s="18"/>
      <c r="FN275" s="18"/>
      <c r="FO275" s="18"/>
      <c r="FP275" s="18"/>
      <c r="FQ275" s="18"/>
      <c r="FR275" s="18"/>
    </row>
    <row r="276" spans="1:174" s="90" customFormat="1">
      <c r="A276" s="313"/>
      <c r="B276" s="313"/>
      <c r="C276" s="313"/>
      <c r="D276" s="454"/>
      <c r="E276" s="457" t="s">
        <v>31</v>
      </c>
      <c r="F276" s="456"/>
      <c r="G276" s="456"/>
      <c r="H276" s="456"/>
      <c r="I276" s="99"/>
      <c r="J276" s="99"/>
      <c r="K276" s="18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c r="CA276" s="18"/>
      <c r="CB276" s="18"/>
      <c r="CC276" s="18"/>
      <c r="CD276" s="18"/>
      <c r="CE276" s="18"/>
      <c r="CF276" s="18"/>
      <c r="CG276" s="18"/>
      <c r="CH276" s="18"/>
      <c r="CI276" s="18"/>
      <c r="CJ276" s="18"/>
      <c r="CK276" s="18"/>
      <c r="CL276" s="18"/>
      <c r="CM276" s="18"/>
      <c r="CN276" s="18"/>
      <c r="CO276" s="18"/>
      <c r="CP276" s="18"/>
      <c r="CQ276" s="18"/>
      <c r="CR276" s="18"/>
      <c r="CS276" s="18"/>
      <c r="CT276" s="18"/>
      <c r="CU276" s="18"/>
      <c r="CV276" s="18"/>
      <c r="CW276" s="18"/>
      <c r="CX276" s="18"/>
      <c r="CY276" s="18"/>
      <c r="CZ276" s="18"/>
      <c r="DA276" s="18"/>
      <c r="DB276" s="18"/>
      <c r="DC276" s="18"/>
      <c r="DD276" s="18"/>
      <c r="DE276" s="18"/>
      <c r="DF276" s="18"/>
      <c r="DG276" s="18"/>
      <c r="DH276" s="18"/>
      <c r="DI276" s="18"/>
      <c r="DJ276" s="18"/>
      <c r="DK276" s="18"/>
      <c r="DL276" s="18"/>
      <c r="DM276" s="18"/>
      <c r="DN276" s="18"/>
      <c r="DO276" s="18"/>
      <c r="DP276" s="18"/>
      <c r="DQ276" s="18"/>
      <c r="DR276" s="18"/>
      <c r="DS276" s="18"/>
      <c r="DT276" s="18"/>
      <c r="DU276" s="18"/>
      <c r="DV276" s="18"/>
      <c r="DW276" s="18"/>
      <c r="DX276" s="18"/>
      <c r="DY276" s="18"/>
      <c r="DZ276" s="18"/>
      <c r="EA276" s="18"/>
      <c r="EB276" s="18"/>
      <c r="EC276" s="18"/>
      <c r="ED276" s="18"/>
      <c r="EE276" s="18"/>
      <c r="EF276" s="18"/>
      <c r="EG276" s="18"/>
      <c r="EH276" s="18"/>
      <c r="EI276" s="18"/>
      <c r="EJ276" s="18"/>
      <c r="EK276" s="18"/>
      <c r="EL276" s="18"/>
      <c r="EM276" s="18"/>
      <c r="EN276" s="18"/>
      <c r="EO276" s="18"/>
      <c r="EP276" s="18"/>
      <c r="EQ276" s="18"/>
      <c r="ER276" s="18"/>
      <c r="ES276" s="18"/>
      <c r="ET276" s="18"/>
      <c r="EU276" s="18"/>
      <c r="EV276" s="18"/>
      <c r="EW276" s="18"/>
      <c r="EX276" s="18"/>
      <c r="EY276" s="18"/>
      <c r="EZ276" s="18"/>
      <c r="FA276" s="18"/>
      <c r="FB276" s="18"/>
      <c r="FC276" s="18"/>
      <c r="FD276" s="18"/>
      <c r="FE276" s="18"/>
      <c r="FF276" s="18"/>
      <c r="FG276" s="18"/>
      <c r="FH276" s="18"/>
      <c r="FI276" s="18"/>
      <c r="FJ276" s="18"/>
      <c r="FK276" s="18"/>
      <c r="FL276" s="18"/>
      <c r="FM276" s="18"/>
      <c r="FN276" s="18"/>
      <c r="FO276" s="18"/>
      <c r="FP276" s="18"/>
      <c r="FQ276" s="18"/>
      <c r="FR276" s="18"/>
    </row>
    <row r="277" spans="1:174" s="90" customFormat="1">
      <c r="A277" s="313"/>
      <c r="B277" s="313"/>
      <c r="C277" s="313"/>
      <c r="D277" s="454"/>
      <c r="E277" s="457" t="s">
        <v>32</v>
      </c>
      <c r="F277" s="456"/>
      <c r="G277" s="456"/>
      <c r="H277" s="456"/>
      <c r="I277" s="99"/>
      <c r="J277" s="99"/>
      <c r="K277" s="18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c r="CA277" s="18"/>
      <c r="CB277" s="18"/>
      <c r="CC277" s="18"/>
      <c r="CD277" s="18"/>
      <c r="CE277" s="18"/>
      <c r="CF277" s="18"/>
      <c r="CG277" s="18"/>
      <c r="CH277" s="18"/>
      <c r="CI277" s="18"/>
      <c r="CJ277" s="18"/>
      <c r="CK277" s="18"/>
      <c r="CL277" s="18"/>
      <c r="CM277" s="18"/>
      <c r="CN277" s="18"/>
      <c r="CO277" s="18"/>
      <c r="CP277" s="18"/>
      <c r="CQ277" s="18"/>
      <c r="CR277" s="18"/>
      <c r="CS277" s="18"/>
      <c r="CT277" s="18"/>
      <c r="CU277" s="18"/>
      <c r="CV277" s="18"/>
      <c r="CW277" s="18"/>
      <c r="CX277" s="18"/>
      <c r="CY277" s="18"/>
      <c r="CZ277" s="18"/>
      <c r="DA277" s="18"/>
      <c r="DB277" s="18"/>
      <c r="DC277" s="18"/>
      <c r="DD277" s="18"/>
      <c r="DE277" s="18"/>
      <c r="DF277" s="18"/>
      <c r="DG277" s="18"/>
      <c r="DH277" s="18"/>
      <c r="DI277" s="18"/>
      <c r="DJ277" s="18"/>
      <c r="DK277" s="18"/>
      <c r="DL277" s="18"/>
      <c r="DM277" s="18"/>
      <c r="DN277" s="18"/>
      <c r="DO277" s="18"/>
      <c r="DP277" s="18"/>
      <c r="DQ277" s="18"/>
      <c r="DR277" s="18"/>
      <c r="DS277" s="18"/>
      <c r="DT277" s="18"/>
      <c r="DU277" s="18"/>
      <c r="DV277" s="18"/>
      <c r="DW277" s="18"/>
      <c r="DX277" s="18"/>
      <c r="DY277" s="18"/>
      <c r="DZ277" s="18"/>
      <c r="EA277" s="18"/>
      <c r="EB277" s="18"/>
      <c r="EC277" s="18"/>
      <c r="ED277" s="18"/>
      <c r="EE277" s="18"/>
      <c r="EF277" s="18"/>
      <c r="EG277" s="18"/>
      <c r="EH277" s="18"/>
      <c r="EI277" s="18"/>
      <c r="EJ277" s="18"/>
      <c r="EK277" s="18"/>
      <c r="EL277" s="18"/>
      <c r="EM277" s="18"/>
      <c r="EN277" s="18"/>
      <c r="EO277" s="18"/>
      <c r="EP277" s="18"/>
      <c r="EQ277" s="18"/>
      <c r="ER277" s="18"/>
      <c r="ES277" s="18"/>
      <c r="ET277" s="18"/>
      <c r="EU277" s="18"/>
      <c r="EV277" s="18"/>
      <c r="EW277" s="18"/>
      <c r="EX277" s="18"/>
      <c r="EY277" s="18"/>
      <c r="EZ277" s="18"/>
      <c r="FA277" s="18"/>
      <c r="FB277" s="18"/>
      <c r="FC277" s="18"/>
      <c r="FD277" s="18"/>
      <c r="FE277" s="18"/>
      <c r="FF277" s="18"/>
      <c r="FG277" s="18"/>
      <c r="FH277" s="18"/>
      <c r="FI277" s="18"/>
      <c r="FJ277" s="18"/>
      <c r="FK277" s="18"/>
      <c r="FL277" s="18"/>
      <c r="FM277" s="18"/>
      <c r="FN277" s="18"/>
      <c r="FO277" s="18"/>
      <c r="FP277" s="18"/>
      <c r="FQ277" s="18"/>
      <c r="FR277" s="18"/>
    </row>
    <row r="278" spans="1:174" s="90" customFormat="1">
      <c r="A278" s="313"/>
      <c r="B278" s="313"/>
      <c r="C278" s="313"/>
      <c r="D278" s="454"/>
      <c r="E278" s="457" t="s">
        <v>33</v>
      </c>
      <c r="F278" s="456"/>
      <c r="G278" s="456"/>
      <c r="H278" s="456"/>
      <c r="I278" s="99"/>
      <c r="J278" s="99"/>
      <c r="K278" s="18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c r="CJ278" s="18"/>
      <c r="CK278" s="18"/>
      <c r="CL278" s="18"/>
      <c r="CM278" s="18"/>
      <c r="CN278" s="18"/>
      <c r="CO278" s="18"/>
      <c r="CP278" s="18"/>
      <c r="CQ278" s="18"/>
      <c r="CR278" s="18"/>
      <c r="CS278" s="18"/>
      <c r="CT278" s="18"/>
      <c r="CU278" s="18"/>
      <c r="CV278" s="18"/>
      <c r="CW278" s="18"/>
      <c r="CX278" s="18"/>
      <c r="CY278" s="18"/>
      <c r="CZ278" s="18"/>
      <c r="DA278" s="18"/>
      <c r="DB278" s="18"/>
      <c r="DC278" s="18"/>
      <c r="DD278" s="18"/>
      <c r="DE278" s="18"/>
      <c r="DF278" s="18"/>
      <c r="DG278" s="18"/>
      <c r="DH278" s="18"/>
      <c r="DI278" s="18"/>
      <c r="DJ278" s="18"/>
      <c r="DK278" s="18"/>
      <c r="DL278" s="18"/>
      <c r="DM278" s="18"/>
      <c r="DN278" s="18"/>
      <c r="DO278" s="18"/>
      <c r="DP278" s="18"/>
      <c r="DQ278" s="18"/>
      <c r="DR278" s="18"/>
      <c r="DS278" s="18"/>
      <c r="DT278" s="18"/>
      <c r="DU278" s="18"/>
      <c r="DV278" s="18"/>
      <c r="DW278" s="18"/>
      <c r="DX278" s="18"/>
      <c r="DY278" s="18"/>
      <c r="DZ278" s="18"/>
      <c r="EA278" s="18"/>
      <c r="EB278" s="18"/>
      <c r="EC278" s="18"/>
      <c r="ED278" s="18"/>
      <c r="EE278" s="18"/>
      <c r="EF278" s="18"/>
      <c r="EG278" s="18"/>
      <c r="EH278" s="18"/>
      <c r="EI278" s="18"/>
      <c r="EJ278" s="18"/>
      <c r="EK278" s="18"/>
      <c r="EL278" s="18"/>
      <c r="EM278" s="18"/>
      <c r="EN278" s="18"/>
      <c r="EO278" s="18"/>
      <c r="EP278" s="18"/>
      <c r="EQ278" s="18"/>
      <c r="ER278" s="18"/>
      <c r="ES278" s="18"/>
      <c r="ET278" s="18"/>
      <c r="EU278" s="18"/>
      <c r="EV278" s="18"/>
      <c r="EW278" s="18"/>
      <c r="EX278" s="18"/>
      <c r="EY278" s="18"/>
      <c r="EZ278" s="18"/>
      <c r="FA278" s="18"/>
      <c r="FB278" s="18"/>
      <c r="FC278" s="18"/>
      <c r="FD278" s="18"/>
      <c r="FE278" s="18"/>
      <c r="FF278" s="18"/>
      <c r="FG278" s="18"/>
      <c r="FH278" s="18"/>
      <c r="FI278" s="18"/>
      <c r="FJ278" s="18"/>
      <c r="FK278" s="18"/>
      <c r="FL278" s="18"/>
      <c r="FM278" s="18"/>
      <c r="FN278" s="18"/>
      <c r="FO278" s="18"/>
      <c r="FP278" s="18"/>
      <c r="FQ278" s="18"/>
      <c r="FR278" s="18"/>
    </row>
    <row r="279" spans="1:174" s="90" customFormat="1">
      <c r="A279" s="313"/>
      <c r="B279" s="313"/>
      <c r="C279" s="313"/>
      <c r="D279" s="454"/>
      <c r="E279" s="457" t="s">
        <v>34</v>
      </c>
      <c r="F279" s="456"/>
      <c r="G279" s="456"/>
      <c r="H279" s="456"/>
      <c r="I279" s="99"/>
      <c r="J279" s="99"/>
      <c r="K279" s="18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8"/>
      <c r="DI279" s="18"/>
      <c r="DJ279" s="18"/>
      <c r="DK279" s="18"/>
      <c r="DL279" s="18"/>
      <c r="DM279" s="18"/>
      <c r="DN279" s="18"/>
      <c r="DO279" s="18"/>
      <c r="DP279" s="18"/>
      <c r="DQ279" s="18"/>
      <c r="DR279" s="18"/>
      <c r="DS279" s="18"/>
      <c r="DT279" s="18"/>
      <c r="DU279" s="18"/>
      <c r="DV279" s="18"/>
      <c r="DW279" s="18"/>
      <c r="DX279" s="18"/>
      <c r="DY279" s="18"/>
      <c r="DZ279" s="18"/>
      <c r="EA279" s="18"/>
      <c r="EB279" s="18"/>
      <c r="EC279" s="18"/>
      <c r="ED279" s="18"/>
      <c r="EE279" s="18"/>
      <c r="EF279" s="18"/>
      <c r="EG279" s="18"/>
      <c r="EH279" s="18"/>
      <c r="EI279" s="18"/>
      <c r="EJ279" s="18"/>
      <c r="EK279" s="18"/>
      <c r="EL279" s="18"/>
      <c r="EM279" s="18"/>
      <c r="EN279" s="18"/>
      <c r="EO279" s="18"/>
      <c r="EP279" s="18"/>
      <c r="EQ279" s="18"/>
      <c r="ER279" s="18"/>
      <c r="ES279" s="18"/>
      <c r="ET279" s="18"/>
      <c r="EU279" s="18"/>
      <c r="EV279" s="18"/>
      <c r="EW279" s="18"/>
      <c r="EX279" s="18"/>
      <c r="EY279" s="18"/>
      <c r="EZ279" s="18"/>
      <c r="FA279" s="18"/>
      <c r="FB279" s="18"/>
      <c r="FC279" s="18"/>
      <c r="FD279" s="18"/>
      <c r="FE279" s="18"/>
      <c r="FF279" s="18"/>
      <c r="FG279" s="18"/>
      <c r="FH279" s="18"/>
      <c r="FI279" s="18"/>
      <c r="FJ279" s="18"/>
      <c r="FK279" s="18"/>
      <c r="FL279" s="18"/>
      <c r="FM279" s="18"/>
      <c r="FN279" s="18"/>
      <c r="FO279" s="18"/>
      <c r="FP279" s="18"/>
      <c r="FQ279" s="18"/>
      <c r="FR279" s="18"/>
    </row>
    <row r="280" spans="1:174" s="90" customFormat="1">
      <c r="A280" s="313"/>
      <c r="B280" s="313"/>
      <c r="C280" s="313"/>
      <c r="D280" s="454"/>
      <c r="E280" s="457" t="s">
        <v>35</v>
      </c>
      <c r="F280" s="456"/>
      <c r="G280" s="456"/>
      <c r="H280" s="456"/>
      <c r="I280" s="99"/>
      <c r="J280" s="99"/>
      <c r="K280" s="18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c r="CA280" s="18"/>
      <c r="CB280" s="18"/>
      <c r="CC280" s="18"/>
      <c r="CD280" s="18"/>
      <c r="CE280" s="18"/>
      <c r="CF280" s="18"/>
      <c r="CG280" s="18"/>
      <c r="CH280" s="18"/>
      <c r="CI280" s="18"/>
      <c r="CJ280" s="18"/>
      <c r="CK280" s="18"/>
      <c r="CL280" s="18"/>
      <c r="CM280" s="18"/>
      <c r="CN280" s="18"/>
      <c r="CO280" s="18"/>
      <c r="CP280" s="18"/>
      <c r="CQ280" s="18"/>
      <c r="CR280" s="18"/>
      <c r="CS280" s="18"/>
      <c r="CT280" s="18"/>
      <c r="CU280" s="18"/>
      <c r="CV280" s="18"/>
      <c r="CW280" s="18"/>
      <c r="CX280" s="18"/>
      <c r="CY280" s="18"/>
      <c r="CZ280" s="18"/>
      <c r="DA280" s="18"/>
      <c r="DB280" s="18"/>
      <c r="DC280" s="18"/>
      <c r="DD280" s="18"/>
      <c r="DE280" s="18"/>
      <c r="DF280" s="18"/>
      <c r="DG280" s="18"/>
      <c r="DH280" s="18"/>
      <c r="DI280" s="18"/>
      <c r="DJ280" s="18"/>
      <c r="DK280" s="18"/>
      <c r="DL280" s="18"/>
      <c r="DM280" s="18"/>
      <c r="DN280" s="18"/>
      <c r="DO280" s="18"/>
      <c r="DP280" s="18"/>
      <c r="DQ280" s="18"/>
      <c r="DR280" s="18"/>
      <c r="DS280" s="18"/>
      <c r="DT280" s="18"/>
      <c r="DU280" s="18"/>
      <c r="DV280" s="18"/>
      <c r="DW280" s="18"/>
      <c r="DX280" s="18"/>
      <c r="DY280" s="18"/>
      <c r="DZ280" s="18"/>
      <c r="EA280" s="18"/>
      <c r="EB280" s="18"/>
      <c r="EC280" s="18"/>
      <c r="ED280" s="18"/>
      <c r="EE280" s="18"/>
      <c r="EF280" s="18"/>
      <c r="EG280" s="18"/>
      <c r="EH280" s="18"/>
      <c r="EI280" s="18"/>
      <c r="EJ280" s="18"/>
      <c r="EK280" s="18"/>
      <c r="EL280" s="18"/>
      <c r="EM280" s="18"/>
      <c r="EN280" s="18"/>
      <c r="EO280" s="18"/>
      <c r="EP280" s="18"/>
      <c r="EQ280" s="18"/>
      <c r="ER280" s="18"/>
      <c r="ES280" s="18"/>
      <c r="ET280" s="18"/>
      <c r="EU280" s="18"/>
      <c r="EV280" s="18"/>
      <c r="EW280" s="18"/>
      <c r="EX280" s="18"/>
      <c r="EY280" s="18"/>
      <c r="EZ280" s="18"/>
      <c r="FA280" s="18"/>
      <c r="FB280" s="18"/>
      <c r="FC280" s="18"/>
      <c r="FD280" s="18"/>
      <c r="FE280" s="18"/>
      <c r="FF280" s="18"/>
      <c r="FG280" s="18"/>
      <c r="FH280" s="18"/>
      <c r="FI280" s="18"/>
      <c r="FJ280" s="18"/>
      <c r="FK280" s="18"/>
      <c r="FL280" s="18"/>
      <c r="FM280" s="18"/>
      <c r="FN280" s="18"/>
      <c r="FO280" s="18"/>
      <c r="FP280" s="18"/>
      <c r="FQ280" s="18"/>
      <c r="FR280" s="18"/>
    </row>
    <row r="281" spans="1:174" s="90" customFormat="1">
      <c r="A281" s="313"/>
      <c r="B281" s="313"/>
      <c r="C281" s="313"/>
      <c r="D281" s="454"/>
      <c r="E281" s="457" t="s">
        <v>36</v>
      </c>
      <c r="F281" s="456"/>
      <c r="G281" s="456"/>
      <c r="H281" s="456"/>
      <c r="I281" s="99"/>
      <c r="J281" s="99"/>
      <c r="K281" s="18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c r="CJ281" s="18"/>
      <c r="CK281" s="18"/>
      <c r="CL281" s="18"/>
      <c r="CM281" s="18"/>
      <c r="CN281" s="18"/>
      <c r="CO281" s="18"/>
      <c r="CP281" s="18"/>
      <c r="CQ281" s="18"/>
      <c r="CR281" s="18"/>
      <c r="CS281" s="18"/>
      <c r="CT281" s="18"/>
      <c r="CU281" s="18"/>
      <c r="CV281" s="18"/>
      <c r="CW281" s="18"/>
      <c r="CX281" s="18"/>
      <c r="CY281" s="18"/>
      <c r="CZ281" s="18"/>
      <c r="DA281" s="18"/>
      <c r="DB281" s="18"/>
      <c r="DC281" s="18"/>
      <c r="DD281" s="18"/>
      <c r="DE281" s="18"/>
      <c r="DF281" s="18"/>
      <c r="DG281" s="18"/>
      <c r="DH281" s="18"/>
      <c r="DI281" s="18"/>
      <c r="DJ281" s="18"/>
      <c r="DK281" s="18"/>
      <c r="DL281" s="18"/>
      <c r="DM281" s="18"/>
      <c r="DN281" s="18"/>
      <c r="DO281" s="18"/>
      <c r="DP281" s="18"/>
      <c r="DQ281" s="18"/>
      <c r="DR281" s="18"/>
      <c r="DS281" s="18"/>
      <c r="DT281" s="18"/>
      <c r="DU281" s="18"/>
      <c r="DV281" s="18"/>
      <c r="DW281" s="18"/>
      <c r="DX281" s="18"/>
      <c r="DY281" s="18"/>
      <c r="DZ281" s="18"/>
      <c r="EA281" s="18"/>
      <c r="EB281" s="18"/>
      <c r="EC281" s="18"/>
      <c r="ED281" s="18"/>
      <c r="EE281" s="18"/>
      <c r="EF281" s="18"/>
      <c r="EG281" s="18"/>
      <c r="EH281" s="18"/>
      <c r="EI281" s="18"/>
      <c r="EJ281" s="18"/>
      <c r="EK281" s="18"/>
      <c r="EL281" s="18"/>
      <c r="EM281" s="18"/>
      <c r="EN281" s="18"/>
      <c r="EO281" s="18"/>
      <c r="EP281" s="18"/>
      <c r="EQ281" s="18"/>
      <c r="ER281" s="18"/>
      <c r="ES281" s="18"/>
      <c r="ET281" s="18"/>
      <c r="EU281" s="18"/>
      <c r="EV281" s="18"/>
      <c r="EW281" s="18"/>
      <c r="EX281" s="18"/>
      <c r="EY281" s="18"/>
      <c r="EZ281" s="18"/>
      <c r="FA281" s="18"/>
      <c r="FB281" s="18"/>
      <c r="FC281" s="18"/>
      <c r="FD281" s="18"/>
      <c r="FE281" s="18"/>
      <c r="FF281" s="18"/>
      <c r="FG281" s="18"/>
      <c r="FH281" s="18"/>
      <c r="FI281" s="18"/>
      <c r="FJ281" s="18"/>
      <c r="FK281" s="18"/>
      <c r="FL281" s="18"/>
      <c r="FM281" s="18"/>
      <c r="FN281" s="18"/>
      <c r="FO281" s="18"/>
      <c r="FP281" s="18"/>
      <c r="FQ281" s="18"/>
      <c r="FR281" s="18"/>
    </row>
    <row r="282" spans="1:174" s="90" customFormat="1">
      <c r="A282" s="313"/>
      <c r="B282" s="313"/>
      <c r="C282" s="313"/>
      <c r="D282" s="454"/>
      <c r="E282" s="457" t="s">
        <v>37</v>
      </c>
      <c r="F282" s="456"/>
      <c r="G282" s="456"/>
      <c r="H282" s="456"/>
      <c r="I282" s="99"/>
      <c r="J282" s="99"/>
      <c r="K282" s="18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c r="CM282" s="18"/>
      <c r="CN282" s="18"/>
      <c r="CO282" s="18"/>
      <c r="CP282" s="18"/>
      <c r="CQ282" s="18"/>
      <c r="CR282" s="18"/>
      <c r="CS282" s="18"/>
      <c r="CT282" s="18"/>
      <c r="CU282" s="18"/>
      <c r="CV282" s="18"/>
      <c r="CW282" s="18"/>
      <c r="CX282" s="18"/>
      <c r="CY282" s="18"/>
      <c r="CZ282" s="18"/>
      <c r="DA282" s="18"/>
      <c r="DB282" s="18"/>
      <c r="DC282" s="18"/>
      <c r="DD282" s="18"/>
      <c r="DE282" s="18"/>
      <c r="DF282" s="18"/>
      <c r="DG282" s="18"/>
      <c r="DH282" s="18"/>
      <c r="DI282" s="18"/>
      <c r="DJ282" s="18"/>
      <c r="DK282" s="18"/>
      <c r="DL282" s="18"/>
      <c r="DM282" s="18"/>
      <c r="DN282" s="18"/>
      <c r="DO282" s="18"/>
      <c r="DP282" s="18"/>
      <c r="DQ282" s="18"/>
      <c r="DR282" s="18"/>
      <c r="DS282" s="18"/>
      <c r="DT282" s="18"/>
      <c r="DU282" s="18"/>
      <c r="DV282" s="18"/>
      <c r="DW282" s="18"/>
      <c r="DX282" s="18"/>
      <c r="DY282" s="18"/>
      <c r="DZ282" s="18"/>
      <c r="EA282" s="18"/>
      <c r="EB282" s="18"/>
      <c r="EC282" s="18"/>
      <c r="ED282" s="18"/>
      <c r="EE282" s="18"/>
      <c r="EF282" s="18"/>
      <c r="EG282" s="18"/>
      <c r="EH282" s="18"/>
      <c r="EI282" s="18"/>
      <c r="EJ282" s="18"/>
      <c r="EK282" s="18"/>
      <c r="EL282" s="18"/>
      <c r="EM282" s="18"/>
      <c r="EN282" s="18"/>
      <c r="EO282" s="18"/>
      <c r="EP282" s="18"/>
      <c r="EQ282" s="18"/>
      <c r="ER282" s="18"/>
      <c r="ES282" s="18"/>
      <c r="ET282" s="18"/>
      <c r="EU282" s="18"/>
      <c r="EV282" s="18"/>
      <c r="EW282" s="18"/>
      <c r="EX282" s="18"/>
      <c r="EY282" s="18"/>
      <c r="EZ282" s="18"/>
      <c r="FA282" s="18"/>
      <c r="FB282" s="18"/>
      <c r="FC282" s="18"/>
      <c r="FD282" s="18"/>
      <c r="FE282" s="18"/>
      <c r="FF282" s="18"/>
      <c r="FG282" s="18"/>
      <c r="FH282" s="18"/>
      <c r="FI282" s="18"/>
      <c r="FJ282" s="18"/>
      <c r="FK282" s="18"/>
      <c r="FL282" s="18"/>
      <c r="FM282" s="18"/>
      <c r="FN282" s="18"/>
      <c r="FO282" s="18"/>
      <c r="FP282" s="18"/>
      <c r="FQ282" s="18"/>
      <c r="FR282" s="18"/>
    </row>
    <row r="283" spans="1:174" s="90" customFormat="1">
      <c r="A283" s="313"/>
      <c r="B283" s="313"/>
      <c r="C283" s="313"/>
      <c r="D283" s="454"/>
      <c r="E283" s="457" t="s">
        <v>38</v>
      </c>
      <c r="F283" s="456"/>
      <c r="G283" s="456"/>
      <c r="H283" s="456"/>
      <c r="I283" s="99"/>
      <c r="J283" s="99"/>
      <c r="K283" s="18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c r="CJ283" s="18"/>
      <c r="CK283" s="18"/>
      <c r="CL283" s="18"/>
      <c r="CM283" s="18"/>
      <c r="CN283" s="18"/>
      <c r="CO283" s="18"/>
      <c r="CP283" s="18"/>
      <c r="CQ283" s="18"/>
      <c r="CR283" s="18"/>
      <c r="CS283" s="18"/>
      <c r="CT283" s="18"/>
      <c r="CU283" s="18"/>
      <c r="CV283" s="18"/>
      <c r="CW283" s="18"/>
      <c r="CX283" s="18"/>
      <c r="CY283" s="18"/>
      <c r="CZ283" s="18"/>
      <c r="DA283" s="18"/>
      <c r="DB283" s="18"/>
      <c r="DC283" s="18"/>
      <c r="DD283" s="18"/>
      <c r="DE283" s="18"/>
      <c r="DF283" s="18"/>
      <c r="DG283" s="18"/>
      <c r="DH283" s="18"/>
      <c r="DI283" s="18"/>
      <c r="DJ283" s="18"/>
      <c r="DK283" s="18"/>
      <c r="DL283" s="18"/>
      <c r="DM283" s="18"/>
      <c r="DN283" s="18"/>
      <c r="DO283" s="18"/>
      <c r="DP283" s="18"/>
      <c r="DQ283" s="18"/>
      <c r="DR283" s="18"/>
      <c r="DS283" s="18"/>
      <c r="DT283" s="18"/>
      <c r="DU283" s="18"/>
      <c r="DV283" s="18"/>
      <c r="DW283" s="18"/>
      <c r="DX283" s="18"/>
      <c r="DY283" s="18"/>
      <c r="DZ283" s="18"/>
      <c r="EA283" s="18"/>
      <c r="EB283" s="18"/>
      <c r="EC283" s="18"/>
      <c r="ED283" s="18"/>
      <c r="EE283" s="18"/>
      <c r="EF283" s="18"/>
      <c r="EG283" s="18"/>
      <c r="EH283" s="18"/>
      <c r="EI283" s="18"/>
      <c r="EJ283" s="18"/>
      <c r="EK283" s="18"/>
      <c r="EL283" s="18"/>
      <c r="EM283" s="18"/>
      <c r="EN283" s="18"/>
      <c r="EO283" s="18"/>
      <c r="EP283" s="18"/>
      <c r="EQ283" s="18"/>
      <c r="ER283" s="18"/>
      <c r="ES283" s="18"/>
      <c r="ET283" s="18"/>
      <c r="EU283" s="18"/>
      <c r="EV283" s="18"/>
      <c r="EW283" s="18"/>
      <c r="EX283" s="18"/>
      <c r="EY283" s="18"/>
      <c r="EZ283" s="18"/>
      <c r="FA283" s="18"/>
      <c r="FB283" s="18"/>
      <c r="FC283" s="18"/>
      <c r="FD283" s="18"/>
      <c r="FE283" s="18"/>
      <c r="FF283" s="18"/>
      <c r="FG283" s="18"/>
      <c r="FH283" s="18"/>
      <c r="FI283" s="18"/>
      <c r="FJ283" s="18"/>
      <c r="FK283" s="18"/>
      <c r="FL283" s="18"/>
      <c r="FM283" s="18"/>
      <c r="FN283" s="18"/>
      <c r="FO283" s="18"/>
      <c r="FP283" s="18"/>
      <c r="FQ283" s="18"/>
      <c r="FR283" s="18"/>
    </row>
    <row r="284" spans="1:174" s="90" customFormat="1">
      <c r="A284" s="313"/>
      <c r="B284" s="313"/>
      <c r="C284" s="313"/>
      <c r="D284" s="454"/>
      <c r="E284" s="457" t="s">
        <v>41</v>
      </c>
      <c r="F284" s="456"/>
      <c r="G284" s="456"/>
      <c r="H284" s="456"/>
      <c r="I284" s="99"/>
      <c r="J284" s="99"/>
      <c r="K284" s="18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c r="CJ284" s="18"/>
      <c r="CK284" s="18"/>
      <c r="CL284" s="18"/>
      <c r="CM284" s="18"/>
      <c r="CN284" s="18"/>
      <c r="CO284" s="18"/>
      <c r="CP284" s="18"/>
      <c r="CQ284" s="18"/>
      <c r="CR284" s="18"/>
      <c r="CS284" s="18"/>
      <c r="CT284" s="18"/>
      <c r="CU284" s="18"/>
      <c r="CV284" s="18"/>
      <c r="CW284" s="18"/>
      <c r="CX284" s="18"/>
      <c r="CY284" s="18"/>
      <c r="CZ284" s="18"/>
      <c r="DA284" s="18"/>
      <c r="DB284" s="18"/>
      <c r="DC284" s="18"/>
      <c r="DD284" s="18"/>
      <c r="DE284" s="18"/>
      <c r="DF284" s="18"/>
      <c r="DG284" s="18"/>
      <c r="DH284" s="18"/>
      <c r="DI284" s="18"/>
      <c r="DJ284" s="18"/>
      <c r="DK284" s="18"/>
      <c r="DL284" s="18"/>
      <c r="DM284" s="18"/>
      <c r="DN284" s="18"/>
      <c r="DO284" s="18"/>
      <c r="DP284" s="18"/>
      <c r="DQ284" s="18"/>
      <c r="DR284" s="18"/>
      <c r="DS284" s="18"/>
      <c r="DT284" s="18"/>
      <c r="DU284" s="18"/>
      <c r="DV284" s="18"/>
      <c r="DW284" s="18"/>
      <c r="DX284" s="18"/>
      <c r="DY284" s="18"/>
      <c r="DZ284" s="18"/>
      <c r="EA284" s="18"/>
      <c r="EB284" s="18"/>
      <c r="EC284" s="18"/>
      <c r="ED284" s="18"/>
      <c r="EE284" s="18"/>
      <c r="EF284" s="18"/>
      <c r="EG284" s="18"/>
      <c r="EH284" s="18"/>
      <c r="EI284" s="18"/>
      <c r="EJ284" s="18"/>
      <c r="EK284" s="18"/>
      <c r="EL284" s="18"/>
      <c r="EM284" s="18"/>
      <c r="EN284" s="18"/>
      <c r="EO284" s="18"/>
      <c r="EP284" s="18"/>
      <c r="EQ284" s="18"/>
      <c r="ER284" s="18"/>
      <c r="ES284" s="18"/>
      <c r="ET284" s="18"/>
      <c r="EU284" s="18"/>
      <c r="EV284" s="18"/>
      <c r="EW284" s="18"/>
      <c r="EX284" s="18"/>
      <c r="EY284" s="18"/>
      <c r="EZ284" s="18"/>
      <c r="FA284" s="18"/>
      <c r="FB284" s="18"/>
      <c r="FC284" s="18"/>
      <c r="FD284" s="18"/>
      <c r="FE284" s="18"/>
      <c r="FF284" s="18"/>
      <c r="FG284" s="18"/>
      <c r="FH284" s="18"/>
      <c r="FI284" s="18"/>
      <c r="FJ284" s="18"/>
      <c r="FK284" s="18"/>
      <c r="FL284" s="18"/>
      <c r="FM284" s="18"/>
      <c r="FN284" s="18"/>
      <c r="FO284" s="18"/>
      <c r="FP284" s="18"/>
      <c r="FQ284" s="18"/>
      <c r="FR284" s="18"/>
    </row>
    <row r="285" spans="1:174" s="90" customFormat="1">
      <c r="A285" s="313"/>
      <c r="B285" s="313"/>
      <c r="C285" s="313"/>
      <c r="D285" s="454"/>
      <c r="E285" s="457" t="s">
        <v>39</v>
      </c>
      <c r="F285" s="456"/>
      <c r="G285" s="456"/>
      <c r="H285" s="456"/>
      <c r="I285" s="99"/>
      <c r="J285" s="99"/>
      <c r="K285" s="18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c r="CJ285" s="18"/>
      <c r="CK285" s="18"/>
      <c r="CL285" s="18"/>
      <c r="CM285" s="18"/>
      <c r="CN285" s="18"/>
      <c r="CO285" s="18"/>
      <c r="CP285" s="18"/>
      <c r="CQ285" s="18"/>
      <c r="CR285" s="18"/>
      <c r="CS285" s="18"/>
      <c r="CT285" s="18"/>
      <c r="CU285" s="18"/>
      <c r="CV285" s="18"/>
      <c r="CW285" s="18"/>
      <c r="CX285" s="18"/>
      <c r="CY285" s="18"/>
      <c r="CZ285" s="18"/>
      <c r="DA285" s="18"/>
      <c r="DB285" s="18"/>
      <c r="DC285" s="18"/>
      <c r="DD285" s="18"/>
      <c r="DE285" s="18"/>
      <c r="DF285" s="18"/>
      <c r="DG285" s="18"/>
      <c r="DH285" s="18"/>
      <c r="DI285" s="18"/>
      <c r="DJ285" s="18"/>
      <c r="DK285" s="18"/>
      <c r="DL285" s="18"/>
      <c r="DM285" s="18"/>
      <c r="DN285" s="18"/>
      <c r="DO285" s="18"/>
      <c r="DP285" s="18"/>
      <c r="DQ285" s="18"/>
      <c r="DR285" s="18"/>
      <c r="DS285" s="18"/>
      <c r="DT285" s="18"/>
      <c r="DU285" s="18"/>
      <c r="DV285" s="18"/>
      <c r="DW285" s="18"/>
      <c r="DX285" s="18"/>
      <c r="DY285" s="18"/>
      <c r="DZ285" s="18"/>
      <c r="EA285" s="18"/>
      <c r="EB285" s="18"/>
      <c r="EC285" s="18"/>
      <c r="ED285" s="18"/>
      <c r="EE285" s="18"/>
      <c r="EF285" s="18"/>
      <c r="EG285" s="18"/>
      <c r="EH285" s="18"/>
      <c r="EI285" s="18"/>
      <c r="EJ285" s="18"/>
      <c r="EK285" s="18"/>
      <c r="EL285" s="18"/>
      <c r="EM285" s="18"/>
      <c r="EN285" s="18"/>
      <c r="EO285" s="18"/>
      <c r="EP285" s="18"/>
      <c r="EQ285" s="18"/>
      <c r="ER285" s="18"/>
      <c r="ES285" s="18"/>
      <c r="ET285" s="18"/>
      <c r="EU285" s="18"/>
      <c r="EV285" s="18"/>
      <c r="EW285" s="18"/>
      <c r="EX285" s="18"/>
      <c r="EY285" s="18"/>
      <c r="EZ285" s="18"/>
      <c r="FA285" s="18"/>
      <c r="FB285" s="18"/>
      <c r="FC285" s="18"/>
      <c r="FD285" s="18"/>
      <c r="FE285" s="18"/>
      <c r="FF285" s="18"/>
      <c r="FG285" s="18"/>
      <c r="FH285" s="18"/>
      <c r="FI285" s="18"/>
      <c r="FJ285" s="18"/>
      <c r="FK285" s="18"/>
      <c r="FL285" s="18"/>
      <c r="FM285" s="18"/>
      <c r="FN285" s="18"/>
      <c r="FO285" s="18"/>
      <c r="FP285" s="18"/>
      <c r="FQ285" s="18"/>
      <c r="FR285" s="18"/>
    </row>
    <row r="286" spans="1:174" s="90" customFormat="1">
      <c r="A286" s="313"/>
      <c r="B286" s="313"/>
      <c r="C286" s="313"/>
      <c r="D286" s="454"/>
      <c r="E286" s="457" t="s">
        <v>40</v>
      </c>
      <c r="F286" s="456"/>
      <c r="G286" s="456"/>
      <c r="H286" s="456"/>
      <c r="I286" s="99"/>
      <c r="J286" s="99"/>
      <c r="K286" s="18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c r="CA286" s="18"/>
      <c r="CB286" s="18"/>
      <c r="CC286" s="18"/>
      <c r="CD286" s="18"/>
      <c r="CE286" s="18"/>
      <c r="CF286" s="18"/>
      <c r="CG286" s="18"/>
      <c r="CH286" s="18"/>
      <c r="CI286" s="18"/>
      <c r="CJ286" s="18"/>
      <c r="CK286" s="18"/>
      <c r="CL286" s="18"/>
      <c r="CM286" s="18"/>
      <c r="CN286" s="18"/>
      <c r="CO286" s="18"/>
      <c r="CP286" s="18"/>
      <c r="CQ286" s="18"/>
      <c r="CR286" s="18"/>
      <c r="CS286" s="18"/>
      <c r="CT286" s="18"/>
      <c r="CU286" s="18"/>
      <c r="CV286" s="18"/>
      <c r="CW286" s="18"/>
      <c r="CX286" s="18"/>
      <c r="CY286" s="18"/>
      <c r="CZ286" s="18"/>
      <c r="DA286" s="18"/>
      <c r="DB286" s="18"/>
      <c r="DC286" s="18"/>
      <c r="DD286" s="18"/>
      <c r="DE286" s="18"/>
      <c r="DF286" s="18"/>
      <c r="DG286" s="18"/>
      <c r="DH286" s="18"/>
      <c r="DI286" s="18"/>
      <c r="DJ286" s="18"/>
      <c r="DK286" s="18"/>
      <c r="DL286" s="18"/>
      <c r="DM286" s="18"/>
      <c r="DN286" s="18"/>
      <c r="DO286" s="18"/>
      <c r="DP286" s="18"/>
      <c r="DQ286" s="18"/>
      <c r="DR286" s="18"/>
      <c r="DS286" s="18"/>
      <c r="DT286" s="18"/>
      <c r="DU286" s="18"/>
      <c r="DV286" s="18"/>
      <c r="DW286" s="18"/>
      <c r="DX286" s="18"/>
      <c r="DY286" s="18"/>
      <c r="DZ286" s="18"/>
      <c r="EA286" s="18"/>
      <c r="EB286" s="18"/>
      <c r="EC286" s="18"/>
      <c r="ED286" s="18"/>
      <c r="EE286" s="18"/>
      <c r="EF286" s="18"/>
      <c r="EG286" s="18"/>
      <c r="EH286" s="18"/>
      <c r="EI286" s="18"/>
      <c r="EJ286" s="18"/>
      <c r="EK286" s="18"/>
      <c r="EL286" s="18"/>
      <c r="EM286" s="18"/>
      <c r="EN286" s="18"/>
      <c r="EO286" s="18"/>
      <c r="EP286" s="18"/>
      <c r="EQ286" s="18"/>
      <c r="ER286" s="18"/>
      <c r="ES286" s="18"/>
      <c r="ET286" s="18"/>
      <c r="EU286" s="18"/>
      <c r="EV286" s="18"/>
      <c r="EW286" s="18"/>
      <c r="EX286" s="18"/>
      <c r="EY286" s="18"/>
      <c r="EZ286" s="18"/>
      <c r="FA286" s="18"/>
      <c r="FB286" s="18"/>
      <c r="FC286" s="18"/>
      <c r="FD286" s="18"/>
      <c r="FE286" s="18"/>
      <c r="FF286" s="18"/>
      <c r="FG286" s="18"/>
      <c r="FH286" s="18"/>
      <c r="FI286" s="18"/>
      <c r="FJ286" s="18"/>
      <c r="FK286" s="18"/>
      <c r="FL286" s="18"/>
      <c r="FM286" s="18"/>
      <c r="FN286" s="18"/>
      <c r="FO286" s="18"/>
      <c r="FP286" s="18"/>
      <c r="FQ286" s="18"/>
      <c r="FR286" s="18"/>
    </row>
    <row r="287" spans="1:174" s="90" customFormat="1">
      <c r="A287" s="313"/>
      <c r="B287" s="313"/>
      <c r="C287" s="313"/>
      <c r="D287" s="454"/>
      <c r="E287" s="457"/>
      <c r="F287" s="456"/>
      <c r="G287" s="456"/>
      <c r="H287" s="456"/>
      <c r="I287" s="99"/>
      <c r="J287" s="99"/>
      <c r="K287" s="18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c r="CJ287" s="18"/>
      <c r="CK287" s="18"/>
      <c r="CL287" s="18"/>
      <c r="CM287" s="18"/>
      <c r="CN287" s="18"/>
      <c r="CO287" s="18"/>
      <c r="CP287" s="18"/>
      <c r="CQ287" s="18"/>
      <c r="CR287" s="18"/>
      <c r="CS287" s="18"/>
      <c r="CT287" s="18"/>
      <c r="CU287" s="18"/>
      <c r="CV287" s="18"/>
      <c r="CW287" s="18"/>
      <c r="CX287" s="18"/>
      <c r="CY287" s="18"/>
      <c r="CZ287" s="18"/>
      <c r="DA287" s="18"/>
      <c r="DB287" s="18"/>
      <c r="DC287" s="18"/>
      <c r="DD287" s="18"/>
      <c r="DE287" s="18"/>
      <c r="DF287" s="18"/>
      <c r="DG287" s="18"/>
      <c r="DH287" s="18"/>
      <c r="DI287" s="18"/>
      <c r="DJ287" s="18"/>
      <c r="DK287" s="18"/>
      <c r="DL287" s="18"/>
      <c r="DM287" s="18"/>
      <c r="DN287" s="18"/>
      <c r="DO287" s="18"/>
      <c r="DP287" s="18"/>
      <c r="DQ287" s="18"/>
      <c r="DR287" s="18"/>
      <c r="DS287" s="18"/>
      <c r="DT287" s="18"/>
      <c r="DU287" s="18"/>
      <c r="DV287" s="18"/>
      <c r="DW287" s="18"/>
      <c r="DX287" s="18"/>
      <c r="DY287" s="18"/>
      <c r="DZ287" s="18"/>
      <c r="EA287" s="18"/>
      <c r="EB287" s="18"/>
      <c r="EC287" s="18"/>
      <c r="ED287" s="18"/>
      <c r="EE287" s="18"/>
      <c r="EF287" s="18"/>
      <c r="EG287" s="18"/>
      <c r="EH287" s="18"/>
      <c r="EI287" s="18"/>
      <c r="EJ287" s="18"/>
      <c r="EK287" s="18"/>
      <c r="EL287" s="18"/>
      <c r="EM287" s="18"/>
      <c r="EN287" s="18"/>
      <c r="EO287" s="18"/>
      <c r="EP287" s="18"/>
      <c r="EQ287" s="18"/>
      <c r="ER287" s="18"/>
      <c r="ES287" s="18"/>
      <c r="ET287" s="18"/>
      <c r="EU287" s="18"/>
      <c r="EV287" s="18"/>
      <c r="EW287" s="18"/>
      <c r="EX287" s="18"/>
      <c r="EY287" s="18"/>
      <c r="EZ287" s="18"/>
      <c r="FA287" s="18"/>
      <c r="FB287" s="18"/>
      <c r="FC287" s="18"/>
      <c r="FD287" s="18"/>
      <c r="FE287" s="18"/>
      <c r="FF287" s="18"/>
      <c r="FG287" s="18"/>
      <c r="FH287" s="18"/>
      <c r="FI287" s="18"/>
      <c r="FJ287" s="18"/>
      <c r="FK287" s="18"/>
      <c r="FL287" s="18"/>
      <c r="FM287" s="18"/>
      <c r="FN287" s="18"/>
      <c r="FO287" s="18"/>
      <c r="FP287" s="18"/>
      <c r="FQ287" s="18"/>
      <c r="FR287" s="18"/>
    </row>
    <row r="288" spans="1:174" s="90" customFormat="1">
      <c r="A288" s="313"/>
      <c r="B288" s="313"/>
      <c r="C288" s="313"/>
      <c r="D288" s="454"/>
      <c r="E288" s="455" t="s">
        <v>42</v>
      </c>
      <c r="F288" s="456"/>
      <c r="G288" s="456"/>
      <c r="H288" s="456"/>
      <c r="I288" s="99"/>
      <c r="J288" s="99"/>
      <c r="K288" s="18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c r="CA288" s="18"/>
      <c r="CB288" s="18"/>
      <c r="CC288" s="18"/>
      <c r="CD288" s="18"/>
      <c r="CE288" s="18"/>
      <c r="CF288" s="18"/>
      <c r="CG288" s="18"/>
      <c r="CH288" s="18"/>
      <c r="CI288" s="18"/>
      <c r="CJ288" s="18"/>
      <c r="CK288" s="18"/>
      <c r="CL288" s="18"/>
      <c r="CM288" s="18"/>
      <c r="CN288" s="18"/>
      <c r="CO288" s="18"/>
      <c r="CP288" s="18"/>
      <c r="CQ288" s="18"/>
      <c r="CR288" s="18"/>
      <c r="CS288" s="18"/>
      <c r="CT288" s="18"/>
      <c r="CU288" s="18"/>
      <c r="CV288" s="18"/>
      <c r="CW288" s="18"/>
      <c r="CX288" s="18"/>
      <c r="CY288" s="18"/>
      <c r="CZ288" s="18"/>
      <c r="DA288" s="18"/>
      <c r="DB288" s="18"/>
      <c r="DC288" s="18"/>
      <c r="DD288" s="18"/>
      <c r="DE288" s="18"/>
      <c r="DF288" s="18"/>
      <c r="DG288" s="18"/>
      <c r="DH288" s="18"/>
      <c r="DI288" s="18"/>
      <c r="DJ288" s="18"/>
      <c r="DK288" s="18"/>
      <c r="DL288" s="18"/>
      <c r="DM288" s="18"/>
      <c r="DN288" s="18"/>
      <c r="DO288" s="18"/>
      <c r="DP288" s="18"/>
      <c r="DQ288" s="18"/>
      <c r="DR288" s="18"/>
      <c r="DS288" s="18"/>
      <c r="DT288" s="18"/>
      <c r="DU288" s="18"/>
      <c r="DV288" s="18"/>
      <c r="DW288" s="18"/>
      <c r="DX288" s="18"/>
      <c r="DY288" s="18"/>
      <c r="DZ288" s="18"/>
      <c r="EA288" s="18"/>
      <c r="EB288" s="18"/>
      <c r="EC288" s="18"/>
      <c r="ED288" s="18"/>
      <c r="EE288" s="18"/>
      <c r="EF288" s="18"/>
      <c r="EG288" s="18"/>
      <c r="EH288" s="18"/>
      <c r="EI288" s="18"/>
      <c r="EJ288" s="18"/>
      <c r="EK288" s="18"/>
      <c r="EL288" s="18"/>
      <c r="EM288" s="18"/>
      <c r="EN288" s="18"/>
      <c r="EO288" s="18"/>
      <c r="EP288" s="18"/>
      <c r="EQ288" s="18"/>
      <c r="ER288" s="18"/>
      <c r="ES288" s="18"/>
      <c r="ET288" s="18"/>
      <c r="EU288" s="18"/>
      <c r="EV288" s="18"/>
      <c r="EW288" s="18"/>
      <c r="EX288" s="18"/>
      <c r="EY288" s="18"/>
      <c r="EZ288" s="18"/>
      <c r="FA288" s="18"/>
      <c r="FB288" s="18"/>
      <c r="FC288" s="18"/>
      <c r="FD288" s="18"/>
      <c r="FE288" s="18"/>
      <c r="FF288" s="18"/>
      <c r="FG288" s="18"/>
      <c r="FH288" s="18"/>
      <c r="FI288" s="18"/>
      <c r="FJ288" s="18"/>
      <c r="FK288" s="18"/>
      <c r="FL288" s="18"/>
      <c r="FM288" s="18"/>
      <c r="FN288" s="18"/>
      <c r="FO288" s="18"/>
      <c r="FP288" s="18"/>
      <c r="FQ288" s="18"/>
      <c r="FR288" s="18"/>
    </row>
    <row r="289" spans="1:174" s="90" customFormat="1">
      <c r="A289" s="313"/>
      <c r="B289" s="313"/>
      <c r="C289" s="313"/>
      <c r="D289" s="454"/>
      <c r="E289" s="457" t="s">
        <v>4966</v>
      </c>
      <c r="F289" s="456"/>
      <c r="G289" s="456"/>
      <c r="H289" s="456"/>
      <c r="I289" s="99"/>
      <c r="J289" s="99"/>
      <c r="K289" s="18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c r="CJ289" s="18"/>
      <c r="CK289" s="18"/>
      <c r="CL289" s="18"/>
      <c r="CM289" s="18"/>
      <c r="CN289" s="18"/>
      <c r="CO289" s="18"/>
      <c r="CP289" s="18"/>
      <c r="CQ289" s="18"/>
      <c r="CR289" s="18"/>
      <c r="CS289" s="18"/>
      <c r="CT289" s="18"/>
      <c r="CU289" s="18"/>
      <c r="CV289" s="18"/>
      <c r="CW289" s="18"/>
      <c r="CX289" s="18"/>
      <c r="CY289" s="18"/>
      <c r="CZ289" s="18"/>
      <c r="DA289" s="18"/>
      <c r="DB289" s="18"/>
      <c r="DC289" s="18"/>
      <c r="DD289" s="18"/>
      <c r="DE289" s="18"/>
      <c r="DF289" s="18"/>
      <c r="DG289" s="18"/>
      <c r="DH289" s="18"/>
      <c r="DI289" s="18"/>
      <c r="DJ289" s="18"/>
      <c r="DK289" s="18"/>
      <c r="DL289" s="18"/>
      <c r="DM289" s="18"/>
      <c r="DN289" s="18"/>
      <c r="DO289" s="18"/>
      <c r="DP289" s="18"/>
      <c r="DQ289" s="18"/>
      <c r="DR289" s="18"/>
      <c r="DS289" s="18"/>
      <c r="DT289" s="18"/>
      <c r="DU289" s="18"/>
      <c r="DV289" s="18"/>
      <c r="DW289" s="18"/>
      <c r="DX289" s="18"/>
      <c r="DY289" s="18"/>
      <c r="DZ289" s="18"/>
      <c r="EA289" s="18"/>
      <c r="EB289" s="18"/>
      <c r="EC289" s="18"/>
      <c r="ED289" s="18"/>
      <c r="EE289" s="18"/>
      <c r="EF289" s="18"/>
      <c r="EG289" s="18"/>
      <c r="EH289" s="18"/>
      <c r="EI289" s="18"/>
      <c r="EJ289" s="18"/>
      <c r="EK289" s="18"/>
      <c r="EL289" s="18"/>
      <c r="EM289" s="18"/>
      <c r="EN289" s="18"/>
      <c r="EO289" s="18"/>
      <c r="EP289" s="18"/>
      <c r="EQ289" s="18"/>
      <c r="ER289" s="18"/>
      <c r="ES289" s="18"/>
      <c r="ET289" s="18"/>
      <c r="EU289" s="18"/>
      <c r="EV289" s="18"/>
      <c r="EW289" s="18"/>
      <c r="EX289" s="18"/>
      <c r="EY289" s="18"/>
      <c r="EZ289" s="18"/>
      <c r="FA289" s="18"/>
      <c r="FB289" s="18"/>
      <c r="FC289" s="18"/>
      <c r="FD289" s="18"/>
      <c r="FE289" s="18"/>
      <c r="FF289" s="18"/>
      <c r="FG289" s="18"/>
      <c r="FH289" s="18"/>
      <c r="FI289" s="18"/>
      <c r="FJ289" s="18"/>
      <c r="FK289" s="18"/>
      <c r="FL289" s="18"/>
      <c r="FM289" s="18"/>
      <c r="FN289" s="18"/>
      <c r="FO289" s="18"/>
      <c r="FP289" s="18"/>
      <c r="FQ289" s="18"/>
      <c r="FR289" s="18"/>
    </row>
    <row r="290" spans="1:174" s="90" customFormat="1">
      <c r="A290" s="313"/>
      <c r="B290" s="313"/>
      <c r="C290" s="313"/>
      <c r="D290" s="454"/>
      <c r="E290" s="457" t="s">
        <v>4967</v>
      </c>
      <c r="F290" s="456"/>
      <c r="G290" s="456"/>
      <c r="H290" s="456"/>
      <c r="I290" s="99"/>
      <c r="J290" s="99"/>
      <c r="K290" s="18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c r="CJ290" s="18"/>
      <c r="CK290" s="18"/>
      <c r="CL290" s="18"/>
      <c r="CM290" s="18"/>
      <c r="CN290" s="18"/>
      <c r="CO290" s="18"/>
      <c r="CP290" s="18"/>
      <c r="CQ290" s="18"/>
      <c r="CR290" s="18"/>
      <c r="CS290" s="18"/>
      <c r="CT290" s="18"/>
      <c r="CU290" s="18"/>
      <c r="CV290" s="18"/>
      <c r="CW290" s="18"/>
      <c r="CX290" s="18"/>
      <c r="CY290" s="18"/>
      <c r="CZ290" s="18"/>
      <c r="DA290" s="18"/>
      <c r="DB290" s="18"/>
      <c r="DC290" s="18"/>
      <c r="DD290" s="18"/>
      <c r="DE290" s="18"/>
      <c r="DF290" s="18"/>
      <c r="DG290" s="18"/>
      <c r="DH290" s="18"/>
      <c r="DI290" s="18"/>
      <c r="DJ290" s="18"/>
      <c r="DK290" s="18"/>
      <c r="DL290" s="18"/>
      <c r="DM290" s="18"/>
      <c r="DN290" s="18"/>
      <c r="DO290" s="18"/>
      <c r="DP290" s="18"/>
      <c r="DQ290" s="18"/>
      <c r="DR290" s="18"/>
      <c r="DS290" s="18"/>
      <c r="DT290" s="18"/>
      <c r="DU290" s="18"/>
      <c r="DV290" s="18"/>
      <c r="DW290" s="18"/>
      <c r="DX290" s="18"/>
      <c r="DY290" s="18"/>
      <c r="DZ290" s="18"/>
      <c r="EA290" s="18"/>
      <c r="EB290" s="18"/>
      <c r="EC290" s="18"/>
      <c r="ED290" s="18"/>
      <c r="EE290" s="18"/>
      <c r="EF290" s="18"/>
      <c r="EG290" s="18"/>
      <c r="EH290" s="18"/>
      <c r="EI290" s="18"/>
      <c r="EJ290" s="18"/>
      <c r="EK290" s="18"/>
      <c r="EL290" s="18"/>
      <c r="EM290" s="18"/>
      <c r="EN290" s="18"/>
      <c r="EO290" s="18"/>
      <c r="EP290" s="18"/>
      <c r="EQ290" s="18"/>
      <c r="ER290" s="18"/>
      <c r="ES290" s="18"/>
      <c r="ET290" s="18"/>
      <c r="EU290" s="18"/>
      <c r="EV290" s="18"/>
      <c r="EW290" s="18"/>
      <c r="EX290" s="18"/>
      <c r="EY290" s="18"/>
      <c r="EZ290" s="18"/>
      <c r="FA290" s="18"/>
      <c r="FB290" s="18"/>
      <c r="FC290" s="18"/>
      <c r="FD290" s="18"/>
      <c r="FE290" s="18"/>
      <c r="FF290" s="18"/>
      <c r="FG290" s="18"/>
      <c r="FH290" s="18"/>
      <c r="FI290" s="18"/>
      <c r="FJ290" s="18"/>
      <c r="FK290" s="18"/>
      <c r="FL290" s="18"/>
      <c r="FM290" s="18"/>
      <c r="FN290" s="18"/>
      <c r="FO290" s="18"/>
      <c r="FP290" s="18"/>
      <c r="FQ290" s="18"/>
      <c r="FR290" s="18"/>
    </row>
    <row r="291" spans="1:174" s="90" customFormat="1">
      <c r="A291" s="313"/>
      <c r="B291" s="313"/>
      <c r="C291" s="313"/>
      <c r="D291" s="454"/>
      <c r="E291" s="457" t="s">
        <v>4968</v>
      </c>
      <c r="F291" s="456"/>
      <c r="G291" s="456"/>
      <c r="H291" s="456"/>
      <c r="I291" s="99"/>
      <c r="J291" s="99"/>
      <c r="K291" s="18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c r="CA291" s="18"/>
      <c r="CB291" s="18"/>
      <c r="CC291" s="18"/>
      <c r="CD291" s="18"/>
      <c r="CE291" s="18"/>
      <c r="CF291" s="18"/>
      <c r="CG291" s="18"/>
      <c r="CH291" s="18"/>
      <c r="CI291" s="18"/>
      <c r="CJ291" s="18"/>
      <c r="CK291" s="18"/>
      <c r="CL291" s="18"/>
      <c r="CM291" s="18"/>
      <c r="CN291" s="18"/>
      <c r="CO291" s="18"/>
      <c r="CP291" s="18"/>
      <c r="CQ291" s="18"/>
      <c r="CR291" s="18"/>
      <c r="CS291" s="18"/>
      <c r="CT291" s="18"/>
      <c r="CU291" s="18"/>
      <c r="CV291" s="18"/>
      <c r="CW291" s="18"/>
      <c r="CX291" s="18"/>
      <c r="CY291" s="18"/>
      <c r="CZ291" s="18"/>
      <c r="DA291" s="18"/>
      <c r="DB291" s="18"/>
      <c r="DC291" s="18"/>
      <c r="DD291" s="18"/>
      <c r="DE291" s="18"/>
      <c r="DF291" s="18"/>
      <c r="DG291" s="18"/>
      <c r="DH291" s="18"/>
      <c r="DI291" s="18"/>
      <c r="DJ291" s="18"/>
      <c r="DK291" s="18"/>
      <c r="DL291" s="18"/>
      <c r="DM291" s="18"/>
      <c r="DN291" s="18"/>
      <c r="DO291" s="18"/>
      <c r="DP291" s="18"/>
      <c r="DQ291" s="18"/>
      <c r="DR291" s="18"/>
      <c r="DS291" s="18"/>
      <c r="DT291" s="18"/>
      <c r="DU291" s="18"/>
      <c r="DV291" s="18"/>
      <c r="DW291" s="18"/>
      <c r="DX291" s="18"/>
      <c r="DY291" s="18"/>
      <c r="DZ291" s="18"/>
      <c r="EA291" s="18"/>
      <c r="EB291" s="18"/>
      <c r="EC291" s="18"/>
      <c r="ED291" s="18"/>
      <c r="EE291" s="18"/>
      <c r="EF291" s="18"/>
      <c r="EG291" s="18"/>
      <c r="EH291" s="18"/>
      <c r="EI291" s="18"/>
      <c r="EJ291" s="18"/>
      <c r="EK291" s="18"/>
      <c r="EL291" s="18"/>
      <c r="EM291" s="18"/>
      <c r="EN291" s="18"/>
      <c r="EO291" s="18"/>
      <c r="EP291" s="18"/>
      <c r="EQ291" s="18"/>
      <c r="ER291" s="18"/>
      <c r="ES291" s="18"/>
      <c r="ET291" s="18"/>
      <c r="EU291" s="18"/>
      <c r="EV291" s="18"/>
      <c r="EW291" s="18"/>
      <c r="EX291" s="18"/>
      <c r="EY291" s="18"/>
      <c r="EZ291" s="18"/>
      <c r="FA291" s="18"/>
      <c r="FB291" s="18"/>
      <c r="FC291" s="18"/>
      <c r="FD291" s="18"/>
      <c r="FE291" s="18"/>
      <c r="FF291" s="18"/>
      <c r="FG291" s="18"/>
      <c r="FH291" s="18"/>
      <c r="FI291" s="18"/>
      <c r="FJ291" s="18"/>
      <c r="FK291" s="18"/>
      <c r="FL291" s="18"/>
      <c r="FM291" s="18"/>
      <c r="FN291" s="18"/>
      <c r="FO291" s="18"/>
      <c r="FP291" s="18"/>
      <c r="FQ291" s="18"/>
      <c r="FR291" s="18"/>
    </row>
    <row r="292" spans="1:174" s="90" customFormat="1">
      <c r="A292" s="313"/>
      <c r="B292" s="313"/>
      <c r="C292" s="313"/>
      <c r="D292" s="454"/>
      <c r="E292" s="457" t="s">
        <v>43</v>
      </c>
      <c r="F292" s="456"/>
      <c r="G292" s="456"/>
      <c r="H292" s="456"/>
      <c r="I292" s="99"/>
      <c r="J292" s="99"/>
      <c r="K292" s="18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c r="CJ292" s="18"/>
      <c r="CK292" s="18"/>
      <c r="CL292" s="18"/>
      <c r="CM292" s="18"/>
      <c r="CN292" s="18"/>
      <c r="CO292" s="18"/>
      <c r="CP292" s="18"/>
      <c r="CQ292" s="18"/>
      <c r="CR292" s="18"/>
      <c r="CS292" s="18"/>
      <c r="CT292" s="18"/>
      <c r="CU292" s="18"/>
      <c r="CV292" s="18"/>
      <c r="CW292" s="18"/>
      <c r="CX292" s="18"/>
      <c r="CY292" s="18"/>
      <c r="CZ292" s="18"/>
      <c r="DA292" s="18"/>
      <c r="DB292" s="18"/>
      <c r="DC292" s="18"/>
      <c r="DD292" s="18"/>
      <c r="DE292" s="18"/>
      <c r="DF292" s="18"/>
      <c r="DG292" s="18"/>
      <c r="DH292" s="18"/>
      <c r="DI292" s="18"/>
      <c r="DJ292" s="18"/>
      <c r="DK292" s="18"/>
      <c r="DL292" s="18"/>
      <c r="DM292" s="18"/>
      <c r="DN292" s="18"/>
      <c r="DO292" s="18"/>
      <c r="DP292" s="18"/>
      <c r="DQ292" s="18"/>
      <c r="DR292" s="18"/>
      <c r="DS292" s="18"/>
      <c r="DT292" s="18"/>
      <c r="DU292" s="18"/>
      <c r="DV292" s="18"/>
      <c r="DW292" s="18"/>
      <c r="DX292" s="18"/>
      <c r="DY292" s="18"/>
      <c r="DZ292" s="18"/>
      <c r="EA292" s="18"/>
      <c r="EB292" s="18"/>
      <c r="EC292" s="18"/>
      <c r="ED292" s="18"/>
      <c r="EE292" s="18"/>
      <c r="EF292" s="18"/>
      <c r="EG292" s="18"/>
      <c r="EH292" s="18"/>
      <c r="EI292" s="18"/>
      <c r="EJ292" s="18"/>
      <c r="EK292" s="18"/>
      <c r="EL292" s="18"/>
      <c r="EM292" s="18"/>
      <c r="EN292" s="18"/>
      <c r="EO292" s="18"/>
      <c r="EP292" s="18"/>
      <c r="EQ292" s="18"/>
      <c r="ER292" s="18"/>
      <c r="ES292" s="18"/>
      <c r="ET292" s="18"/>
      <c r="EU292" s="18"/>
      <c r="EV292" s="18"/>
      <c r="EW292" s="18"/>
      <c r="EX292" s="18"/>
      <c r="EY292" s="18"/>
      <c r="EZ292" s="18"/>
      <c r="FA292" s="18"/>
      <c r="FB292" s="18"/>
      <c r="FC292" s="18"/>
      <c r="FD292" s="18"/>
      <c r="FE292" s="18"/>
      <c r="FF292" s="18"/>
      <c r="FG292" s="18"/>
      <c r="FH292" s="18"/>
      <c r="FI292" s="18"/>
      <c r="FJ292" s="18"/>
      <c r="FK292" s="18"/>
      <c r="FL292" s="18"/>
      <c r="FM292" s="18"/>
      <c r="FN292" s="18"/>
      <c r="FO292" s="18"/>
      <c r="FP292" s="18"/>
      <c r="FQ292" s="18"/>
      <c r="FR292" s="18"/>
    </row>
    <row r="293" spans="1:174" s="90" customFormat="1">
      <c r="A293" s="313"/>
      <c r="B293" s="313"/>
      <c r="C293" s="313"/>
      <c r="D293" s="454"/>
      <c r="E293" s="457"/>
      <c r="F293" s="456"/>
      <c r="G293" s="456"/>
      <c r="H293" s="456"/>
      <c r="I293" s="99"/>
      <c r="J293" s="99"/>
      <c r="K293" s="18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c r="CL293" s="18"/>
      <c r="CM293" s="18"/>
      <c r="CN293" s="18"/>
      <c r="CO293" s="18"/>
      <c r="CP293" s="18"/>
      <c r="CQ293" s="18"/>
      <c r="CR293" s="18"/>
      <c r="CS293" s="18"/>
      <c r="CT293" s="18"/>
      <c r="CU293" s="18"/>
      <c r="CV293" s="18"/>
      <c r="CW293" s="18"/>
      <c r="CX293" s="18"/>
      <c r="CY293" s="18"/>
      <c r="CZ293" s="18"/>
      <c r="DA293" s="18"/>
      <c r="DB293" s="18"/>
      <c r="DC293" s="18"/>
      <c r="DD293" s="18"/>
      <c r="DE293" s="18"/>
      <c r="DF293" s="18"/>
      <c r="DG293" s="18"/>
      <c r="DH293" s="18"/>
      <c r="DI293" s="18"/>
      <c r="DJ293" s="18"/>
      <c r="DK293" s="18"/>
      <c r="DL293" s="18"/>
      <c r="DM293" s="18"/>
      <c r="DN293" s="18"/>
      <c r="DO293" s="18"/>
      <c r="DP293" s="18"/>
      <c r="DQ293" s="18"/>
      <c r="DR293" s="18"/>
      <c r="DS293" s="18"/>
      <c r="DT293" s="18"/>
      <c r="DU293" s="18"/>
      <c r="DV293" s="18"/>
      <c r="DW293" s="18"/>
      <c r="DX293" s="18"/>
      <c r="DY293" s="18"/>
      <c r="DZ293" s="18"/>
      <c r="EA293" s="18"/>
      <c r="EB293" s="18"/>
      <c r="EC293" s="18"/>
      <c r="ED293" s="18"/>
      <c r="EE293" s="18"/>
      <c r="EF293" s="18"/>
      <c r="EG293" s="18"/>
      <c r="EH293" s="18"/>
      <c r="EI293" s="18"/>
      <c r="EJ293" s="18"/>
      <c r="EK293" s="18"/>
      <c r="EL293" s="18"/>
      <c r="EM293" s="18"/>
      <c r="EN293" s="18"/>
      <c r="EO293" s="18"/>
      <c r="EP293" s="18"/>
      <c r="EQ293" s="18"/>
      <c r="ER293" s="18"/>
      <c r="ES293" s="18"/>
      <c r="ET293" s="18"/>
      <c r="EU293" s="18"/>
      <c r="EV293" s="18"/>
      <c r="EW293" s="18"/>
      <c r="EX293" s="18"/>
      <c r="EY293" s="18"/>
      <c r="EZ293" s="18"/>
      <c r="FA293" s="18"/>
      <c r="FB293" s="18"/>
      <c r="FC293" s="18"/>
      <c r="FD293" s="18"/>
      <c r="FE293" s="18"/>
      <c r="FF293" s="18"/>
      <c r="FG293" s="18"/>
      <c r="FH293" s="18"/>
      <c r="FI293" s="18"/>
      <c r="FJ293" s="18"/>
      <c r="FK293" s="18"/>
      <c r="FL293" s="18"/>
      <c r="FM293" s="18"/>
      <c r="FN293" s="18"/>
      <c r="FO293" s="18"/>
      <c r="FP293" s="18"/>
      <c r="FQ293" s="18"/>
      <c r="FR293" s="18"/>
    </row>
    <row r="294" spans="1:174" s="90" customFormat="1">
      <c r="A294" s="313"/>
      <c r="B294" s="313"/>
      <c r="C294" s="313"/>
      <c r="D294" s="454"/>
      <c r="E294" s="455" t="s">
        <v>44</v>
      </c>
      <c r="F294" s="456"/>
      <c r="G294" s="456"/>
      <c r="H294" s="456"/>
      <c r="I294" s="99"/>
      <c r="J294" s="99"/>
      <c r="K294" s="18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c r="CJ294" s="18"/>
      <c r="CK294" s="18"/>
      <c r="CL294" s="18"/>
      <c r="CM294" s="18"/>
      <c r="CN294" s="18"/>
      <c r="CO294" s="18"/>
      <c r="CP294" s="18"/>
      <c r="CQ294" s="18"/>
      <c r="CR294" s="18"/>
      <c r="CS294" s="18"/>
      <c r="CT294" s="18"/>
      <c r="CU294" s="18"/>
      <c r="CV294" s="18"/>
      <c r="CW294" s="18"/>
      <c r="CX294" s="18"/>
      <c r="CY294" s="18"/>
      <c r="CZ294" s="18"/>
      <c r="DA294" s="18"/>
      <c r="DB294" s="18"/>
      <c r="DC294" s="18"/>
      <c r="DD294" s="18"/>
      <c r="DE294" s="18"/>
      <c r="DF294" s="18"/>
      <c r="DG294" s="18"/>
      <c r="DH294" s="18"/>
      <c r="DI294" s="18"/>
      <c r="DJ294" s="18"/>
      <c r="DK294" s="18"/>
      <c r="DL294" s="18"/>
      <c r="DM294" s="18"/>
      <c r="DN294" s="18"/>
      <c r="DO294" s="18"/>
      <c r="DP294" s="18"/>
      <c r="DQ294" s="18"/>
      <c r="DR294" s="18"/>
      <c r="DS294" s="18"/>
      <c r="DT294" s="18"/>
      <c r="DU294" s="18"/>
      <c r="DV294" s="18"/>
      <c r="DW294" s="18"/>
      <c r="DX294" s="18"/>
      <c r="DY294" s="18"/>
      <c r="DZ294" s="18"/>
      <c r="EA294" s="18"/>
      <c r="EB294" s="18"/>
      <c r="EC294" s="18"/>
      <c r="ED294" s="18"/>
      <c r="EE294" s="18"/>
      <c r="EF294" s="18"/>
      <c r="EG294" s="18"/>
      <c r="EH294" s="18"/>
      <c r="EI294" s="18"/>
      <c r="EJ294" s="18"/>
      <c r="EK294" s="18"/>
      <c r="EL294" s="18"/>
      <c r="EM294" s="18"/>
      <c r="EN294" s="18"/>
      <c r="EO294" s="18"/>
      <c r="EP294" s="18"/>
      <c r="EQ294" s="18"/>
      <c r="ER294" s="18"/>
      <c r="ES294" s="18"/>
      <c r="ET294" s="18"/>
      <c r="EU294" s="18"/>
      <c r="EV294" s="18"/>
      <c r="EW294" s="18"/>
      <c r="EX294" s="18"/>
      <c r="EY294" s="18"/>
      <c r="EZ294" s="18"/>
      <c r="FA294" s="18"/>
      <c r="FB294" s="18"/>
      <c r="FC294" s="18"/>
      <c r="FD294" s="18"/>
      <c r="FE294" s="18"/>
      <c r="FF294" s="18"/>
      <c r="FG294" s="18"/>
      <c r="FH294" s="18"/>
      <c r="FI294" s="18"/>
      <c r="FJ294" s="18"/>
      <c r="FK294" s="18"/>
      <c r="FL294" s="18"/>
      <c r="FM294" s="18"/>
      <c r="FN294" s="18"/>
      <c r="FO294" s="18"/>
      <c r="FP294" s="18"/>
      <c r="FQ294" s="18"/>
      <c r="FR294" s="18"/>
    </row>
    <row r="295" spans="1:174" s="90" customFormat="1">
      <c r="A295" s="313"/>
      <c r="B295" s="313"/>
      <c r="C295" s="313"/>
      <c r="D295" s="454"/>
      <c r="E295" s="460">
        <v>1</v>
      </c>
      <c r="F295" s="456"/>
      <c r="G295" s="456"/>
      <c r="H295" s="456"/>
      <c r="I295" s="99"/>
      <c r="J295" s="99"/>
      <c r="K295" s="18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c r="CJ295" s="18"/>
      <c r="CK295" s="18"/>
      <c r="CL295" s="18"/>
      <c r="CM295" s="18"/>
      <c r="CN295" s="18"/>
      <c r="CO295" s="18"/>
      <c r="CP295" s="18"/>
      <c r="CQ295" s="18"/>
      <c r="CR295" s="18"/>
      <c r="CS295" s="18"/>
      <c r="CT295" s="18"/>
      <c r="CU295" s="18"/>
      <c r="CV295" s="18"/>
      <c r="CW295" s="18"/>
      <c r="CX295" s="18"/>
      <c r="CY295" s="18"/>
      <c r="CZ295" s="18"/>
      <c r="DA295" s="18"/>
      <c r="DB295" s="18"/>
      <c r="DC295" s="18"/>
      <c r="DD295" s="18"/>
      <c r="DE295" s="18"/>
      <c r="DF295" s="18"/>
      <c r="DG295" s="18"/>
      <c r="DH295" s="18"/>
      <c r="DI295" s="18"/>
      <c r="DJ295" s="18"/>
      <c r="DK295" s="18"/>
      <c r="DL295" s="18"/>
      <c r="DM295" s="18"/>
      <c r="DN295" s="18"/>
      <c r="DO295" s="18"/>
      <c r="DP295" s="18"/>
      <c r="DQ295" s="18"/>
      <c r="DR295" s="18"/>
      <c r="DS295" s="18"/>
      <c r="DT295" s="18"/>
      <c r="DU295" s="18"/>
      <c r="DV295" s="18"/>
      <c r="DW295" s="18"/>
      <c r="DX295" s="18"/>
      <c r="DY295" s="18"/>
      <c r="DZ295" s="18"/>
      <c r="EA295" s="18"/>
      <c r="EB295" s="18"/>
      <c r="EC295" s="18"/>
      <c r="ED295" s="18"/>
      <c r="EE295" s="18"/>
      <c r="EF295" s="18"/>
      <c r="EG295" s="18"/>
      <c r="EH295" s="18"/>
      <c r="EI295" s="18"/>
      <c r="EJ295" s="18"/>
      <c r="EK295" s="18"/>
      <c r="EL295" s="18"/>
      <c r="EM295" s="18"/>
      <c r="EN295" s="18"/>
      <c r="EO295" s="18"/>
      <c r="EP295" s="18"/>
      <c r="EQ295" s="18"/>
      <c r="ER295" s="18"/>
      <c r="ES295" s="18"/>
      <c r="ET295" s="18"/>
      <c r="EU295" s="18"/>
      <c r="EV295" s="18"/>
      <c r="EW295" s="18"/>
      <c r="EX295" s="18"/>
      <c r="EY295" s="18"/>
      <c r="EZ295" s="18"/>
      <c r="FA295" s="18"/>
      <c r="FB295" s="18"/>
      <c r="FC295" s="18"/>
      <c r="FD295" s="18"/>
      <c r="FE295" s="18"/>
      <c r="FF295" s="18"/>
      <c r="FG295" s="18"/>
      <c r="FH295" s="18"/>
      <c r="FI295" s="18"/>
      <c r="FJ295" s="18"/>
      <c r="FK295" s="18"/>
      <c r="FL295" s="18"/>
      <c r="FM295" s="18"/>
      <c r="FN295" s="18"/>
      <c r="FO295" s="18"/>
      <c r="FP295" s="18"/>
      <c r="FQ295" s="18"/>
      <c r="FR295" s="18"/>
    </row>
    <row r="296" spans="1:174" s="90" customFormat="1">
      <c r="A296" s="313"/>
      <c r="B296" s="313"/>
      <c r="C296" s="313"/>
      <c r="D296" s="454"/>
      <c r="E296" s="460">
        <v>2</v>
      </c>
      <c r="F296" s="456"/>
      <c r="G296" s="456"/>
      <c r="H296" s="456"/>
      <c r="I296" s="99"/>
      <c r="J296" s="99"/>
      <c r="K296" s="18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c r="CA296" s="18"/>
      <c r="CB296" s="18"/>
      <c r="CC296" s="18"/>
      <c r="CD296" s="18"/>
      <c r="CE296" s="18"/>
      <c r="CF296" s="18"/>
      <c r="CG296" s="18"/>
      <c r="CH296" s="18"/>
      <c r="CI296" s="18"/>
      <c r="CJ296" s="18"/>
      <c r="CK296" s="18"/>
      <c r="CL296" s="18"/>
      <c r="CM296" s="18"/>
      <c r="CN296" s="18"/>
      <c r="CO296" s="18"/>
      <c r="CP296" s="18"/>
      <c r="CQ296" s="18"/>
      <c r="CR296" s="18"/>
      <c r="CS296" s="18"/>
      <c r="CT296" s="18"/>
      <c r="CU296" s="18"/>
      <c r="CV296" s="18"/>
      <c r="CW296" s="18"/>
      <c r="CX296" s="18"/>
      <c r="CY296" s="18"/>
      <c r="CZ296" s="18"/>
      <c r="DA296" s="18"/>
      <c r="DB296" s="18"/>
      <c r="DC296" s="18"/>
      <c r="DD296" s="18"/>
      <c r="DE296" s="18"/>
      <c r="DF296" s="18"/>
      <c r="DG296" s="18"/>
      <c r="DH296" s="18"/>
      <c r="DI296" s="18"/>
      <c r="DJ296" s="18"/>
      <c r="DK296" s="18"/>
      <c r="DL296" s="18"/>
      <c r="DM296" s="18"/>
      <c r="DN296" s="18"/>
      <c r="DO296" s="18"/>
      <c r="DP296" s="18"/>
      <c r="DQ296" s="18"/>
      <c r="DR296" s="18"/>
      <c r="DS296" s="18"/>
      <c r="DT296" s="18"/>
      <c r="DU296" s="18"/>
      <c r="DV296" s="18"/>
      <c r="DW296" s="18"/>
      <c r="DX296" s="18"/>
      <c r="DY296" s="18"/>
      <c r="DZ296" s="18"/>
      <c r="EA296" s="18"/>
      <c r="EB296" s="18"/>
      <c r="EC296" s="18"/>
      <c r="ED296" s="18"/>
      <c r="EE296" s="18"/>
      <c r="EF296" s="18"/>
      <c r="EG296" s="18"/>
      <c r="EH296" s="18"/>
      <c r="EI296" s="18"/>
      <c r="EJ296" s="18"/>
      <c r="EK296" s="18"/>
      <c r="EL296" s="18"/>
      <c r="EM296" s="18"/>
      <c r="EN296" s="18"/>
      <c r="EO296" s="18"/>
      <c r="EP296" s="18"/>
      <c r="EQ296" s="18"/>
      <c r="ER296" s="18"/>
      <c r="ES296" s="18"/>
      <c r="ET296" s="18"/>
      <c r="EU296" s="18"/>
      <c r="EV296" s="18"/>
      <c r="EW296" s="18"/>
      <c r="EX296" s="18"/>
      <c r="EY296" s="18"/>
      <c r="EZ296" s="18"/>
      <c r="FA296" s="18"/>
      <c r="FB296" s="18"/>
      <c r="FC296" s="18"/>
      <c r="FD296" s="18"/>
      <c r="FE296" s="18"/>
      <c r="FF296" s="18"/>
      <c r="FG296" s="18"/>
      <c r="FH296" s="18"/>
      <c r="FI296" s="18"/>
      <c r="FJ296" s="18"/>
      <c r="FK296" s="18"/>
      <c r="FL296" s="18"/>
      <c r="FM296" s="18"/>
      <c r="FN296" s="18"/>
      <c r="FO296" s="18"/>
      <c r="FP296" s="18"/>
      <c r="FQ296" s="18"/>
      <c r="FR296" s="18"/>
    </row>
    <row r="297" spans="1:174" s="90" customFormat="1">
      <c r="A297" s="313"/>
      <c r="B297" s="313"/>
      <c r="C297" s="313"/>
      <c r="D297" s="454"/>
      <c r="E297" s="460">
        <v>3</v>
      </c>
      <c r="F297" s="456"/>
      <c r="G297" s="456"/>
      <c r="H297" s="456"/>
      <c r="I297" s="99"/>
      <c r="J297" s="99"/>
      <c r="K297" s="18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c r="CA297" s="18"/>
      <c r="CB297" s="18"/>
      <c r="CC297" s="18"/>
      <c r="CD297" s="18"/>
      <c r="CE297" s="18"/>
      <c r="CF297" s="18"/>
      <c r="CG297" s="18"/>
      <c r="CH297" s="18"/>
      <c r="CI297" s="18"/>
      <c r="CJ297" s="18"/>
      <c r="CK297" s="18"/>
      <c r="CL297" s="18"/>
      <c r="CM297" s="18"/>
      <c r="CN297" s="18"/>
      <c r="CO297" s="18"/>
      <c r="CP297" s="18"/>
      <c r="CQ297" s="18"/>
      <c r="CR297" s="18"/>
      <c r="CS297" s="18"/>
      <c r="CT297" s="18"/>
      <c r="CU297" s="18"/>
      <c r="CV297" s="18"/>
      <c r="CW297" s="18"/>
      <c r="CX297" s="18"/>
      <c r="CY297" s="18"/>
      <c r="CZ297" s="18"/>
      <c r="DA297" s="18"/>
      <c r="DB297" s="18"/>
      <c r="DC297" s="18"/>
      <c r="DD297" s="18"/>
      <c r="DE297" s="18"/>
      <c r="DF297" s="18"/>
      <c r="DG297" s="18"/>
      <c r="DH297" s="18"/>
      <c r="DI297" s="18"/>
      <c r="DJ297" s="18"/>
      <c r="DK297" s="18"/>
      <c r="DL297" s="18"/>
      <c r="DM297" s="18"/>
      <c r="DN297" s="18"/>
      <c r="DO297" s="18"/>
      <c r="DP297" s="18"/>
      <c r="DQ297" s="18"/>
      <c r="DR297" s="18"/>
      <c r="DS297" s="18"/>
      <c r="DT297" s="18"/>
      <c r="DU297" s="18"/>
      <c r="DV297" s="18"/>
      <c r="DW297" s="18"/>
      <c r="DX297" s="18"/>
      <c r="DY297" s="18"/>
      <c r="DZ297" s="18"/>
      <c r="EA297" s="18"/>
      <c r="EB297" s="18"/>
      <c r="EC297" s="18"/>
      <c r="ED297" s="18"/>
      <c r="EE297" s="18"/>
      <c r="EF297" s="18"/>
      <c r="EG297" s="18"/>
      <c r="EH297" s="18"/>
      <c r="EI297" s="18"/>
      <c r="EJ297" s="18"/>
      <c r="EK297" s="18"/>
      <c r="EL297" s="18"/>
      <c r="EM297" s="18"/>
      <c r="EN297" s="18"/>
      <c r="EO297" s="18"/>
      <c r="EP297" s="18"/>
      <c r="EQ297" s="18"/>
      <c r="ER297" s="18"/>
      <c r="ES297" s="18"/>
      <c r="ET297" s="18"/>
      <c r="EU297" s="18"/>
      <c r="EV297" s="18"/>
      <c r="EW297" s="18"/>
      <c r="EX297" s="18"/>
      <c r="EY297" s="18"/>
      <c r="EZ297" s="18"/>
      <c r="FA297" s="18"/>
      <c r="FB297" s="18"/>
      <c r="FC297" s="18"/>
      <c r="FD297" s="18"/>
      <c r="FE297" s="18"/>
      <c r="FF297" s="18"/>
      <c r="FG297" s="18"/>
      <c r="FH297" s="18"/>
      <c r="FI297" s="18"/>
      <c r="FJ297" s="18"/>
      <c r="FK297" s="18"/>
      <c r="FL297" s="18"/>
      <c r="FM297" s="18"/>
      <c r="FN297" s="18"/>
      <c r="FO297" s="18"/>
      <c r="FP297" s="18"/>
      <c r="FQ297" s="18"/>
      <c r="FR297" s="18"/>
    </row>
    <row r="298" spans="1:174" s="90" customFormat="1">
      <c r="A298" s="313"/>
      <c r="B298" s="313"/>
      <c r="C298" s="313"/>
      <c r="D298" s="454"/>
      <c r="E298" s="460">
        <v>4</v>
      </c>
      <c r="F298" s="456"/>
      <c r="G298" s="456"/>
      <c r="H298" s="456"/>
      <c r="I298" s="99"/>
      <c r="J298" s="99"/>
      <c r="K298" s="18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c r="CA298" s="18"/>
      <c r="CB298" s="18"/>
      <c r="CC298" s="18"/>
      <c r="CD298" s="18"/>
      <c r="CE298" s="18"/>
      <c r="CF298" s="18"/>
      <c r="CG298" s="18"/>
      <c r="CH298" s="18"/>
      <c r="CI298" s="18"/>
      <c r="CJ298" s="18"/>
      <c r="CK298" s="18"/>
      <c r="CL298" s="18"/>
      <c r="CM298" s="18"/>
      <c r="CN298" s="18"/>
      <c r="CO298" s="18"/>
      <c r="CP298" s="18"/>
      <c r="CQ298" s="18"/>
      <c r="CR298" s="18"/>
      <c r="CS298" s="18"/>
      <c r="CT298" s="18"/>
      <c r="CU298" s="18"/>
      <c r="CV298" s="18"/>
      <c r="CW298" s="18"/>
      <c r="CX298" s="18"/>
      <c r="CY298" s="18"/>
      <c r="CZ298" s="18"/>
      <c r="DA298" s="18"/>
      <c r="DB298" s="18"/>
      <c r="DC298" s="18"/>
      <c r="DD298" s="18"/>
      <c r="DE298" s="18"/>
      <c r="DF298" s="18"/>
      <c r="DG298" s="18"/>
      <c r="DH298" s="18"/>
      <c r="DI298" s="18"/>
      <c r="DJ298" s="18"/>
      <c r="DK298" s="18"/>
      <c r="DL298" s="18"/>
      <c r="DM298" s="18"/>
      <c r="DN298" s="18"/>
      <c r="DO298" s="18"/>
      <c r="DP298" s="18"/>
      <c r="DQ298" s="18"/>
      <c r="DR298" s="18"/>
      <c r="DS298" s="18"/>
      <c r="DT298" s="18"/>
      <c r="DU298" s="18"/>
      <c r="DV298" s="18"/>
      <c r="DW298" s="18"/>
      <c r="DX298" s="18"/>
      <c r="DY298" s="18"/>
      <c r="DZ298" s="18"/>
      <c r="EA298" s="18"/>
      <c r="EB298" s="18"/>
      <c r="EC298" s="18"/>
      <c r="ED298" s="18"/>
      <c r="EE298" s="18"/>
      <c r="EF298" s="18"/>
      <c r="EG298" s="18"/>
      <c r="EH298" s="18"/>
      <c r="EI298" s="18"/>
      <c r="EJ298" s="18"/>
      <c r="EK298" s="18"/>
      <c r="EL298" s="18"/>
      <c r="EM298" s="18"/>
      <c r="EN298" s="18"/>
      <c r="EO298" s="18"/>
      <c r="EP298" s="18"/>
      <c r="EQ298" s="18"/>
      <c r="ER298" s="18"/>
      <c r="ES298" s="18"/>
      <c r="ET298" s="18"/>
      <c r="EU298" s="18"/>
      <c r="EV298" s="18"/>
      <c r="EW298" s="18"/>
      <c r="EX298" s="18"/>
      <c r="EY298" s="18"/>
      <c r="EZ298" s="18"/>
      <c r="FA298" s="18"/>
      <c r="FB298" s="18"/>
      <c r="FC298" s="18"/>
      <c r="FD298" s="18"/>
      <c r="FE298" s="18"/>
      <c r="FF298" s="18"/>
      <c r="FG298" s="18"/>
      <c r="FH298" s="18"/>
      <c r="FI298" s="18"/>
      <c r="FJ298" s="18"/>
      <c r="FK298" s="18"/>
      <c r="FL298" s="18"/>
      <c r="FM298" s="18"/>
      <c r="FN298" s="18"/>
      <c r="FO298" s="18"/>
      <c r="FP298" s="18"/>
      <c r="FQ298" s="18"/>
      <c r="FR298" s="18"/>
    </row>
    <row r="299" spans="1:174" s="90" customFormat="1">
      <c r="A299" s="313"/>
      <c r="B299" s="313"/>
      <c r="C299" s="313"/>
      <c r="D299" s="454"/>
      <c r="E299" s="460">
        <v>5</v>
      </c>
      <c r="F299" s="456"/>
      <c r="G299" s="456"/>
      <c r="H299" s="456"/>
      <c r="I299" s="99"/>
      <c r="J299" s="99"/>
      <c r="K299" s="18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c r="CA299" s="18"/>
      <c r="CB299" s="18"/>
      <c r="CC299" s="18"/>
      <c r="CD299" s="18"/>
      <c r="CE299" s="18"/>
      <c r="CF299" s="18"/>
      <c r="CG299" s="18"/>
      <c r="CH299" s="18"/>
      <c r="CI299" s="18"/>
      <c r="CJ299" s="18"/>
      <c r="CK299" s="18"/>
      <c r="CL299" s="18"/>
      <c r="CM299" s="18"/>
      <c r="CN299" s="18"/>
      <c r="CO299" s="18"/>
      <c r="CP299" s="18"/>
      <c r="CQ299" s="18"/>
      <c r="CR299" s="18"/>
      <c r="CS299" s="18"/>
      <c r="CT299" s="18"/>
      <c r="CU299" s="18"/>
      <c r="CV299" s="18"/>
      <c r="CW299" s="18"/>
      <c r="CX299" s="18"/>
      <c r="CY299" s="18"/>
      <c r="CZ299" s="18"/>
      <c r="DA299" s="18"/>
      <c r="DB299" s="18"/>
      <c r="DC299" s="18"/>
      <c r="DD299" s="18"/>
      <c r="DE299" s="18"/>
      <c r="DF299" s="18"/>
      <c r="DG299" s="18"/>
      <c r="DH299" s="18"/>
      <c r="DI299" s="18"/>
      <c r="DJ299" s="18"/>
      <c r="DK299" s="18"/>
      <c r="DL299" s="18"/>
      <c r="DM299" s="18"/>
      <c r="DN299" s="18"/>
      <c r="DO299" s="18"/>
      <c r="DP299" s="18"/>
      <c r="DQ299" s="18"/>
      <c r="DR299" s="18"/>
      <c r="DS299" s="18"/>
      <c r="DT299" s="18"/>
      <c r="DU299" s="18"/>
      <c r="DV299" s="18"/>
      <c r="DW299" s="18"/>
      <c r="DX299" s="18"/>
      <c r="DY299" s="18"/>
      <c r="DZ299" s="18"/>
      <c r="EA299" s="18"/>
      <c r="EB299" s="18"/>
      <c r="EC299" s="18"/>
      <c r="ED299" s="18"/>
      <c r="EE299" s="18"/>
      <c r="EF299" s="18"/>
      <c r="EG299" s="18"/>
      <c r="EH299" s="18"/>
      <c r="EI299" s="18"/>
      <c r="EJ299" s="18"/>
      <c r="EK299" s="18"/>
      <c r="EL299" s="18"/>
      <c r="EM299" s="18"/>
      <c r="EN299" s="18"/>
      <c r="EO299" s="18"/>
      <c r="EP299" s="18"/>
      <c r="EQ299" s="18"/>
      <c r="ER299" s="18"/>
      <c r="ES299" s="18"/>
      <c r="ET299" s="18"/>
      <c r="EU299" s="18"/>
      <c r="EV299" s="18"/>
      <c r="EW299" s="18"/>
      <c r="EX299" s="18"/>
      <c r="EY299" s="18"/>
      <c r="EZ299" s="18"/>
      <c r="FA299" s="18"/>
      <c r="FB299" s="18"/>
      <c r="FC299" s="18"/>
      <c r="FD299" s="18"/>
      <c r="FE299" s="18"/>
      <c r="FF299" s="18"/>
      <c r="FG299" s="18"/>
      <c r="FH299" s="18"/>
      <c r="FI299" s="18"/>
      <c r="FJ299" s="18"/>
      <c r="FK299" s="18"/>
      <c r="FL299" s="18"/>
      <c r="FM299" s="18"/>
      <c r="FN299" s="18"/>
      <c r="FO299" s="18"/>
      <c r="FP299" s="18"/>
      <c r="FQ299" s="18"/>
      <c r="FR299" s="18"/>
    </row>
    <row r="300" spans="1:174" s="90" customFormat="1">
      <c r="A300" s="313"/>
      <c r="B300" s="313"/>
      <c r="C300" s="313"/>
      <c r="D300" s="454"/>
      <c r="E300" s="457"/>
      <c r="F300" s="456">
        <f>$F$43</f>
        <v>0</v>
      </c>
      <c r="G300" s="456"/>
      <c r="H300" s="456"/>
      <c r="I300" s="99"/>
      <c r="J300" s="99"/>
      <c r="K300" s="18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c r="CI300" s="18"/>
      <c r="CJ300" s="18"/>
      <c r="CK300" s="18"/>
      <c r="CL300" s="18"/>
      <c r="CM300" s="18"/>
      <c r="CN300" s="18"/>
      <c r="CO300" s="18"/>
      <c r="CP300" s="18"/>
      <c r="CQ300" s="18"/>
      <c r="CR300" s="18"/>
      <c r="CS300" s="18"/>
      <c r="CT300" s="18"/>
      <c r="CU300" s="18"/>
      <c r="CV300" s="18"/>
      <c r="CW300" s="18"/>
      <c r="CX300" s="18"/>
      <c r="CY300" s="18"/>
      <c r="CZ300" s="18"/>
      <c r="DA300" s="18"/>
      <c r="DB300" s="18"/>
      <c r="DC300" s="18"/>
      <c r="DD300" s="18"/>
      <c r="DE300" s="18"/>
      <c r="DF300" s="18"/>
      <c r="DG300" s="18"/>
      <c r="DH300" s="18"/>
      <c r="DI300" s="18"/>
      <c r="DJ300" s="18"/>
      <c r="DK300" s="18"/>
      <c r="DL300" s="18"/>
      <c r="DM300" s="18"/>
      <c r="DN300" s="18"/>
      <c r="DO300" s="18"/>
      <c r="DP300" s="18"/>
      <c r="DQ300" s="18"/>
      <c r="DR300" s="18"/>
      <c r="DS300" s="18"/>
      <c r="DT300" s="18"/>
      <c r="DU300" s="18"/>
      <c r="DV300" s="18"/>
      <c r="DW300" s="18"/>
      <c r="DX300" s="18"/>
      <c r="DY300" s="18"/>
      <c r="DZ300" s="18"/>
      <c r="EA300" s="18"/>
      <c r="EB300" s="18"/>
      <c r="EC300" s="18"/>
      <c r="ED300" s="18"/>
      <c r="EE300" s="18"/>
      <c r="EF300" s="18"/>
      <c r="EG300" s="18"/>
      <c r="EH300" s="18"/>
      <c r="EI300" s="18"/>
      <c r="EJ300" s="18"/>
      <c r="EK300" s="18"/>
      <c r="EL300" s="18"/>
      <c r="EM300" s="18"/>
      <c r="EN300" s="18"/>
      <c r="EO300" s="18"/>
      <c r="EP300" s="18"/>
      <c r="EQ300" s="18"/>
      <c r="ER300" s="18"/>
      <c r="ES300" s="18"/>
      <c r="ET300" s="18"/>
      <c r="EU300" s="18"/>
      <c r="EV300" s="18"/>
      <c r="EW300" s="18"/>
      <c r="EX300" s="18"/>
      <c r="EY300" s="18"/>
      <c r="EZ300" s="18"/>
      <c r="FA300" s="18"/>
      <c r="FB300" s="18"/>
      <c r="FC300" s="18"/>
      <c r="FD300" s="18"/>
      <c r="FE300" s="18"/>
      <c r="FF300" s="18"/>
      <c r="FG300" s="18"/>
      <c r="FH300" s="18"/>
      <c r="FI300" s="18"/>
      <c r="FJ300" s="18"/>
      <c r="FK300" s="18"/>
      <c r="FL300" s="18"/>
      <c r="FM300" s="18"/>
      <c r="FN300" s="18"/>
      <c r="FO300" s="18"/>
      <c r="FP300" s="18"/>
      <c r="FQ300" s="18"/>
      <c r="FR300" s="18"/>
    </row>
    <row r="301" spans="1:174" s="90" customFormat="1">
      <c r="A301" s="313"/>
      <c r="B301" s="313"/>
      <c r="C301" s="313"/>
      <c r="D301" s="454"/>
      <c r="E301" s="455" t="s">
        <v>53</v>
      </c>
      <c r="F301" s="456" t="str">
        <f>IF(F300=E302,F302,IF(F300=E303,F303,IF(F300=E304,F304,IF(F300=E305,F305,IF(F300=E306,F306,IF(F300=E307,F307,IF(F300=E308,F308,IF(F300=E309,F309,""))))))))</f>
        <v/>
      </c>
      <c r="G301" s="456"/>
      <c r="H301" s="456"/>
      <c r="I301" s="99"/>
      <c r="J301" s="99"/>
      <c r="K301" s="18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c r="CA301" s="18"/>
      <c r="CB301" s="18"/>
      <c r="CC301" s="18"/>
      <c r="CD301" s="18"/>
      <c r="CE301" s="18"/>
      <c r="CF301" s="18"/>
      <c r="CG301" s="18"/>
      <c r="CH301" s="18"/>
      <c r="CI301" s="18"/>
      <c r="CJ301" s="18"/>
      <c r="CK301" s="18"/>
      <c r="CL301" s="18"/>
      <c r="CM301" s="18"/>
      <c r="CN301" s="18"/>
      <c r="CO301" s="18"/>
      <c r="CP301" s="18"/>
      <c r="CQ301" s="18"/>
      <c r="CR301" s="18"/>
      <c r="CS301" s="18"/>
      <c r="CT301" s="18"/>
      <c r="CU301" s="18"/>
      <c r="CV301" s="18"/>
      <c r="CW301" s="18"/>
      <c r="CX301" s="18"/>
      <c r="CY301" s="18"/>
      <c r="CZ301" s="18"/>
      <c r="DA301" s="18"/>
      <c r="DB301" s="18"/>
      <c r="DC301" s="18"/>
      <c r="DD301" s="18"/>
      <c r="DE301" s="18"/>
      <c r="DF301" s="18"/>
      <c r="DG301" s="18"/>
      <c r="DH301" s="18"/>
      <c r="DI301" s="18"/>
      <c r="DJ301" s="18"/>
      <c r="DK301" s="18"/>
      <c r="DL301" s="18"/>
      <c r="DM301" s="18"/>
      <c r="DN301" s="18"/>
      <c r="DO301" s="18"/>
      <c r="DP301" s="18"/>
      <c r="DQ301" s="18"/>
      <c r="DR301" s="18"/>
      <c r="DS301" s="18"/>
      <c r="DT301" s="18"/>
      <c r="DU301" s="18"/>
      <c r="DV301" s="18"/>
      <c r="DW301" s="18"/>
      <c r="DX301" s="18"/>
      <c r="DY301" s="18"/>
      <c r="DZ301" s="18"/>
      <c r="EA301" s="18"/>
      <c r="EB301" s="18"/>
      <c r="EC301" s="18"/>
      <c r="ED301" s="18"/>
      <c r="EE301" s="18"/>
      <c r="EF301" s="18"/>
      <c r="EG301" s="18"/>
      <c r="EH301" s="18"/>
      <c r="EI301" s="18"/>
      <c r="EJ301" s="18"/>
      <c r="EK301" s="18"/>
      <c r="EL301" s="18"/>
      <c r="EM301" s="18"/>
      <c r="EN301" s="18"/>
      <c r="EO301" s="18"/>
      <c r="EP301" s="18"/>
      <c r="EQ301" s="18"/>
      <c r="ER301" s="18"/>
      <c r="ES301" s="18"/>
      <c r="ET301" s="18"/>
      <c r="EU301" s="18"/>
      <c r="EV301" s="18"/>
      <c r="EW301" s="18"/>
      <c r="EX301" s="18"/>
      <c r="EY301" s="18"/>
      <c r="EZ301" s="18"/>
      <c r="FA301" s="18"/>
      <c r="FB301" s="18"/>
      <c r="FC301" s="18"/>
      <c r="FD301" s="18"/>
      <c r="FE301" s="18"/>
      <c r="FF301" s="18"/>
      <c r="FG301" s="18"/>
      <c r="FH301" s="18"/>
      <c r="FI301" s="18"/>
      <c r="FJ301" s="18"/>
      <c r="FK301" s="18"/>
      <c r="FL301" s="18"/>
      <c r="FM301" s="18"/>
      <c r="FN301" s="18"/>
      <c r="FO301" s="18"/>
      <c r="FP301" s="18"/>
      <c r="FQ301" s="18"/>
      <c r="FR301" s="18"/>
    </row>
    <row r="302" spans="1:174" s="90" customFormat="1">
      <c r="A302" s="313"/>
      <c r="B302" s="313"/>
      <c r="C302" s="313"/>
      <c r="D302" s="454"/>
      <c r="E302" s="460" t="s">
        <v>4173</v>
      </c>
      <c r="F302" s="456" t="s">
        <v>1544</v>
      </c>
      <c r="G302" s="456"/>
      <c r="H302" s="456"/>
      <c r="I302" s="99"/>
      <c r="J302" s="99"/>
      <c r="K302" s="18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c r="CJ302" s="18"/>
      <c r="CK302" s="18"/>
      <c r="CL302" s="18"/>
      <c r="CM302" s="18"/>
      <c r="CN302" s="18"/>
      <c r="CO302" s="18"/>
      <c r="CP302" s="18"/>
      <c r="CQ302" s="18"/>
      <c r="CR302" s="18"/>
      <c r="CS302" s="18"/>
      <c r="CT302" s="18"/>
      <c r="CU302" s="18"/>
      <c r="CV302" s="18"/>
      <c r="CW302" s="18"/>
      <c r="CX302" s="18"/>
      <c r="CY302" s="18"/>
      <c r="CZ302" s="18"/>
      <c r="DA302" s="18"/>
      <c r="DB302" s="18"/>
      <c r="DC302" s="18"/>
      <c r="DD302" s="18"/>
      <c r="DE302" s="18"/>
      <c r="DF302" s="18"/>
      <c r="DG302" s="18"/>
      <c r="DH302" s="18"/>
      <c r="DI302" s="18"/>
      <c r="DJ302" s="18"/>
      <c r="DK302" s="18"/>
      <c r="DL302" s="18"/>
      <c r="DM302" s="18"/>
      <c r="DN302" s="18"/>
      <c r="DO302" s="18"/>
      <c r="DP302" s="18"/>
      <c r="DQ302" s="18"/>
      <c r="DR302" s="18"/>
      <c r="DS302" s="18"/>
      <c r="DT302" s="18"/>
      <c r="DU302" s="18"/>
      <c r="DV302" s="18"/>
      <c r="DW302" s="18"/>
      <c r="DX302" s="18"/>
      <c r="DY302" s="18"/>
      <c r="DZ302" s="18"/>
      <c r="EA302" s="18"/>
      <c r="EB302" s="18"/>
      <c r="EC302" s="18"/>
      <c r="ED302" s="18"/>
      <c r="EE302" s="18"/>
      <c r="EF302" s="18"/>
      <c r="EG302" s="18"/>
      <c r="EH302" s="18"/>
      <c r="EI302" s="18"/>
      <c r="EJ302" s="18"/>
      <c r="EK302" s="18"/>
      <c r="EL302" s="18"/>
      <c r="EM302" s="18"/>
      <c r="EN302" s="18"/>
      <c r="EO302" s="18"/>
      <c r="EP302" s="18"/>
      <c r="EQ302" s="18"/>
      <c r="ER302" s="18"/>
      <c r="ES302" s="18"/>
      <c r="ET302" s="18"/>
      <c r="EU302" s="18"/>
      <c r="EV302" s="18"/>
      <c r="EW302" s="18"/>
      <c r="EX302" s="18"/>
      <c r="EY302" s="18"/>
      <c r="EZ302" s="18"/>
      <c r="FA302" s="18"/>
      <c r="FB302" s="18"/>
      <c r="FC302" s="18"/>
      <c r="FD302" s="18"/>
      <c r="FE302" s="18"/>
      <c r="FF302" s="18"/>
      <c r="FG302" s="18"/>
      <c r="FH302" s="18"/>
      <c r="FI302" s="18"/>
      <c r="FJ302" s="18"/>
      <c r="FK302" s="18"/>
      <c r="FL302" s="18"/>
      <c r="FM302" s="18"/>
      <c r="FN302" s="18"/>
      <c r="FO302" s="18"/>
      <c r="FP302" s="18"/>
      <c r="FQ302" s="18"/>
      <c r="FR302" s="18"/>
    </row>
    <row r="303" spans="1:174" s="90" customFormat="1">
      <c r="A303" s="313"/>
      <c r="B303" s="313"/>
      <c r="C303" s="313"/>
      <c r="D303" s="454"/>
      <c r="E303" s="460" t="s">
        <v>48</v>
      </c>
      <c r="F303" s="456" t="s">
        <v>189</v>
      </c>
      <c r="G303" s="456"/>
      <c r="H303" s="456"/>
      <c r="I303" s="99"/>
      <c r="J303" s="99"/>
      <c r="K303" s="18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c r="CA303" s="18"/>
      <c r="CB303" s="18"/>
      <c r="CC303" s="18"/>
      <c r="CD303" s="18"/>
      <c r="CE303" s="18"/>
      <c r="CF303" s="18"/>
      <c r="CG303" s="18"/>
      <c r="CH303" s="18"/>
      <c r="CI303" s="18"/>
      <c r="CJ303" s="18"/>
      <c r="CK303" s="18"/>
      <c r="CL303" s="18"/>
      <c r="CM303" s="18"/>
      <c r="CN303" s="18"/>
      <c r="CO303" s="18"/>
      <c r="CP303" s="18"/>
      <c r="CQ303" s="18"/>
      <c r="CR303" s="18"/>
      <c r="CS303" s="18"/>
      <c r="CT303" s="18"/>
      <c r="CU303" s="18"/>
      <c r="CV303" s="18"/>
      <c r="CW303" s="18"/>
      <c r="CX303" s="18"/>
      <c r="CY303" s="18"/>
      <c r="CZ303" s="18"/>
      <c r="DA303" s="18"/>
      <c r="DB303" s="18"/>
      <c r="DC303" s="18"/>
      <c r="DD303" s="18"/>
      <c r="DE303" s="18"/>
      <c r="DF303" s="18"/>
      <c r="DG303" s="18"/>
      <c r="DH303" s="18"/>
      <c r="DI303" s="18"/>
      <c r="DJ303" s="18"/>
      <c r="DK303" s="18"/>
      <c r="DL303" s="18"/>
      <c r="DM303" s="18"/>
      <c r="DN303" s="18"/>
      <c r="DO303" s="18"/>
      <c r="DP303" s="18"/>
      <c r="DQ303" s="18"/>
      <c r="DR303" s="18"/>
      <c r="DS303" s="18"/>
      <c r="DT303" s="18"/>
      <c r="DU303" s="18"/>
      <c r="DV303" s="18"/>
      <c r="DW303" s="18"/>
      <c r="DX303" s="18"/>
      <c r="DY303" s="18"/>
      <c r="DZ303" s="18"/>
      <c r="EA303" s="18"/>
      <c r="EB303" s="18"/>
      <c r="EC303" s="18"/>
      <c r="ED303" s="18"/>
      <c r="EE303" s="18"/>
      <c r="EF303" s="18"/>
      <c r="EG303" s="18"/>
      <c r="EH303" s="18"/>
      <c r="EI303" s="18"/>
      <c r="EJ303" s="18"/>
      <c r="EK303" s="18"/>
      <c r="EL303" s="18"/>
      <c r="EM303" s="18"/>
      <c r="EN303" s="18"/>
      <c r="EO303" s="18"/>
      <c r="EP303" s="18"/>
      <c r="EQ303" s="18"/>
      <c r="ER303" s="18"/>
      <c r="ES303" s="18"/>
      <c r="ET303" s="18"/>
      <c r="EU303" s="18"/>
      <c r="EV303" s="18"/>
      <c r="EW303" s="18"/>
      <c r="EX303" s="18"/>
      <c r="EY303" s="18"/>
      <c r="EZ303" s="18"/>
      <c r="FA303" s="18"/>
      <c r="FB303" s="18"/>
      <c r="FC303" s="18"/>
      <c r="FD303" s="18"/>
      <c r="FE303" s="18"/>
      <c r="FF303" s="18"/>
      <c r="FG303" s="18"/>
      <c r="FH303" s="18"/>
      <c r="FI303" s="18"/>
      <c r="FJ303" s="18"/>
      <c r="FK303" s="18"/>
      <c r="FL303" s="18"/>
      <c r="FM303" s="18"/>
      <c r="FN303" s="18"/>
      <c r="FO303" s="18"/>
      <c r="FP303" s="18"/>
      <c r="FQ303" s="18"/>
      <c r="FR303" s="18"/>
    </row>
    <row r="304" spans="1:174" s="90" customFormat="1">
      <c r="A304" s="313"/>
      <c r="B304" s="313"/>
      <c r="C304" s="313"/>
      <c r="D304" s="454"/>
      <c r="E304" s="460" t="s">
        <v>49</v>
      </c>
      <c r="F304" s="456" t="s">
        <v>1718</v>
      </c>
      <c r="G304" s="456"/>
      <c r="H304" s="456"/>
      <c r="I304" s="99"/>
      <c r="J304" s="99"/>
      <c r="K304" s="18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c r="CA304" s="18"/>
      <c r="CB304" s="18"/>
      <c r="CC304" s="18"/>
      <c r="CD304" s="18"/>
      <c r="CE304" s="18"/>
      <c r="CF304" s="18"/>
      <c r="CG304" s="18"/>
      <c r="CH304" s="18"/>
      <c r="CI304" s="18"/>
      <c r="CJ304" s="18"/>
      <c r="CK304" s="18"/>
      <c r="CL304" s="18"/>
      <c r="CM304" s="18"/>
      <c r="CN304" s="18"/>
      <c r="CO304" s="18"/>
      <c r="CP304" s="18"/>
      <c r="CQ304" s="18"/>
      <c r="CR304" s="18"/>
      <c r="CS304" s="18"/>
      <c r="CT304" s="18"/>
      <c r="CU304" s="18"/>
      <c r="CV304" s="18"/>
      <c r="CW304" s="18"/>
      <c r="CX304" s="18"/>
      <c r="CY304" s="18"/>
      <c r="CZ304" s="18"/>
      <c r="DA304" s="18"/>
      <c r="DB304" s="18"/>
      <c r="DC304" s="18"/>
      <c r="DD304" s="18"/>
      <c r="DE304" s="18"/>
      <c r="DF304" s="18"/>
      <c r="DG304" s="18"/>
      <c r="DH304" s="18"/>
      <c r="DI304" s="18"/>
      <c r="DJ304" s="18"/>
      <c r="DK304" s="18"/>
      <c r="DL304" s="18"/>
      <c r="DM304" s="18"/>
      <c r="DN304" s="18"/>
      <c r="DO304" s="18"/>
      <c r="DP304" s="18"/>
      <c r="DQ304" s="18"/>
      <c r="DR304" s="18"/>
      <c r="DS304" s="18"/>
      <c r="DT304" s="18"/>
      <c r="DU304" s="18"/>
      <c r="DV304" s="18"/>
      <c r="DW304" s="18"/>
      <c r="DX304" s="18"/>
      <c r="DY304" s="18"/>
      <c r="DZ304" s="18"/>
      <c r="EA304" s="18"/>
      <c r="EB304" s="18"/>
      <c r="EC304" s="18"/>
      <c r="ED304" s="18"/>
      <c r="EE304" s="18"/>
      <c r="EF304" s="18"/>
      <c r="EG304" s="18"/>
      <c r="EH304" s="18"/>
      <c r="EI304" s="18"/>
      <c r="EJ304" s="18"/>
      <c r="EK304" s="18"/>
      <c r="EL304" s="18"/>
      <c r="EM304" s="18"/>
      <c r="EN304" s="18"/>
      <c r="EO304" s="18"/>
      <c r="EP304" s="18"/>
      <c r="EQ304" s="18"/>
      <c r="ER304" s="18"/>
      <c r="ES304" s="18"/>
      <c r="ET304" s="18"/>
      <c r="EU304" s="18"/>
      <c r="EV304" s="18"/>
      <c r="EW304" s="18"/>
      <c r="EX304" s="18"/>
      <c r="EY304" s="18"/>
      <c r="EZ304" s="18"/>
      <c r="FA304" s="18"/>
      <c r="FB304" s="18"/>
      <c r="FC304" s="18"/>
      <c r="FD304" s="18"/>
      <c r="FE304" s="18"/>
      <c r="FF304" s="18"/>
      <c r="FG304" s="18"/>
      <c r="FH304" s="18"/>
      <c r="FI304" s="18"/>
      <c r="FJ304" s="18"/>
      <c r="FK304" s="18"/>
      <c r="FL304" s="18"/>
      <c r="FM304" s="18"/>
      <c r="FN304" s="18"/>
      <c r="FO304" s="18"/>
      <c r="FP304" s="18"/>
      <c r="FQ304" s="18"/>
      <c r="FR304" s="18"/>
    </row>
    <row r="305" spans="1:174" s="90" customFormat="1">
      <c r="A305" s="313"/>
      <c r="B305" s="313"/>
      <c r="C305" s="313"/>
      <c r="D305" s="454"/>
      <c r="E305" s="457" t="s">
        <v>51</v>
      </c>
      <c r="F305" s="456" t="s">
        <v>2390</v>
      </c>
      <c r="G305" s="456"/>
      <c r="H305" s="456"/>
      <c r="I305" s="99"/>
      <c r="J305" s="99"/>
      <c r="K305" s="18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c r="CM305" s="18"/>
      <c r="CN305" s="18"/>
      <c r="CO305" s="18"/>
      <c r="CP305" s="18"/>
      <c r="CQ305" s="18"/>
      <c r="CR305" s="18"/>
      <c r="CS305" s="18"/>
      <c r="CT305" s="18"/>
      <c r="CU305" s="18"/>
      <c r="CV305" s="18"/>
      <c r="CW305" s="18"/>
      <c r="CX305" s="18"/>
      <c r="CY305" s="18"/>
      <c r="CZ305" s="18"/>
      <c r="DA305" s="18"/>
      <c r="DB305" s="18"/>
      <c r="DC305" s="18"/>
      <c r="DD305" s="18"/>
      <c r="DE305" s="18"/>
      <c r="DF305" s="18"/>
      <c r="DG305" s="18"/>
      <c r="DH305" s="18"/>
      <c r="DI305" s="18"/>
      <c r="DJ305" s="18"/>
      <c r="DK305" s="18"/>
      <c r="DL305" s="18"/>
      <c r="DM305" s="18"/>
      <c r="DN305" s="18"/>
      <c r="DO305" s="18"/>
      <c r="DP305" s="18"/>
      <c r="DQ305" s="18"/>
      <c r="DR305" s="18"/>
      <c r="DS305" s="18"/>
      <c r="DT305" s="18"/>
      <c r="DU305" s="18"/>
      <c r="DV305" s="18"/>
      <c r="DW305" s="18"/>
      <c r="DX305" s="18"/>
      <c r="DY305" s="18"/>
      <c r="DZ305" s="18"/>
      <c r="EA305" s="18"/>
      <c r="EB305" s="18"/>
      <c r="EC305" s="18"/>
      <c r="ED305" s="18"/>
      <c r="EE305" s="18"/>
      <c r="EF305" s="18"/>
      <c r="EG305" s="18"/>
      <c r="EH305" s="18"/>
      <c r="EI305" s="18"/>
      <c r="EJ305" s="18"/>
      <c r="EK305" s="18"/>
      <c r="EL305" s="18"/>
      <c r="EM305" s="18"/>
      <c r="EN305" s="18"/>
      <c r="EO305" s="18"/>
      <c r="EP305" s="18"/>
      <c r="EQ305" s="18"/>
      <c r="ER305" s="18"/>
      <c r="ES305" s="18"/>
      <c r="ET305" s="18"/>
      <c r="EU305" s="18"/>
      <c r="EV305" s="18"/>
      <c r="EW305" s="18"/>
      <c r="EX305" s="18"/>
      <c r="EY305" s="18"/>
      <c r="EZ305" s="18"/>
      <c r="FA305" s="18"/>
      <c r="FB305" s="18"/>
      <c r="FC305" s="18"/>
      <c r="FD305" s="18"/>
      <c r="FE305" s="18"/>
      <c r="FF305" s="18"/>
      <c r="FG305" s="18"/>
      <c r="FH305" s="18"/>
      <c r="FI305" s="18"/>
      <c r="FJ305" s="18"/>
      <c r="FK305" s="18"/>
      <c r="FL305" s="18"/>
      <c r="FM305" s="18"/>
      <c r="FN305" s="18"/>
      <c r="FO305" s="18"/>
      <c r="FP305" s="18"/>
      <c r="FQ305" s="18"/>
      <c r="FR305" s="18"/>
    </row>
    <row r="306" spans="1:174" s="90" customFormat="1">
      <c r="A306" s="313"/>
      <c r="B306" s="313"/>
      <c r="C306" s="313"/>
      <c r="D306" s="454"/>
      <c r="E306" s="457" t="s">
        <v>52</v>
      </c>
      <c r="F306" s="456" t="s">
        <v>1548</v>
      </c>
      <c r="G306" s="456"/>
      <c r="H306" s="456"/>
      <c r="I306" s="99"/>
      <c r="J306" s="99"/>
      <c r="K306" s="18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8"/>
      <c r="DI306" s="18"/>
      <c r="DJ306" s="18"/>
      <c r="DK306" s="18"/>
      <c r="DL306" s="18"/>
      <c r="DM306" s="18"/>
      <c r="DN306" s="18"/>
      <c r="DO306" s="18"/>
      <c r="DP306" s="18"/>
      <c r="DQ306" s="18"/>
      <c r="DR306" s="18"/>
      <c r="DS306" s="18"/>
      <c r="DT306" s="18"/>
      <c r="DU306" s="18"/>
      <c r="DV306" s="18"/>
      <c r="DW306" s="18"/>
      <c r="DX306" s="18"/>
      <c r="DY306" s="18"/>
      <c r="DZ306" s="18"/>
      <c r="EA306" s="18"/>
      <c r="EB306" s="18"/>
      <c r="EC306" s="18"/>
      <c r="ED306" s="18"/>
      <c r="EE306" s="18"/>
      <c r="EF306" s="18"/>
      <c r="EG306" s="18"/>
      <c r="EH306" s="18"/>
      <c r="EI306" s="18"/>
      <c r="EJ306" s="18"/>
      <c r="EK306" s="18"/>
      <c r="EL306" s="18"/>
      <c r="EM306" s="18"/>
      <c r="EN306" s="18"/>
      <c r="EO306" s="18"/>
      <c r="EP306" s="18"/>
      <c r="EQ306" s="18"/>
      <c r="ER306" s="18"/>
      <c r="ES306" s="18"/>
      <c r="ET306" s="18"/>
      <c r="EU306" s="18"/>
      <c r="EV306" s="18"/>
      <c r="EW306" s="18"/>
      <c r="EX306" s="18"/>
      <c r="EY306" s="18"/>
      <c r="EZ306" s="18"/>
      <c r="FA306" s="18"/>
      <c r="FB306" s="18"/>
      <c r="FC306" s="18"/>
      <c r="FD306" s="18"/>
      <c r="FE306" s="18"/>
      <c r="FF306" s="18"/>
      <c r="FG306" s="18"/>
      <c r="FH306" s="18"/>
      <c r="FI306" s="18"/>
      <c r="FJ306" s="18"/>
      <c r="FK306" s="18"/>
      <c r="FL306" s="18"/>
      <c r="FM306" s="18"/>
      <c r="FN306" s="18"/>
      <c r="FO306" s="18"/>
      <c r="FP306" s="18"/>
      <c r="FQ306" s="18"/>
      <c r="FR306" s="18"/>
    </row>
    <row r="307" spans="1:174" s="90" customFormat="1">
      <c r="A307" s="313"/>
      <c r="B307" s="313"/>
      <c r="C307" s="313"/>
      <c r="D307" s="454"/>
      <c r="E307" s="457" t="s">
        <v>50</v>
      </c>
      <c r="F307" s="456" t="s">
        <v>1577</v>
      </c>
      <c r="G307" s="456"/>
      <c r="H307" s="456"/>
      <c r="I307" s="99"/>
      <c r="J307" s="99"/>
      <c r="K307" s="18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c r="CZ307" s="18"/>
      <c r="DA307" s="18"/>
      <c r="DB307" s="18"/>
      <c r="DC307" s="18"/>
      <c r="DD307" s="18"/>
      <c r="DE307" s="18"/>
      <c r="DF307" s="18"/>
      <c r="DG307" s="18"/>
      <c r="DH307" s="18"/>
      <c r="DI307" s="18"/>
      <c r="DJ307" s="18"/>
      <c r="DK307" s="18"/>
      <c r="DL307" s="18"/>
      <c r="DM307" s="18"/>
      <c r="DN307" s="18"/>
      <c r="DO307" s="18"/>
      <c r="DP307" s="18"/>
      <c r="DQ307" s="18"/>
      <c r="DR307" s="18"/>
      <c r="DS307" s="18"/>
      <c r="DT307" s="18"/>
      <c r="DU307" s="18"/>
      <c r="DV307" s="18"/>
      <c r="DW307" s="18"/>
      <c r="DX307" s="18"/>
      <c r="DY307" s="18"/>
      <c r="DZ307" s="18"/>
      <c r="EA307" s="18"/>
      <c r="EB307" s="18"/>
      <c r="EC307" s="18"/>
      <c r="ED307" s="18"/>
      <c r="EE307" s="18"/>
      <c r="EF307" s="18"/>
      <c r="EG307" s="18"/>
      <c r="EH307" s="18"/>
      <c r="EI307" s="18"/>
      <c r="EJ307" s="18"/>
      <c r="EK307" s="18"/>
      <c r="EL307" s="18"/>
      <c r="EM307" s="18"/>
      <c r="EN307" s="18"/>
      <c r="EO307" s="18"/>
      <c r="EP307" s="18"/>
      <c r="EQ307" s="18"/>
      <c r="ER307" s="18"/>
      <c r="ES307" s="18"/>
      <c r="ET307" s="18"/>
      <c r="EU307" s="18"/>
      <c r="EV307" s="18"/>
      <c r="EW307" s="18"/>
      <c r="EX307" s="18"/>
      <c r="EY307" s="18"/>
      <c r="EZ307" s="18"/>
      <c r="FA307" s="18"/>
      <c r="FB307" s="18"/>
      <c r="FC307" s="18"/>
      <c r="FD307" s="18"/>
      <c r="FE307" s="18"/>
      <c r="FF307" s="18"/>
      <c r="FG307" s="18"/>
      <c r="FH307" s="18"/>
      <c r="FI307" s="18"/>
      <c r="FJ307" s="18"/>
      <c r="FK307" s="18"/>
      <c r="FL307" s="18"/>
      <c r="FM307" s="18"/>
      <c r="FN307" s="18"/>
      <c r="FO307" s="18"/>
      <c r="FP307" s="18"/>
      <c r="FQ307" s="18"/>
      <c r="FR307" s="18"/>
    </row>
    <row r="308" spans="1:174" s="90" customFormat="1">
      <c r="A308" s="313"/>
      <c r="B308" s="313"/>
      <c r="C308" s="313"/>
      <c r="D308" s="454"/>
      <c r="E308" s="457" t="s">
        <v>43</v>
      </c>
      <c r="F308" s="456" t="s">
        <v>1977</v>
      </c>
      <c r="G308" s="456"/>
      <c r="H308" s="456"/>
      <c r="I308" s="99"/>
      <c r="J308" s="99"/>
      <c r="K308" s="18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c r="CJ308" s="18"/>
      <c r="CK308" s="18"/>
      <c r="CL308" s="18"/>
      <c r="CM308" s="18"/>
      <c r="CN308" s="18"/>
      <c r="CO308" s="18"/>
      <c r="CP308" s="18"/>
      <c r="CQ308" s="18"/>
      <c r="CR308" s="18"/>
      <c r="CS308" s="18"/>
      <c r="CT308" s="18"/>
      <c r="CU308" s="18"/>
      <c r="CV308" s="18"/>
      <c r="CW308" s="18"/>
      <c r="CX308" s="18"/>
      <c r="CY308" s="18"/>
      <c r="CZ308" s="18"/>
      <c r="DA308" s="18"/>
      <c r="DB308" s="18"/>
      <c r="DC308" s="18"/>
      <c r="DD308" s="18"/>
      <c r="DE308" s="18"/>
      <c r="DF308" s="18"/>
      <c r="DG308" s="18"/>
      <c r="DH308" s="18"/>
      <c r="DI308" s="18"/>
      <c r="DJ308" s="18"/>
      <c r="DK308" s="18"/>
      <c r="DL308" s="18"/>
      <c r="DM308" s="18"/>
      <c r="DN308" s="18"/>
      <c r="DO308" s="18"/>
      <c r="DP308" s="18"/>
      <c r="DQ308" s="18"/>
      <c r="DR308" s="18"/>
      <c r="DS308" s="18"/>
      <c r="DT308" s="18"/>
      <c r="DU308" s="18"/>
      <c r="DV308" s="18"/>
      <c r="DW308" s="18"/>
      <c r="DX308" s="18"/>
      <c r="DY308" s="18"/>
      <c r="DZ308" s="18"/>
      <c r="EA308" s="18"/>
      <c r="EB308" s="18"/>
      <c r="EC308" s="18"/>
      <c r="ED308" s="18"/>
      <c r="EE308" s="18"/>
      <c r="EF308" s="18"/>
      <c r="EG308" s="18"/>
      <c r="EH308" s="18"/>
      <c r="EI308" s="18"/>
      <c r="EJ308" s="18"/>
      <c r="EK308" s="18"/>
      <c r="EL308" s="18"/>
      <c r="EM308" s="18"/>
      <c r="EN308" s="18"/>
      <c r="EO308" s="18"/>
      <c r="EP308" s="18"/>
      <c r="EQ308" s="18"/>
      <c r="ER308" s="18"/>
      <c r="ES308" s="18"/>
      <c r="ET308" s="18"/>
      <c r="EU308" s="18"/>
      <c r="EV308" s="18"/>
      <c r="EW308" s="18"/>
      <c r="EX308" s="18"/>
      <c r="EY308" s="18"/>
      <c r="EZ308" s="18"/>
      <c r="FA308" s="18"/>
      <c r="FB308" s="18"/>
      <c r="FC308" s="18"/>
      <c r="FD308" s="18"/>
      <c r="FE308" s="18"/>
      <c r="FF308" s="18"/>
      <c r="FG308" s="18"/>
      <c r="FH308" s="18"/>
      <c r="FI308" s="18"/>
      <c r="FJ308" s="18"/>
      <c r="FK308" s="18"/>
      <c r="FL308" s="18"/>
      <c r="FM308" s="18"/>
      <c r="FN308" s="18"/>
      <c r="FO308" s="18"/>
      <c r="FP308" s="18"/>
      <c r="FQ308" s="18"/>
      <c r="FR308" s="18"/>
    </row>
    <row r="309" spans="1:174" s="90" customFormat="1">
      <c r="A309" s="313"/>
      <c r="B309" s="313"/>
      <c r="C309" s="313"/>
      <c r="D309" s="454"/>
      <c r="E309" s="456" t="s">
        <v>2133</v>
      </c>
      <c r="F309" s="456" t="s">
        <v>2133</v>
      </c>
      <c r="G309" s="456"/>
      <c r="H309" s="456"/>
      <c r="I309" s="99"/>
      <c r="J309" s="99"/>
      <c r="K309" s="18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c r="CJ309" s="18"/>
      <c r="CK309" s="18"/>
      <c r="CL309" s="18"/>
      <c r="CM309" s="18"/>
      <c r="CN309" s="18"/>
      <c r="CO309" s="18"/>
      <c r="CP309" s="18"/>
      <c r="CQ309" s="18"/>
      <c r="CR309" s="18"/>
      <c r="CS309" s="18"/>
      <c r="CT309" s="18"/>
      <c r="CU309" s="18"/>
      <c r="CV309" s="18"/>
      <c r="CW309" s="18"/>
      <c r="CX309" s="18"/>
      <c r="CY309" s="18"/>
      <c r="CZ309" s="18"/>
      <c r="DA309" s="18"/>
      <c r="DB309" s="18"/>
      <c r="DC309" s="18"/>
      <c r="DD309" s="18"/>
      <c r="DE309" s="18"/>
      <c r="DF309" s="18"/>
      <c r="DG309" s="18"/>
      <c r="DH309" s="18"/>
      <c r="DI309" s="18"/>
      <c r="DJ309" s="18"/>
      <c r="DK309" s="18"/>
      <c r="DL309" s="18"/>
      <c r="DM309" s="18"/>
      <c r="DN309" s="18"/>
      <c r="DO309" s="18"/>
      <c r="DP309" s="18"/>
      <c r="DQ309" s="18"/>
      <c r="DR309" s="18"/>
      <c r="DS309" s="18"/>
      <c r="DT309" s="18"/>
      <c r="DU309" s="18"/>
      <c r="DV309" s="18"/>
      <c r="DW309" s="18"/>
      <c r="DX309" s="18"/>
      <c r="DY309" s="18"/>
      <c r="DZ309" s="18"/>
      <c r="EA309" s="18"/>
      <c r="EB309" s="18"/>
      <c r="EC309" s="18"/>
      <c r="ED309" s="18"/>
      <c r="EE309" s="18"/>
      <c r="EF309" s="18"/>
      <c r="EG309" s="18"/>
      <c r="EH309" s="18"/>
      <c r="EI309" s="18"/>
      <c r="EJ309" s="18"/>
      <c r="EK309" s="18"/>
      <c r="EL309" s="18"/>
      <c r="EM309" s="18"/>
      <c r="EN309" s="18"/>
      <c r="EO309" s="18"/>
      <c r="EP309" s="18"/>
      <c r="EQ309" s="18"/>
      <c r="ER309" s="18"/>
      <c r="ES309" s="18"/>
      <c r="ET309" s="18"/>
      <c r="EU309" s="18"/>
      <c r="EV309" s="18"/>
      <c r="EW309" s="18"/>
      <c r="EX309" s="18"/>
      <c r="EY309" s="18"/>
      <c r="EZ309" s="18"/>
      <c r="FA309" s="18"/>
      <c r="FB309" s="18"/>
      <c r="FC309" s="18"/>
      <c r="FD309" s="18"/>
      <c r="FE309" s="18"/>
      <c r="FF309" s="18"/>
      <c r="FG309" s="18"/>
      <c r="FH309" s="18"/>
      <c r="FI309" s="18"/>
      <c r="FJ309" s="18"/>
      <c r="FK309" s="18"/>
      <c r="FL309" s="18"/>
      <c r="FM309" s="18"/>
      <c r="FN309" s="18"/>
      <c r="FO309" s="18"/>
      <c r="FP309" s="18"/>
      <c r="FQ309" s="18"/>
      <c r="FR309" s="18"/>
    </row>
    <row r="310" spans="1:174" s="90" customFormat="1">
      <c r="A310" s="313"/>
      <c r="B310" s="313"/>
      <c r="C310" s="313"/>
      <c r="D310" s="454"/>
      <c r="E310" s="457"/>
      <c r="F310" s="456"/>
      <c r="G310" s="456"/>
      <c r="H310" s="456"/>
      <c r="I310" s="99"/>
      <c r="J310" s="99"/>
      <c r="K310" s="18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c r="CA310" s="18"/>
      <c r="CB310" s="18"/>
      <c r="CC310" s="18"/>
      <c r="CD310" s="18"/>
      <c r="CE310" s="18"/>
      <c r="CF310" s="18"/>
      <c r="CG310" s="18"/>
      <c r="CH310" s="18"/>
      <c r="CI310" s="18"/>
      <c r="CJ310" s="18"/>
      <c r="CK310" s="18"/>
      <c r="CL310" s="18"/>
      <c r="CM310" s="18"/>
      <c r="CN310" s="18"/>
      <c r="CO310" s="18"/>
      <c r="CP310" s="18"/>
      <c r="CQ310" s="18"/>
      <c r="CR310" s="18"/>
      <c r="CS310" s="18"/>
      <c r="CT310" s="18"/>
      <c r="CU310" s="18"/>
      <c r="CV310" s="18"/>
      <c r="CW310" s="18"/>
      <c r="CX310" s="18"/>
      <c r="CY310" s="18"/>
      <c r="CZ310" s="18"/>
      <c r="DA310" s="18"/>
      <c r="DB310" s="18"/>
      <c r="DC310" s="18"/>
      <c r="DD310" s="18"/>
      <c r="DE310" s="18"/>
      <c r="DF310" s="18"/>
      <c r="DG310" s="18"/>
      <c r="DH310" s="18"/>
      <c r="DI310" s="18"/>
      <c r="DJ310" s="18"/>
      <c r="DK310" s="18"/>
      <c r="DL310" s="18"/>
      <c r="DM310" s="18"/>
      <c r="DN310" s="18"/>
      <c r="DO310" s="18"/>
      <c r="DP310" s="18"/>
      <c r="DQ310" s="18"/>
      <c r="DR310" s="18"/>
      <c r="DS310" s="18"/>
      <c r="DT310" s="18"/>
      <c r="DU310" s="18"/>
      <c r="DV310" s="18"/>
      <c r="DW310" s="18"/>
      <c r="DX310" s="18"/>
      <c r="DY310" s="18"/>
      <c r="DZ310" s="18"/>
      <c r="EA310" s="18"/>
      <c r="EB310" s="18"/>
      <c r="EC310" s="18"/>
      <c r="ED310" s="18"/>
      <c r="EE310" s="18"/>
      <c r="EF310" s="18"/>
      <c r="EG310" s="18"/>
      <c r="EH310" s="18"/>
      <c r="EI310" s="18"/>
      <c r="EJ310" s="18"/>
      <c r="EK310" s="18"/>
      <c r="EL310" s="18"/>
      <c r="EM310" s="18"/>
      <c r="EN310" s="18"/>
      <c r="EO310" s="18"/>
      <c r="EP310" s="18"/>
      <c r="EQ310" s="18"/>
      <c r="ER310" s="18"/>
      <c r="ES310" s="18"/>
      <c r="ET310" s="18"/>
      <c r="EU310" s="18"/>
      <c r="EV310" s="18"/>
      <c r="EW310" s="18"/>
      <c r="EX310" s="18"/>
      <c r="EY310" s="18"/>
      <c r="EZ310" s="18"/>
      <c r="FA310" s="18"/>
      <c r="FB310" s="18"/>
      <c r="FC310" s="18"/>
      <c r="FD310" s="18"/>
      <c r="FE310" s="18"/>
      <c r="FF310" s="18"/>
      <c r="FG310" s="18"/>
      <c r="FH310" s="18"/>
      <c r="FI310" s="18"/>
      <c r="FJ310" s="18"/>
      <c r="FK310" s="18"/>
      <c r="FL310" s="18"/>
      <c r="FM310" s="18"/>
      <c r="FN310" s="18"/>
      <c r="FO310" s="18"/>
      <c r="FP310" s="18"/>
      <c r="FQ310" s="18"/>
      <c r="FR310" s="18"/>
    </row>
    <row r="311" spans="1:174" s="90" customFormat="1">
      <c r="A311" s="313"/>
      <c r="B311" s="313"/>
      <c r="C311" s="313"/>
      <c r="D311" s="454"/>
      <c r="E311" s="455" t="s">
        <v>54</v>
      </c>
      <c r="F311" s="456"/>
      <c r="G311" s="456"/>
      <c r="H311" s="456"/>
      <c r="I311" s="99"/>
      <c r="J311" s="99"/>
      <c r="K311" s="18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c r="CJ311" s="18"/>
      <c r="CK311" s="18"/>
      <c r="CL311" s="18"/>
      <c r="CM311" s="18"/>
      <c r="CN311" s="18"/>
      <c r="CO311" s="18"/>
      <c r="CP311" s="18"/>
      <c r="CQ311" s="18"/>
      <c r="CR311" s="18"/>
      <c r="CS311" s="18"/>
      <c r="CT311" s="18"/>
      <c r="CU311" s="18"/>
      <c r="CV311" s="18"/>
      <c r="CW311" s="18"/>
      <c r="CX311" s="18"/>
      <c r="CY311" s="18"/>
      <c r="CZ311" s="18"/>
      <c r="DA311" s="18"/>
      <c r="DB311" s="18"/>
      <c r="DC311" s="18"/>
      <c r="DD311" s="18"/>
      <c r="DE311" s="18"/>
      <c r="DF311" s="18"/>
      <c r="DG311" s="18"/>
      <c r="DH311" s="18"/>
      <c r="DI311" s="18"/>
      <c r="DJ311" s="18"/>
      <c r="DK311" s="18"/>
      <c r="DL311" s="18"/>
      <c r="DM311" s="18"/>
      <c r="DN311" s="18"/>
      <c r="DO311" s="18"/>
      <c r="DP311" s="18"/>
      <c r="DQ311" s="18"/>
      <c r="DR311" s="18"/>
      <c r="DS311" s="18"/>
      <c r="DT311" s="18"/>
      <c r="DU311" s="18"/>
      <c r="DV311" s="18"/>
      <c r="DW311" s="18"/>
      <c r="DX311" s="18"/>
      <c r="DY311" s="18"/>
      <c r="DZ311" s="18"/>
      <c r="EA311" s="18"/>
      <c r="EB311" s="18"/>
      <c r="EC311" s="18"/>
      <c r="ED311" s="18"/>
      <c r="EE311" s="18"/>
      <c r="EF311" s="18"/>
      <c r="EG311" s="18"/>
      <c r="EH311" s="18"/>
      <c r="EI311" s="18"/>
      <c r="EJ311" s="18"/>
      <c r="EK311" s="18"/>
      <c r="EL311" s="18"/>
      <c r="EM311" s="18"/>
      <c r="EN311" s="18"/>
      <c r="EO311" s="18"/>
      <c r="EP311" s="18"/>
      <c r="EQ311" s="18"/>
      <c r="ER311" s="18"/>
      <c r="ES311" s="18"/>
      <c r="ET311" s="18"/>
      <c r="EU311" s="18"/>
      <c r="EV311" s="18"/>
      <c r="EW311" s="18"/>
      <c r="EX311" s="18"/>
      <c r="EY311" s="18"/>
      <c r="EZ311" s="18"/>
      <c r="FA311" s="18"/>
      <c r="FB311" s="18"/>
      <c r="FC311" s="18"/>
      <c r="FD311" s="18"/>
      <c r="FE311" s="18"/>
      <c r="FF311" s="18"/>
      <c r="FG311" s="18"/>
      <c r="FH311" s="18"/>
      <c r="FI311" s="18"/>
      <c r="FJ311" s="18"/>
      <c r="FK311" s="18"/>
      <c r="FL311" s="18"/>
      <c r="FM311" s="18"/>
      <c r="FN311" s="18"/>
      <c r="FO311" s="18"/>
      <c r="FP311" s="18"/>
      <c r="FQ311" s="18"/>
      <c r="FR311" s="18"/>
    </row>
    <row r="312" spans="1:174" s="90" customFormat="1">
      <c r="A312" s="313"/>
      <c r="B312" s="457" t="s">
        <v>4989</v>
      </c>
      <c r="C312" s="461">
        <v>84.93</v>
      </c>
      <c r="D312" s="454"/>
      <c r="E312" s="457" t="s">
        <v>57</v>
      </c>
      <c r="F312" s="462">
        <v>20000</v>
      </c>
      <c r="G312" s="456"/>
      <c r="H312" s="456"/>
      <c r="I312" s="99"/>
      <c r="J312" s="99"/>
      <c r="K312" s="18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c r="CA312" s="18"/>
      <c r="CB312" s="18"/>
      <c r="CC312" s="18"/>
      <c r="CD312" s="18"/>
      <c r="CE312" s="18"/>
      <c r="CF312" s="18"/>
      <c r="CG312" s="18"/>
      <c r="CH312" s="18"/>
      <c r="CI312" s="18"/>
      <c r="CJ312" s="18"/>
      <c r="CK312" s="18"/>
      <c r="CL312" s="18"/>
      <c r="CM312" s="18"/>
      <c r="CN312" s="18"/>
      <c r="CO312" s="18"/>
      <c r="CP312" s="18"/>
      <c r="CQ312" s="18"/>
      <c r="CR312" s="18"/>
      <c r="CS312" s="18"/>
      <c r="CT312" s="18"/>
      <c r="CU312" s="18"/>
      <c r="CV312" s="18"/>
      <c r="CW312" s="18"/>
      <c r="CX312" s="18"/>
      <c r="CY312" s="18"/>
      <c r="CZ312" s="18"/>
      <c r="DA312" s="18"/>
      <c r="DB312" s="18"/>
      <c r="DC312" s="18"/>
      <c r="DD312" s="18"/>
      <c r="DE312" s="18"/>
      <c r="DF312" s="18"/>
      <c r="DG312" s="18"/>
      <c r="DH312" s="18"/>
      <c r="DI312" s="18"/>
      <c r="DJ312" s="18"/>
      <c r="DK312" s="18"/>
      <c r="DL312" s="18"/>
      <c r="DM312" s="18"/>
      <c r="DN312" s="18"/>
      <c r="DO312" s="18"/>
      <c r="DP312" s="18"/>
      <c r="DQ312" s="18"/>
      <c r="DR312" s="18"/>
      <c r="DS312" s="18"/>
      <c r="DT312" s="18"/>
      <c r="DU312" s="18"/>
      <c r="DV312" s="18"/>
      <c r="DW312" s="18"/>
      <c r="DX312" s="18"/>
      <c r="DY312" s="18"/>
      <c r="DZ312" s="18"/>
      <c r="EA312" s="18"/>
      <c r="EB312" s="18"/>
      <c r="EC312" s="18"/>
      <c r="ED312" s="18"/>
      <c r="EE312" s="18"/>
      <c r="EF312" s="18"/>
      <c r="EG312" s="18"/>
      <c r="EH312" s="18"/>
      <c r="EI312" s="18"/>
      <c r="EJ312" s="18"/>
      <c r="EK312" s="18"/>
      <c r="EL312" s="18"/>
      <c r="EM312" s="18"/>
      <c r="EN312" s="18"/>
      <c r="EO312" s="18"/>
      <c r="EP312" s="18"/>
      <c r="EQ312" s="18"/>
      <c r="ER312" s="18"/>
      <c r="ES312" s="18"/>
      <c r="ET312" s="18"/>
      <c r="EU312" s="18"/>
      <c r="EV312" s="18"/>
      <c r="EW312" s="18"/>
      <c r="EX312" s="18"/>
      <c r="EY312" s="18"/>
      <c r="EZ312" s="18"/>
      <c r="FA312" s="18"/>
      <c r="FB312" s="18"/>
      <c r="FC312" s="18"/>
      <c r="FD312" s="18"/>
      <c r="FE312" s="18"/>
      <c r="FF312" s="18"/>
      <c r="FG312" s="18"/>
      <c r="FH312" s="18"/>
      <c r="FI312" s="18"/>
      <c r="FJ312" s="18"/>
      <c r="FK312" s="18"/>
      <c r="FL312" s="18"/>
      <c r="FM312" s="18"/>
      <c r="FN312" s="18"/>
      <c r="FO312" s="18"/>
      <c r="FP312" s="18"/>
      <c r="FQ312" s="18"/>
      <c r="FR312" s="18"/>
    </row>
    <row r="313" spans="1:174" s="90" customFormat="1">
      <c r="A313" s="313"/>
      <c r="B313" s="457" t="s">
        <v>4995</v>
      </c>
      <c r="C313" s="461">
        <v>1.4</v>
      </c>
      <c r="D313" s="454"/>
      <c r="E313" s="457" t="s">
        <v>58</v>
      </c>
      <c r="F313" s="462">
        <v>3067</v>
      </c>
      <c r="G313" s="456"/>
      <c r="H313" s="456"/>
      <c r="I313" s="99"/>
      <c r="J313" s="99"/>
      <c r="K313" s="18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c r="CA313" s="18"/>
      <c r="CB313" s="18"/>
      <c r="CC313" s="18"/>
      <c r="CD313" s="18"/>
      <c r="CE313" s="18"/>
      <c r="CF313" s="18"/>
      <c r="CG313" s="18"/>
      <c r="CH313" s="18"/>
      <c r="CI313" s="18"/>
      <c r="CJ313" s="18"/>
      <c r="CK313" s="18"/>
      <c r="CL313" s="18"/>
      <c r="CM313" s="18"/>
      <c r="CN313" s="18"/>
      <c r="CO313" s="18"/>
      <c r="CP313" s="18"/>
      <c r="CQ313" s="18"/>
      <c r="CR313" s="18"/>
      <c r="CS313" s="18"/>
      <c r="CT313" s="18"/>
      <c r="CU313" s="18"/>
      <c r="CV313" s="18"/>
      <c r="CW313" s="18"/>
      <c r="CX313" s="18"/>
      <c r="CY313" s="18"/>
      <c r="CZ313" s="18"/>
      <c r="DA313" s="18"/>
      <c r="DB313" s="18"/>
      <c r="DC313" s="18"/>
      <c r="DD313" s="18"/>
      <c r="DE313" s="18"/>
      <c r="DF313" s="18"/>
      <c r="DG313" s="18"/>
      <c r="DH313" s="18"/>
      <c r="DI313" s="18"/>
      <c r="DJ313" s="18"/>
      <c r="DK313" s="18"/>
      <c r="DL313" s="18"/>
      <c r="DM313" s="18"/>
      <c r="DN313" s="18"/>
      <c r="DO313" s="18"/>
      <c r="DP313" s="18"/>
      <c r="DQ313" s="18"/>
      <c r="DR313" s="18"/>
      <c r="DS313" s="18"/>
      <c r="DT313" s="18"/>
      <c r="DU313" s="18"/>
      <c r="DV313" s="18"/>
      <c r="DW313" s="18"/>
      <c r="DX313" s="18"/>
      <c r="DY313" s="18"/>
      <c r="DZ313" s="18"/>
      <c r="EA313" s="18"/>
      <c r="EB313" s="18"/>
      <c r="EC313" s="18"/>
      <c r="ED313" s="18"/>
      <c r="EE313" s="18"/>
      <c r="EF313" s="18"/>
      <c r="EG313" s="18"/>
      <c r="EH313" s="18"/>
      <c r="EI313" s="18"/>
      <c r="EJ313" s="18"/>
      <c r="EK313" s="18"/>
      <c r="EL313" s="18"/>
      <c r="EM313" s="18"/>
      <c r="EN313" s="18"/>
      <c r="EO313" s="18"/>
      <c r="EP313" s="18"/>
      <c r="EQ313" s="18"/>
      <c r="ER313" s="18"/>
      <c r="ES313" s="18"/>
      <c r="ET313" s="18"/>
      <c r="EU313" s="18"/>
      <c r="EV313" s="18"/>
      <c r="EW313" s="18"/>
      <c r="EX313" s="18"/>
      <c r="EY313" s="18"/>
      <c r="EZ313" s="18"/>
      <c r="FA313" s="18"/>
      <c r="FB313" s="18"/>
      <c r="FC313" s="18"/>
      <c r="FD313" s="18"/>
      <c r="FE313" s="18"/>
      <c r="FF313" s="18"/>
      <c r="FG313" s="18"/>
      <c r="FH313" s="18"/>
      <c r="FI313" s="18"/>
      <c r="FJ313" s="18"/>
      <c r="FK313" s="18"/>
      <c r="FL313" s="18"/>
      <c r="FM313" s="18"/>
      <c r="FN313" s="18"/>
      <c r="FO313" s="18"/>
      <c r="FP313" s="18"/>
      <c r="FQ313" s="18"/>
      <c r="FR313" s="18"/>
    </row>
    <row r="314" spans="1:174" s="90" customFormat="1">
      <c r="A314" s="313"/>
      <c r="B314" s="457" t="s">
        <v>4994</v>
      </c>
      <c r="C314" s="461">
        <v>1</v>
      </c>
      <c r="D314" s="454"/>
      <c r="E314" s="457" t="s">
        <v>55</v>
      </c>
      <c r="F314" s="462">
        <v>490</v>
      </c>
      <c r="G314" s="456"/>
      <c r="H314" s="456"/>
      <c r="I314" s="99"/>
      <c r="J314" s="99"/>
      <c r="K314" s="18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c r="CM314" s="18"/>
      <c r="CN314" s="18"/>
      <c r="CO314" s="18"/>
      <c r="CP314" s="18"/>
      <c r="CQ314" s="18"/>
      <c r="CR314" s="18"/>
      <c r="CS314" s="18"/>
      <c r="CT314" s="18"/>
      <c r="CU314" s="18"/>
      <c r="CV314" s="18"/>
      <c r="CW314" s="18"/>
      <c r="CX314" s="18"/>
      <c r="CY314" s="18"/>
      <c r="CZ314" s="18"/>
      <c r="DA314" s="18"/>
      <c r="DB314" s="18"/>
      <c r="DC314" s="18"/>
      <c r="DD314" s="18"/>
      <c r="DE314" s="18"/>
      <c r="DF314" s="18"/>
      <c r="DG314" s="18"/>
      <c r="DH314" s="18"/>
      <c r="DI314" s="18"/>
      <c r="DJ314" s="18"/>
      <c r="DK314" s="18"/>
      <c r="DL314" s="18"/>
      <c r="DM314" s="18"/>
      <c r="DN314" s="18"/>
      <c r="DO314" s="18"/>
      <c r="DP314" s="18"/>
      <c r="DQ314" s="18"/>
      <c r="DR314" s="18"/>
      <c r="DS314" s="18"/>
      <c r="DT314" s="18"/>
      <c r="DU314" s="18"/>
      <c r="DV314" s="18"/>
      <c r="DW314" s="18"/>
      <c r="DX314" s="18"/>
      <c r="DY314" s="18"/>
      <c r="DZ314" s="18"/>
      <c r="EA314" s="18"/>
      <c r="EB314" s="18"/>
      <c r="EC314" s="18"/>
      <c r="ED314" s="18"/>
      <c r="EE314" s="18"/>
      <c r="EF314" s="18"/>
      <c r="EG314" s="18"/>
      <c r="EH314" s="18"/>
      <c r="EI314" s="18"/>
      <c r="EJ314" s="18"/>
      <c r="EK314" s="18"/>
      <c r="EL314" s="18"/>
      <c r="EM314" s="18"/>
      <c r="EN314" s="18"/>
      <c r="EO314" s="18"/>
      <c r="EP314" s="18"/>
      <c r="EQ314" s="18"/>
      <c r="ER314" s="18"/>
      <c r="ES314" s="18"/>
      <c r="ET314" s="18"/>
      <c r="EU314" s="18"/>
      <c r="EV314" s="18"/>
      <c r="EW314" s="18"/>
      <c r="EX314" s="18"/>
      <c r="EY314" s="18"/>
      <c r="EZ314" s="18"/>
      <c r="FA314" s="18"/>
      <c r="FB314" s="18"/>
      <c r="FC314" s="18"/>
      <c r="FD314" s="18"/>
      <c r="FE314" s="18"/>
      <c r="FF314" s="18"/>
      <c r="FG314" s="18"/>
      <c r="FH314" s="18"/>
      <c r="FI314" s="18"/>
      <c r="FJ314" s="18"/>
      <c r="FK314" s="18"/>
      <c r="FL314" s="18"/>
      <c r="FM314" s="18"/>
      <c r="FN314" s="18"/>
      <c r="FO314" s="18"/>
      <c r="FP314" s="18"/>
      <c r="FQ314" s="18"/>
      <c r="FR314" s="18"/>
    </row>
    <row r="315" spans="1:174" s="90" customFormat="1">
      <c r="A315" s="313"/>
      <c r="B315" s="457" t="s">
        <v>4996</v>
      </c>
      <c r="C315" s="461">
        <v>13798</v>
      </c>
      <c r="D315" s="454"/>
      <c r="E315" s="457" t="s">
        <v>59</v>
      </c>
      <c r="F315" s="462">
        <v>6050000</v>
      </c>
      <c r="G315" s="456"/>
      <c r="H315" s="456"/>
      <c r="I315" s="99"/>
      <c r="J315" s="99"/>
      <c r="K315" s="18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c r="CA315" s="18"/>
      <c r="CB315" s="18"/>
      <c r="CC315" s="18"/>
      <c r="CD315" s="18"/>
      <c r="CE315" s="18"/>
      <c r="CF315" s="18"/>
      <c r="CG315" s="18"/>
      <c r="CH315" s="18"/>
      <c r="CI315" s="18"/>
      <c r="CJ315" s="18"/>
      <c r="CK315" s="18"/>
      <c r="CL315" s="18"/>
      <c r="CM315" s="18"/>
      <c r="CN315" s="18"/>
      <c r="CO315" s="18"/>
      <c r="CP315" s="18"/>
      <c r="CQ315" s="18"/>
      <c r="CR315" s="18"/>
      <c r="CS315" s="18"/>
      <c r="CT315" s="18"/>
      <c r="CU315" s="18"/>
      <c r="CV315" s="18"/>
      <c r="CW315" s="18"/>
      <c r="CX315" s="18"/>
      <c r="CY315" s="18"/>
      <c r="CZ315" s="18"/>
      <c r="DA315" s="18"/>
      <c r="DB315" s="18"/>
      <c r="DC315" s="18"/>
      <c r="DD315" s="18"/>
      <c r="DE315" s="18"/>
      <c r="DF315" s="18"/>
      <c r="DG315" s="18"/>
      <c r="DH315" s="18"/>
      <c r="DI315" s="18"/>
      <c r="DJ315" s="18"/>
      <c r="DK315" s="18"/>
      <c r="DL315" s="18"/>
      <c r="DM315" s="18"/>
      <c r="DN315" s="18"/>
      <c r="DO315" s="18"/>
      <c r="DP315" s="18"/>
      <c r="DQ315" s="18"/>
      <c r="DR315" s="18"/>
      <c r="DS315" s="18"/>
      <c r="DT315" s="18"/>
      <c r="DU315" s="18"/>
      <c r="DV315" s="18"/>
      <c r="DW315" s="18"/>
      <c r="DX315" s="18"/>
      <c r="DY315" s="18"/>
      <c r="DZ315" s="18"/>
      <c r="EA315" s="18"/>
      <c r="EB315" s="18"/>
      <c r="EC315" s="18"/>
      <c r="ED315" s="18"/>
      <c r="EE315" s="18"/>
      <c r="EF315" s="18"/>
      <c r="EG315" s="18"/>
      <c r="EH315" s="18"/>
      <c r="EI315" s="18"/>
      <c r="EJ315" s="18"/>
      <c r="EK315" s="18"/>
      <c r="EL315" s="18"/>
      <c r="EM315" s="18"/>
      <c r="EN315" s="18"/>
      <c r="EO315" s="18"/>
      <c r="EP315" s="18"/>
      <c r="EQ315" s="18"/>
      <c r="ER315" s="18"/>
      <c r="ES315" s="18"/>
      <c r="ET315" s="18"/>
      <c r="EU315" s="18"/>
      <c r="EV315" s="18"/>
      <c r="EW315" s="18"/>
      <c r="EX315" s="18"/>
      <c r="EY315" s="18"/>
      <c r="EZ315" s="18"/>
      <c r="FA315" s="18"/>
      <c r="FB315" s="18"/>
      <c r="FC315" s="18"/>
      <c r="FD315" s="18"/>
      <c r="FE315" s="18"/>
      <c r="FF315" s="18"/>
      <c r="FG315" s="18"/>
      <c r="FH315" s="18"/>
      <c r="FI315" s="18"/>
      <c r="FJ315" s="18"/>
      <c r="FK315" s="18"/>
      <c r="FL315" s="18"/>
      <c r="FM315" s="18"/>
      <c r="FN315" s="18"/>
      <c r="FO315" s="18"/>
      <c r="FP315" s="18"/>
      <c r="FQ315" s="18"/>
      <c r="FR315" s="18"/>
    </row>
    <row r="316" spans="1:174" s="90" customFormat="1">
      <c r="A316" s="313"/>
      <c r="B316" s="457" t="s">
        <v>4994</v>
      </c>
      <c r="C316" s="461">
        <v>1</v>
      </c>
      <c r="D316" s="454"/>
      <c r="E316" s="457" t="s">
        <v>65</v>
      </c>
      <c r="F316" s="462">
        <v>460</v>
      </c>
      <c r="G316" s="456"/>
      <c r="H316" s="456"/>
      <c r="I316" s="99"/>
      <c r="J316" s="99"/>
      <c r="K316" s="18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c r="CA316" s="18"/>
      <c r="CB316" s="18"/>
      <c r="CC316" s="18"/>
      <c r="CD316" s="18"/>
      <c r="CE316" s="18"/>
      <c r="CF316" s="18"/>
      <c r="CG316" s="18"/>
      <c r="CH316" s="18"/>
      <c r="CI316" s="18"/>
      <c r="CJ316" s="18"/>
      <c r="CK316" s="18"/>
      <c r="CL316" s="18"/>
      <c r="CM316" s="18"/>
      <c r="CN316" s="18"/>
      <c r="CO316" s="18"/>
      <c r="CP316" s="18"/>
      <c r="CQ316" s="18"/>
      <c r="CR316" s="18"/>
      <c r="CS316" s="18"/>
      <c r="CT316" s="18"/>
      <c r="CU316" s="18"/>
      <c r="CV316" s="18"/>
      <c r="CW316" s="18"/>
      <c r="CX316" s="18"/>
      <c r="CY316" s="18"/>
      <c r="CZ316" s="18"/>
      <c r="DA316" s="18"/>
      <c r="DB316" s="18"/>
      <c r="DC316" s="18"/>
      <c r="DD316" s="18"/>
      <c r="DE316" s="18"/>
      <c r="DF316" s="18"/>
      <c r="DG316" s="18"/>
      <c r="DH316" s="18"/>
      <c r="DI316" s="18"/>
      <c r="DJ316" s="18"/>
      <c r="DK316" s="18"/>
      <c r="DL316" s="18"/>
      <c r="DM316" s="18"/>
      <c r="DN316" s="18"/>
      <c r="DO316" s="18"/>
      <c r="DP316" s="18"/>
      <c r="DQ316" s="18"/>
      <c r="DR316" s="18"/>
      <c r="DS316" s="18"/>
      <c r="DT316" s="18"/>
      <c r="DU316" s="18"/>
      <c r="DV316" s="18"/>
      <c r="DW316" s="18"/>
      <c r="DX316" s="18"/>
      <c r="DY316" s="18"/>
      <c r="DZ316" s="18"/>
      <c r="EA316" s="18"/>
      <c r="EB316" s="18"/>
      <c r="EC316" s="18"/>
      <c r="ED316" s="18"/>
      <c r="EE316" s="18"/>
      <c r="EF316" s="18"/>
      <c r="EG316" s="18"/>
      <c r="EH316" s="18"/>
      <c r="EI316" s="18"/>
      <c r="EJ316" s="18"/>
      <c r="EK316" s="18"/>
      <c r="EL316" s="18"/>
      <c r="EM316" s="18"/>
      <c r="EN316" s="18"/>
      <c r="EO316" s="18"/>
      <c r="EP316" s="18"/>
      <c r="EQ316" s="18"/>
      <c r="ER316" s="18"/>
      <c r="ES316" s="18"/>
      <c r="ET316" s="18"/>
      <c r="EU316" s="18"/>
      <c r="EV316" s="18"/>
      <c r="EW316" s="18"/>
      <c r="EX316" s="18"/>
      <c r="EY316" s="18"/>
      <c r="EZ316" s="18"/>
      <c r="FA316" s="18"/>
      <c r="FB316" s="18"/>
      <c r="FC316" s="18"/>
      <c r="FD316" s="18"/>
      <c r="FE316" s="18"/>
      <c r="FF316" s="18"/>
      <c r="FG316" s="18"/>
      <c r="FH316" s="18"/>
      <c r="FI316" s="18"/>
      <c r="FJ316" s="18"/>
      <c r="FK316" s="18"/>
      <c r="FL316" s="18"/>
      <c r="FM316" s="18"/>
      <c r="FN316" s="18"/>
      <c r="FO316" s="18"/>
      <c r="FP316" s="18"/>
      <c r="FQ316" s="18"/>
      <c r="FR316" s="18"/>
    </row>
    <row r="317" spans="1:174" s="90" customFormat="1">
      <c r="A317" s="313"/>
      <c r="B317" s="457" t="s">
        <v>4990</v>
      </c>
      <c r="C317" s="461">
        <v>4.1900000000000004</v>
      </c>
      <c r="D317" s="454"/>
      <c r="E317" s="457" t="s">
        <v>60</v>
      </c>
      <c r="F317" s="462">
        <v>4100</v>
      </c>
      <c r="G317" s="456"/>
      <c r="H317" s="456"/>
      <c r="I317" s="99"/>
      <c r="J317" s="99"/>
      <c r="K317" s="18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c r="CM317" s="18"/>
      <c r="CN317" s="18"/>
      <c r="CO317" s="18"/>
      <c r="CP317" s="18"/>
      <c r="CQ317" s="18"/>
      <c r="CR317" s="18"/>
      <c r="CS317" s="18"/>
      <c r="CT317" s="18"/>
      <c r="CU317" s="18"/>
      <c r="CV317" s="18"/>
      <c r="CW317" s="18"/>
      <c r="CX317" s="18"/>
      <c r="CY317" s="18"/>
      <c r="CZ317" s="18"/>
      <c r="DA317" s="18"/>
      <c r="DB317" s="18"/>
      <c r="DC317" s="18"/>
      <c r="DD317" s="18"/>
      <c r="DE317" s="18"/>
      <c r="DF317" s="18"/>
      <c r="DG317" s="18"/>
      <c r="DH317" s="18"/>
      <c r="DI317" s="18"/>
      <c r="DJ317" s="18"/>
      <c r="DK317" s="18"/>
      <c r="DL317" s="18"/>
      <c r="DM317" s="18"/>
      <c r="DN317" s="18"/>
      <c r="DO317" s="18"/>
      <c r="DP317" s="18"/>
      <c r="DQ317" s="18"/>
      <c r="DR317" s="18"/>
      <c r="DS317" s="18"/>
      <c r="DT317" s="18"/>
      <c r="DU317" s="18"/>
      <c r="DV317" s="18"/>
      <c r="DW317" s="18"/>
      <c r="DX317" s="18"/>
      <c r="DY317" s="18"/>
      <c r="DZ317" s="18"/>
      <c r="EA317" s="18"/>
      <c r="EB317" s="18"/>
      <c r="EC317" s="18"/>
      <c r="ED317" s="18"/>
      <c r="EE317" s="18"/>
      <c r="EF317" s="18"/>
      <c r="EG317" s="18"/>
      <c r="EH317" s="18"/>
      <c r="EI317" s="18"/>
      <c r="EJ317" s="18"/>
      <c r="EK317" s="18"/>
      <c r="EL317" s="18"/>
      <c r="EM317" s="18"/>
      <c r="EN317" s="18"/>
      <c r="EO317" s="18"/>
      <c r="EP317" s="18"/>
      <c r="EQ317" s="18"/>
      <c r="ER317" s="18"/>
      <c r="ES317" s="18"/>
      <c r="ET317" s="18"/>
      <c r="EU317" s="18"/>
      <c r="EV317" s="18"/>
      <c r="EW317" s="18"/>
      <c r="EX317" s="18"/>
      <c r="EY317" s="18"/>
      <c r="EZ317" s="18"/>
      <c r="FA317" s="18"/>
      <c r="FB317" s="18"/>
      <c r="FC317" s="18"/>
      <c r="FD317" s="18"/>
      <c r="FE317" s="18"/>
      <c r="FF317" s="18"/>
      <c r="FG317" s="18"/>
      <c r="FH317" s="18"/>
      <c r="FI317" s="18"/>
      <c r="FJ317" s="18"/>
      <c r="FK317" s="18"/>
      <c r="FL317" s="18"/>
      <c r="FM317" s="18"/>
      <c r="FN317" s="18"/>
      <c r="FO317" s="18"/>
      <c r="FP317" s="18"/>
      <c r="FQ317" s="18"/>
      <c r="FR317" s="18"/>
    </row>
    <row r="318" spans="1:174" s="90" customFormat="1">
      <c r="A318" s="313"/>
      <c r="B318" s="457" t="s">
        <v>4984</v>
      </c>
      <c r="C318" s="461">
        <v>1447.65</v>
      </c>
      <c r="D318" s="454"/>
      <c r="E318" s="457" t="s">
        <v>61</v>
      </c>
      <c r="F318" s="462">
        <v>280000</v>
      </c>
      <c r="G318" s="456"/>
      <c r="H318" s="456"/>
      <c r="I318" s="99"/>
      <c r="J318" s="99"/>
      <c r="K318" s="18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c r="CM318" s="18"/>
      <c r="CN318" s="18"/>
      <c r="CO318" s="18"/>
      <c r="CP318" s="18"/>
      <c r="CQ318" s="18"/>
      <c r="CR318" s="18"/>
      <c r="CS318" s="18"/>
      <c r="CT318" s="18"/>
      <c r="CU318" s="18"/>
      <c r="CV318" s="18"/>
      <c r="CW318" s="18"/>
      <c r="CX318" s="18"/>
      <c r="CY318" s="18"/>
      <c r="CZ318" s="18"/>
      <c r="DA318" s="18"/>
      <c r="DB318" s="18"/>
      <c r="DC318" s="18"/>
      <c r="DD318" s="18"/>
      <c r="DE318" s="18"/>
      <c r="DF318" s="18"/>
      <c r="DG318" s="18"/>
      <c r="DH318" s="18"/>
      <c r="DI318" s="18"/>
      <c r="DJ318" s="18"/>
      <c r="DK318" s="18"/>
      <c r="DL318" s="18"/>
      <c r="DM318" s="18"/>
      <c r="DN318" s="18"/>
      <c r="DO318" s="18"/>
      <c r="DP318" s="18"/>
      <c r="DQ318" s="18"/>
      <c r="DR318" s="18"/>
      <c r="DS318" s="18"/>
      <c r="DT318" s="18"/>
      <c r="DU318" s="18"/>
      <c r="DV318" s="18"/>
      <c r="DW318" s="18"/>
      <c r="DX318" s="18"/>
      <c r="DY318" s="18"/>
      <c r="DZ318" s="18"/>
      <c r="EA318" s="18"/>
      <c r="EB318" s="18"/>
      <c r="EC318" s="18"/>
      <c r="ED318" s="18"/>
      <c r="EE318" s="18"/>
      <c r="EF318" s="18"/>
      <c r="EG318" s="18"/>
      <c r="EH318" s="18"/>
      <c r="EI318" s="18"/>
      <c r="EJ318" s="18"/>
      <c r="EK318" s="18"/>
      <c r="EL318" s="18"/>
      <c r="EM318" s="18"/>
      <c r="EN318" s="18"/>
      <c r="EO318" s="18"/>
      <c r="EP318" s="18"/>
      <c r="EQ318" s="18"/>
      <c r="ER318" s="18"/>
      <c r="ES318" s="18"/>
      <c r="ET318" s="18"/>
      <c r="EU318" s="18"/>
      <c r="EV318" s="18"/>
      <c r="EW318" s="18"/>
      <c r="EX318" s="18"/>
      <c r="EY318" s="18"/>
      <c r="EZ318" s="18"/>
      <c r="FA318" s="18"/>
      <c r="FB318" s="18"/>
      <c r="FC318" s="18"/>
      <c r="FD318" s="18"/>
      <c r="FE318" s="18"/>
      <c r="FF318" s="18"/>
      <c r="FG318" s="18"/>
      <c r="FH318" s="18"/>
      <c r="FI318" s="18"/>
      <c r="FJ318" s="18"/>
      <c r="FK318" s="18"/>
      <c r="FL318" s="18"/>
      <c r="FM318" s="18"/>
      <c r="FN318" s="18"/>
      <c r="FO318" s="18"/>
      <c r="FP318" s="18"/>
      <c r="FQ318" s="18"/>
      <c r="FR318" s="18"/>
    </row>
    <row r="319" spans="1:174" s="90" customFormat="1">
      <c r="A319" s="313"/>
      <c r="B319" s="457" t="s">
        <v>4991</v>
      </c>
      <c r="C319" s="461">
        <v>154.28</v>
      </c>
      <c r="D319" s="454"/>
      <c r="E319" s="457" t="s">
        <v>66</v>
      </c>
      <c r="F319" s="462">
        <v>28000</v>
      </c>
      <c r="G319" s="456"/>
      <c r="H319" s="456"/>
      <c r="I319" s="99"/>
      <c r="J319" s="99"/>
      <c r="K319" s="18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c r="CA319" s="18"/>
      <c r="CB319" s="18"/>
      <c r="CC319" s="18"/>
      <c r="CD319" s="18"/>
      <c r="CE319" s="18"/>
      <c r="CF319" s="18"/>
      <c r="CG319" s="18"/>
      <c r="CH319" s="18"/>
      <c r="CI319" s="18"/>
      <c r="CJ319" s="18"/>
      <c r="CK319" s="18"/>
      <c r="CL319" s="18"/>
      <c r="CM319" s="18"/>
      <c r="CN319" s="18"/>
      <c r="CO319" s="18"/>
      <c r="CP319" s="18"/>
      <c r="CQ319" s="18"/>
      <c r="CR319" s="18"/>
      <c r="CS319" s="18"/>
      <c r="CT319" s="18"/>
      <c r="CU319" s="18"/>
      <c r="CV319" s="18"/>
      <c r="CW319" s="18"/>
      <c r="CX319" s="18"/>
      <c r="CY319" s="18"/>
      <c r="CZ319" s="18"/>
      <c r="DA319" s="18"/>
      <c r="DB319" s="18"/>
      <c r="DC319" s="18"/>
      <c r="DD319" s="18"/>
      <c r="DE319" s="18"/>
      <c r="DF319" s="18"/>
      <c r="DG319" s="18"/>
      <c r="DH319" s="18"/>
      <c r="DI319" s="18"/>
      <c r="DJ319" s="18"/>
      <c r="DK319" s="18"/>
      <c r="DL319" s="18"/>
      <c r="DM319" s="18"/>
      <c r="DN319" s="18"/>
      <c r="DO319" s="18"/>
      <c r="DP319" s="18"/>
      <c r="DQ319" s="18"/>
      <c r="DR319" s="18"/>
      <c r="DS319" s="18"/>
      <c r="DT319" s="18"/>
      <c r="DU319" s="18"/>
      <c r="DV319" s="18"/>
      <c r="DW319" s="18"/>
      <c r="DX319" s="18"/>
      <c r="DY319" s="18"/>
      <c r="DZ319" s="18"/>
      <c r="EA319" s="18"/>
      <c r="EB319" s="18"/>
      <c r="EC319" s="18"/>
      <c r="ED319" s="18"/>
      <c r="EE319" s="18"/>
      <c r="EF319" s="18"/>
      <c r="EG319" s="18"/>
      <c r="EH319" s="18"/>
      <c r="EI319" s="18"/>
      <c r="EJ319" s="18"/>
      <c r="EK319" s="18"/>
      <c r="EL319" s="18"/>
      <c r="EM319" s="18"/>
      <c r="EN319" s="18"/>
      <c r="EO319" s="18"/>
      <c r="EP319" s="18"/>
      <c r="EQ319" s="18"/>
      <c r="ER319" s="18"/>
      <c r="ES319" s="18"/>
      <c r="ET319" s="18"/>
      <c r="EU319" s="18"/>
      <c r="EV319" s="18"/>
      <c r="EW319" s="18"/>
      <c r="EX319" s="18"/>
      <c r="EY319" s="18"/>
      <c r="EZ319" s="18"/>
      <c r="FA319" s="18"/>
      <c r="FB319" s="18"/>
      <c r="FC319" s="18"/>
      <c r="FD319" s="18"/>
      <c r="FE319" s="18"/>
      <c r="FF319" s="18"/>
      <c r="FG319" s="18"/>
      <c r="FH319" s="18"/>
      <c r="FI319" s="18"/>
      <c r="FJ319" s="18"/>
      <c r="FK319" s="18"/>
      <c r="FL319" s="18"/>
      <c r="FM319" s="18"/>
      <c r="FN319" s="18"/>
      <c r="FO319" s="18"/>
      <c r="FP319" s="18"/>
      <c r="FQ319" s="18"/>
      <c r="FR319" s="18"/>
    </row>
    <row r="320" spans="1:174" s="90" customFormat="1">
      <c r="A320" s="313"/>
      <c r="B320" s="457" t="s">
        <v>4992</v>
      </c>
      <c r="C320" s="461">
        <v>50.72</v>
      </c>
      <c r="D320" s="454"/>
      <c r="E320" s="457" t="s">
        <v>67</v>
      </c>
      <c r="F320" s="462">
        <v>35000</v>
      </c>
      <c r="G320" s="456"/>
      <c r="H320" s="456"/>
      <c r="I320" s="99"/>
      <c r="J320" s="99"/>
      <c r="K320" s="18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c r="CA320" s="18"/>
      <c r="CB320" s="18"/>
      <c r="CC320" s="18"/>
      <c r="CD320" s="18"/>
      <c r="CE320" s="18"/>
      <c r="CF320" s="18"/>
      <c r="CG320" s="18"/>
      <c r="CH320" s="18"/>
      <c r="CI320" s="18"/>
      <c r="CJ320" s="18"/>
      <c r="CK320" s="18"/>
      <c r="CL320" s="18"/>
      <c r="CM320" s="18"/>
      <c r="CN320" s="18"/>
      <c r="CO320" s="18"/>
      <c r="CP320" s="18"/>
      <c r="CQ320" s="18"/>
      <c r="CR320" s="18"/>
      <c r="CS320" s="18"/>
      <c r="CT320" s="18"/>
      <c r="CU320" s="18"/>
      <c r="CV320" s="18"/>
      <c r="CW320" s="18"/>
      <c r="CX320" s="18"/>
      <c r="CY320" s="18"/>
      <c r="CZ320" s="18"/>
      <c r="DA320" s="18"/>
      <c r="DB320" s="18"/>
      <c r="DC320" s="18"/>
      <c r="DD320" s="18"/>
      <c r="DE320" s="18"/>
      <c r="DF320" s="18"/>
      <c r="DG320" s="18"/>
      <c r="DH320" s="18"/>
      <c r="DI320" s="18"/>
      <c r="DJ320" s="18"/>
      <c r="DK320" s="18"/>
      <c r="DL320" s="18"/>
      <c r="DM320" s="18"/>
      <c r="DN320" s="18"/>
      <c r="DO320" s="18"/>
      <c r="DP320" s="18"/>
      <c r="DQ320" s="18"/>
      <c r="DR320" s="18"/>
      <c r="DS320" s="18"/>
      <c r="DT320" s="18"/>
      <c r="DU320" s="18"/>
      <c r="DV320" s="18"/>
      <c r="DW320" s="18"/>
      <c r="DX320" s="18"/>
      <c r="DY320" s="18"/>
      <c r="DZ320" s="18"/>
      <c r="EA320" s="18"/>
      <c r="EB320" s="18"/>
      <c r="EC320" s="18"/>
      <c r="ED320" s="18"/>
      <c r="EE320" s="18"/>
      <c r="EF320" s="18"/>
      <c r="EG320" s="18"/>
      <c r="EH320" s="18"/>
      <c r="EI320" s="18"/>
      <c r="EJ320" s="18"/>
      <c r="EK320" s="18"/>
      <c r="EL320" s="18"/>
      <c r="EM320" s="18"/>
      <c r="EN320" s="18"/>
      <c r="EO320" s="18"/>
      <c r="EP320" s="18"/>
      <c r="EQ320" s="18"/>
      <c r="ER320" s="18"/>
      <c r="ES320" s="18"/>
      <c r="ET320" s="18"/>
      <c r="EU320" s="18"/>
      <c r="EV320" s="18"/>
      <c r="EW320" s="18"/>
      <c r="EX320" s="18"/>
      <c r="EY320" s="18"/>
      <c r="EZ320" s="18"/>
      <c r="FA320" s="18"/>
      <c r="FB320" s="18"/>
      <c r="FC320" s="18"/>
      <c r="FD320" s="18"/>
      <c r="FE320" s="18"/>
      <c r="FF320" s="18"/>
      <c r="FG320" s="18"/>
      <c r="FH320" s="18"/>
      <c r="FI320" s="18"/>
      <c r="FJ320" s="18"/>
      <c r="FK320" s="18"/>
      <c r="FL320" s="18"/>
      <c r="FM320" s="18"/>
      <c r="FN320" s="18"/>
      <c r="FO320" s="18"/>
      <c r="FP320" s="18"/>
      <c r="FQ320" s="18"/>
      <c r="FR320" s="18"/>
    </row>
    <row r="321" spans="1:174" s="90" customFormat="1">
      <c r="A321" s="313"/>
      <c r="B321" s="457" t="s">
        <v>4997</v>
      </c>
      <c r="C321" s="461">
        <v>1.4</v>
      </c>
      <c r="D321" s="454"/>
      <c r="E321" s="457" t="s">
        <v>64</v>
      </c>
      <c r="F321" s="462">
        <v>4600</v>
      </c>
      <c r="G321" s="456"/>
      <c r="H321" s="456"/>
      <c r="I321" s="99"/>
      <c r="J321" s="99"/>
      <c r="K321" s="18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18"/>
      <c r="CJ321" s="18"/>
      <c r="CK321" s="18"/>
      <c r="CL321" s="18"/>
      <c r="CM321" s="18"/>
      <c r="CN321" s="18"/>
      <c r="CO321" s="18"/>
      <c r="CP321" s="18"/>
      <c r="CQ321" s="18"/>
      <c r="CR321" s="18"/>
      <c r="CS321" s="18"/>
      <c r="CT321" s="18"/>
      <c r="CU321" s="18"/>
      <c r="CV321" s="18"/>
      <c r="CW321" s="18"/>
      <c r="CX321" s="18"/>
      <c r="CY321" s="18"/>
      <c r="CZ321" s="18"/>
      <c r="DA321" s="18"/>
      <c r="DB321" s="18"/>
      <c r="DC321" s="18"/>
      <c r="DD321" s="18"/>
      <c r="DE321" s="18"/>
      <c r="DF321" s="18"/>
      <c r="DG321" s="18"/>
      <c r="DH321" s="18"/>
      <c r="DI321" s="18"/>
      <c r="DJ321" s="18"/>
      <c r="DK321" s="18"/>
      <c r="DL321" s="18"/>
      <c r="DM321" s="18"/>
      <c r="DN321" s="18"/>
      <c r="DO321" s="18"/>
      <c r="DP321" s="18"/>
      <c r="DQ321" s="18"/>
      <c r="DR321" s="18"/>
      <c r="DS321" s="18"/>
      <c r="DT321" s="18"/>
      <c r="DU321" s="18"/>
      <c r="DV321" s="18"/>
      <c r="DW321" s="18"/>
      <c r="DX321" s="18"/>
      <c r="DY321" s="18"/>
      <c r="DZ321" s="18"/>
      <c r="EA321" s="18"/>
      <c r="EB321" s="18"/>
      <c r="EC321" s="18"/>
      <c r="ED321" s="18"/>
      <c r="EE321" s="18"/>
      <c r="EF321" s="18"/>
      <c r="EG321" s="18"/>
      <c r="EH321" s="18"/>
      <c r="EI321" s="18"/>
      <c r="EJ321" s="18"/>
      <c r="EK321" s="18"/>
      <c r="EL321" s="18"/>
      <c r="EM321" s="18"/>
      <c r="EN321" s="18"/>
      <c r="EO321" s="18"/>
      <c r="EP321" s="18"/>
      <c r="EQ321" s="18"/>
      <c r="ER321" s="18"/>
      <c r="ES321" s="18"/>
      <c r="ET321" s="18"/>
      <c r="EU321" s="18"/>
      <c r="EV321" s="18"/>
      <c r="EW321" s="18"/>
      <c r="EX321" s="18"/>
      <c r="EY321" s="18"/>
      <c r="EZ321" s="18"/>
      <c r="FA321" s="18"/>
      <c r="FB321" s="18"/>
      <c r="FC321" s="18"/>
      <c r="FD321" s="18"/>
      <c r="FE321" s="18"/>
      <c r="FF321" s="18"/>
      <c r="FG321" s="18"/>
      <c r="FH321" s="18"/>
      <c r="FI321" s="18"/>
      <c r="FJ321" s="18"/>
      <c r="FK321" s="18"/>
      <c r="FL321" s="18"/>
      <c r="FM321" s="18"/>
      <c r="FN321" s="18"/>
      <c r="FO321" s="18"/>
      <c r="FP321" s="18"/>
      <c r="FQ321" s="18"/>
      <c r="FR321" s="18"/>
    </row>
    <row r="322" spans="1:174" s="90" customFormat="1">
      <c r="A322" s="313"/>
      <c r="B322" s="457" t="s">
        <v>4986</v>
      </c>
      <c r="C322" s="461">
        <v>181.65</v>
      </c>
      <c r="D322" s="454"/>
      <c r="E322" s="457" t="s">
        <v>68</v>
      </c>
      <c r="F322" s="462">
        <v>47500</v>
      </c>
      <c r="G322" s="456"/>
      <c r="H322" s="456"/>
      <c r="I322" s="99"/>
      <c r="J322" s="99"/>
      <c r="K322" s="18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18"/>
      <c r="CJ322" s="18"/>
      <c r="CK322" s="18"/>
      <c r="CL322" s="18"/>
      <c r="CM322" s="18"/>
      <c r="CN322" s="18"/>
      <c r="CO322" s="18"/>
      <c r="CP322" s="18"/>
      <c r="CQ322" s="18"/>
      <c r="CR322" s="18"/>
      <c r="CS322" s="18"/>
      <c r="CT322" s="18"/>
      <c r="CU322" s="18"/>
      <c r="CV322" s="18"/>
      <c r="CW322" s="18"/>
      <c r="CX322" s="18"/>
      <c r="CY322" s="18"/>
      <c r="CZ322" s="18"/>
      <c r="DA322" s="18"/>
      <c r="DB322" s="18"/>
      <c r="DC322" s="18"/>
      <c r="DD322" s="18"/>
      <c r="DE322" s="18"/>
      <c r="DF322" s="18"/>
      <c r="DG322" s="18"/>
      <c r="DH322" s="18"/>
      <c r="DI322" s="18"/>
      <c r="DJ322" s="18"/>
      <c r="DK322" s="18"/>
      <c r="DL322" s="18"/>
      <c r="DM322" s="18"/>
      <c r="DN322" s="18"/>
      <c r="DO322" s="18"/>
      <c r="DP322" s="18"/>
      <c r="DQ322" s="18"/>
      <c r="DR322" s="18"/>
      <c r="DS322" s="18"/>
      <c r="DT322" s="18"/>
      <c r="DU322" s="18"/>
      <c r="DV322" s="18"/>
      <c r="DW322" s="18"/>
      <c r="DX322" s="18"/>
      <c r="DY322" s="18"/>
      <c r="DZ322" s="18"/>
      <c r="EA322" s="18"/>
      <c r="EB322" s="18"/>
      <c r="EC322" s="18"/>
      <c r="ED322" s="18"/>
      <c r="EE322" s="18"/>
      <c r="EF322" s="18"/>
      <c r="EG322" s="18"/>
      <c r="EH322" s="18"/>
      <c r="EI322" s="18"/>
      <c r="EJ322" s="18"/>
      <c r="EK322" s="18"/>
      <c r="EL322" s="18"/>
      <c r="EM322" s="18"/>
      <c r="EN322" s="18"/>
      <c r="EO322" s="18"/>
      <c r="EP322" s="18"/>
      <c r="EQ322" s="18"/>
      <c r="ER322" s="18"/>
      <c r="ES322" s="18"/>
      <c r="ET322" s="18"/>
      <c r="EU322" s="18"/>
      <c r="EV322" s="18"/>
      <c r="EW322" s="18"/>
      <c r="EX322" s="18"/>
      <c r="EY322" s="18"/>
      <c r="EZ322" s="18"/>
      <c r="FA322" s="18"/>
      <c r="FB322" s="18"/>
      <c r="FC322" s="18"/>
      <c r="FD322" s="18"/>
      <c r="FE322" s="18"/>
      <c r="FF322" s="18"/>
      <c r="FG322" s="18"/>
      <c r="FH322" s="18"/>
      <c r="FI322" s="18"/>
      <c r="FJ322" s="18"/>
      <c r="FK322" s="18"/>
      <c r="FL322" s="18"/>
      <c r="FM322" s="18"/>
      <c r="FN322" s="18"/>
      <c r="FO322" s="18"/>
      <c r="FP322" s="18"/>
      <c r="FQ322" s="18"/>
      <c r="FR322" s="18"/>
    </row>
    <row r="323" spans="1:174" s="90" customFormat="1">
      <c r="A323" s="313"/>
      <c r="B323" s="457" t="s">
        <v>4993</v>
      </c>
      <c r="C323" s="461">
        <v>31.47</v>
      </c>
      <c r="D323" s="454"/>
      <c r="E323" s="457" t="s">
        <v>56</v>
      </c>
      <c r="F323" s="462">
        <v>39000</v>
      </c>
      <c r="G323" s="456"/>
      <c r="H323" s="456"/>
      <c r="I323" s="99"/>
      <c r="J323" s="99"/>
      <c r="K323" s="18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c r="CJ323" s="18"/>
      <c r="CK323" s="18"/>
      <c r="CL323" s="18"/>
      <c r="CM323" s="18"/>
      <c r="CN323" s="18"/>
      <c r="CO323" s="18"/>
      <c r="CP323" s="18"/>
      <c r="CQ323" s="18"/>
      <c r="CR323" s="18"/>
      <c r="CS323" s="18"/>
      <c r="CT323" s="18"/>
      <c r="CU323" s="18"/>
      <c r="CV323" s="18"/>
      <c r="CW323" s="18"/>
      <c r="CX323" s="18"/>
      <c r="CY323" s="18"/>
      <c r="CZ323" s="18"/>
      <c r="DA323" s="18"/>
      <c r="DB323" s="18"/>
      <c r="DC323" s="18"/>
      <c r="DD323" s="18"/>
      <c r="DE323" s="18"/>
      <c r="DF323" s="18"/>
      <c r="DG323" s="18"/>
      <c r="DH323" s="18"/>
      <c r="DI323" s="18"/>
      <c r="DJ323" s="18"/>
      <c r="DK323" s="18"/>
      <c r="DL323" s="18"/>
      <c r="DM323" s="18"/>
      <c r="DN323" s="18"/>
      <c r="DO323" s="18"/>
      <c r="DP323" s="18"/>
      <c r="DQ323" s="18"/>
      <c r="DR323" s="18"/>
      <c r="DS323" s="18"/>
      <c r="DT323" s="18"/>
      <c r="DU323" s="18"/>
      <c r="DV323" s="18"/>
      <c r="DW323" s="18"/>
      <c r="DX323" s="18"/>
      <c r="DY323" s="18"/>
      <c r="DZ323" s="18"/>
      <c r="EA323" s="18"/>
      <c r="EB323" s="18"/>
      <c r="EC323" s="18"/>
      <c r="ED323" s="18"/>
      <c r="EE323" s="18"/>
      <c r="EF323" s="18"/>
      <c r="EG323" s="18"/>
      <c r="EH323" s="18"/>
      <c r="EI323" s="18"/>
      <c r="EJ323" s="18"/>
      <c r="EK323" s="18"/>
      <c r="EL323" s="18"/>
      <c r="EM323" s="18"/>
      <c r="EN323" s="18"/>
      <c r="EO323" s="18"/>
      <c r="EP323" s="18"/>
      <c r="EQ323" s="18"/>
      <c r="ER323" s="18"/>
      <c r="ES323" s="18"/>
      <c r="ET323" s="18"/>
      <c r="EU323" s="18"/>
      <c r="EV323" s="18"/>
      <c r="EW323" s="18"/>
      <c r="EX323" s="18"/>
      <c r="EY323" s="18"/>
      <c r="EZ323" s="18"/>
      <c r="FA323" s="18"/>
      <c r="FB323" s="18"/>
      <c r="FC323" s="18"/>
      <c r="FD323" s="18"/>
      <c r="FE323" s="18"/>
      <c r="FF323" s="18"/>
      <c r="FG323" s="18"/>
      <c r="FH323" s="18"/>
      <c r="FI323" s="18"/>
      <c r="FJ323" s="18"/>
      <c r="FK323" s="18"/>
      <c r="FL323" s="18"/>
      <c r="FM323" s="18"/>
      <c r="FN323" s="18"/>
      <c r="FO323" s="18"/>
      <c r="FP323" s="18"/>
      <c r="FQ323" s="18"/>
      <c r="FR323" s="18"/>
    </row>
    <row r="324" spans="1:174" s="90" customFormat="1">
      <c r="A324" s="313"/>
      <c r="B324" s="457" t="s">
        <v>4994</v>
      </c>
      <c r="C324" s="461">
        <v>1</v>
      </c>
      <c r="D324" s="454"/>
      <c r="E324" s="457" t="s">
        <v>62</v>
      </c>
      <c r="F324" s="462">
        <v>600</v>
      </c>
      <c r="G324" s="456"/>
      <c r="H324" s="456"/>
      <c r="I324" s="99"/>
      <c r="J324" s="99"/>
      <c r="K324" s="18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c r="CJ324" s="18"/>
      <c r="CK324" s="18"/>
      <c r="CL324" s="18"/>
      <c r="CM324" s="18"/>
      <c r="CN324" s="18"/>
      <c r="CO324" s="18"/>
      <c r="CP324" s="18"/>
      <c r="CQ324" s="18"/>
      <c r="CR324" s="18"/>
      <c r="CS324" s="18"/>
      <c r="CT324" s="18"/>
      <c r="CU324" s="18"/>
      <c r="CV324" s="18"/>
      <c r="CW324" s="18"/>
      <c r="CX324" s="18"/>
      <c r="CY324" s="18"/>
      <c r="CZ324" s="18"/>
      <c r="DA324" s="18"/>
      <c r="DB324" s="18"/>
      <c r="DC324" s="18"/>
      <c r="DD324" s="18"/>
      <c r="DE324" s="18"/>
      <c r="DF324" s="18"/>
      <c r="DG324" s="18"/>
      <c r="DH324" s="18"/>
      <c r="DI324" s="18"/>
      <c r="DJ324" s="18"/>
      <c r="DK324" s="18"/>
      <c r="DL324" s="18"/>
      <c r="DM324" s="18"/>
      <c r="DN324" s="18"/>
      <c r="DO324" s="18"/>
      <c r="DP324" s="18"/>
      <c r="DQ324" s="18"/>
      <c r="DR324" s="18"/>
      <c r="DS324" s="18"/>
      <c r="DT324" s="18"/>
      <c r="DU324" s="18"/>
      <c r="DV324" s="18"/>
      <c r="DW324" s="18"/>
      <c r="DX324" s="18"/>
      <c r="DY324" s="18"/>
      <c r="DZ324" s="18"/>
      <c r="EA324" s="18"/>
      <c r="EB324" s="18"/>
      <c r="EC324" s="18"/>
      <c r="ED324" s="18"/>
      <c r="EE324" s="18"/>
      <c r="EF324" s="18"/>
      <c r="EG324" s="18"/>
      <c r="EH324" s="18"/>
      <c r="EI324" s="18"/>
      <c r="EJ324" s="18"/>
      <c r="EK324" s="18"/>
      <c r="EL324" s="18"/>
      <c r="EM324" s="18"/>
      <c r="EN324" s="18"/>
      <c r="EO324" s="18"/>
      <c r="EP324" s="18"/>
      <c r="EQ324" s="18"/>
      <c r="ER324" s="18"/>
      <c r="ES324" s="18"/>
      <c r="ET324" s="18"/>
      <c r="EU324" s="18"/>
      <c r="EV324" s="18"/>
      <c r="EW324" s="18"/>
      <c r="EX324" s="18"/>
      <c r="EY324" s="18"/>
      <c r="EZ324" s="18"/>
      <c r="FA324" s="18"/>
      <c r="FB324" s="18"/>
      <c r="FC324" s="18"/>
      <c r="FD324" s="18"/>
      <c r="FE324" s="18"/>
      <c r="FF324" s="18"/>
      <c r="FG324" s="18"/>
      <c r="FH324" s="18"/>
      <c r="FI324" s="18"/>
      <c r="FJ324" s="18"/>
      <c r="FK324" s="18"/>
      <c r="FL324" s="18"/>
      <c r="FM324" s="18"/>
      <c r="FN324" s="18"/>
      <c r="FO324" s="18"/>
      <c r="FP324" s="18"/>
      <c r="FQ324" s="18"/>
      <c r="FR324" s="18"/>
    </row>
    <row r="325" spans="1:174" s="90" customFormat="1">
      <c r="A325" s="313"/>
      <c r="B325" s="457" t="s">
        <v>4994</v>
      </c>
      <c r="C325" s="461">
        <v>1</v>
      </c>
      <c r="D325" s="454"/>
      <c r="E325" s="457" t="s">
        <v>63</v>
      </c>
      <c r="F325" s="462">
        <v>420</v>
      </c>
      <c r="G325" s="456"/>
      <c r="H325" s="456"/>
      <c r="I325" s="99"/>
      <c r="J325" s="99"/>
      <c r="K325" s="18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c r="CJ325" s="18"/>
      <c r="CK325" s="18"/>
      <c r="CL325" s="18"/>
      <c r="CM325" s="18"/>
      <c r="CN325" s="18"/>
      <c r="CO325" s="18"/>
      <c r="CP325" s="18"/>
      <c r="CQ325" s="18"/>
      <c r="CR325" s="18"/>
      <c r="CS325" s="18"/>
      <c r="CT325" s="18"/>
      <c r="CU325" s="18"/>
      <c r="CV325" s="18"/>
      <c r="CW325" s="18"/>
      <c r="CX325" s="18"/>
      <c r="CY325" s="18"/>
      <c r="CZ325" s="18"/>
      <c r="DA325" s="18"/>
      <c r="DB325" s="18"/>
      <c r="DC325" s="18"/>
      <c r="DD325" s="18"/>
      <c r="DE325" s="18"/>
      <c r="DF325" s="18"/>
      <c r="DG325" s="18"/>
      <c r="DH325" s="18"/>
      <c r="DI325" s="18"/>
      <c r="DJ325" s="18"/>
      <c r="DK325" s="18"/>
      <c r="DL325" s="18"/>
      <c r="DM325" s="18"/>
      <c r="DN325" s="18"/>
      <c r="DO325" s="18"/>
      <c r="DP325" s="18"/>
      <c r="DQ325" s="18"/>
      <c r="DR325" s="18"/>
      <c r="DS325" s="18"/>
      <c r="DT325" s="18"/>
      <c r="DU325" s="18"/>
      <c r="DV325" s="18"/>
      <c r="DW325" s="18"/>
      <c r="DX325" s="18"/>
      <c r="DY325" s="18"/>
      <c r="DZ325" s="18"/>
      <c r="EA325" s="18"/>
      <c r="EB325" s="18"/>
      <c r="EC325" s="18"/>
      <c r="ED325" s="18"/>
      <c r="EE325" s="18"/>
      <c r="EF325" s="18"/>
      <c r="EG325" s="18"/>
      <c r="EH325" s="18"/>
      <c r="EI325" s="18"/>
      <c r="EJ325" s="18"/>
      <c r="EK325" s="18"/>
      <c r="EL325" s="18"/>
      <c r="EM325" s="18"/>
      <c r="EN325" s="18"/>
      <c r="EO325" s="18"/>
      <c r="EP325" s="18"/>
      <c r="EQ325" s="18"/>
      <c r="ER325" s="18"/>
      <c r="ES325" s="18"/>
      <c r="ET325" s="18"/>
      <c r="EU325" s="18"/>
      <c r="EV325" s="18"/>
      <c r="EW325" s="18"/>
      <c r="EX325" s="18"/>
      <c r="EY325" s="18"/>
      <c r="EZ325" s="18"/>
      <c r="FA325" s="18"/>
      <c r="FB325" s="18"/>
      <c r="FC325" s="18"/>
      <c r="FD325" s="18"/>
      <c r="FE325" s="18"/>
      <c r="FF325" s="18"/>
      <c r="FG325" s="18"/>
      <c r="FH325" s="18"/>
      <c r="FI325" s="18"/>
      <c r="FJ325" s="18"/>
      <c r="FK325" s="18"/>
      <c r="FL325" s="18"/>
      <c r="FM325" s="18"/>
      <c r="FN325" s="18"/>
      <c r="FO325" s="18"/>
      <c r="FP325" s="18"/>
      <c r="FQ325" s="18"/>
      <c r="FR325" s="18"/>
    </row>
    <row r="326" spans="1:174" s="90" customFormat="1">
      <c r="A326" s="313"/>
      <c r="B326" s="313"/>
      <c r="C326" s="313"/>
      <c r="D326" s="454"/>
      <c r="E326" s="457"/>
      <c r="F326" s="456"/>
      <c r="G326" s="456"/>
      <c r="H326" s="456"/>
      <c r="I326" s="99"/>
      <c r="J326" s="99"/>
      <c r="K326" s="18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18"/>
      <c r="CJ326" s="18"/>
      <c r="CK326" s="18"/>
      <c r="CL326" s="18"/>
      <c r="CM326" s="18"/>
      <c r="CN326" s="18"/>
      <c r="CO326" s="18"/>
      <c r="CP326" s="18"/>
      <c r="CQ326" s="18"/>
      <c r="CR326" s="18"/>
      <c r="CS326" s="18"/>
      <c r="CT326" s="18"/>
      <c r="CU326" s="18"/>
      <c r="CV326" s="18"/>
      <c r="CW326" s="18"/>
      <c r="CX326" s="18"/>
      <c r="CY326" s="18"/>
      <c r="CZ326" s="18"/>
      <c r="DA326" s="18"/>
      <c r="DB326" s="18"/>
      <c r="DC326" s="18"/>
      <c r="DD326" s="18"/>
      <c r="DE326" s="18"/>
      <c r="DF326" s="18"/>
      <c r="DG326" s="18"/>
      <c r="DH326" s="18"/>
      <c r="DI326" s="18"/>
      <c r="DJ326" s="18"/>
      <c r="DK326" s="18"/>
      <c r="DL326" s="18"/>
      <c r="DM326" s="18"/>
      <c r="DN326" s="18"/>
      <c r="DO326" s="18"/>
      <c r="DP326" s="18"/>
      <c r="DQ326" s="18"/>
      <c r="DR326" s="18"/>
      <c r="DS326" s="18"/>
      <c r="DT326" s="18"/>
      <c r="DU326" s="18"/>
      <c r="DV326" s="18"/>
      <c r="DW326" s="18"/>
      <c r="DX326" s="18"/>
      <c r="DY326" s="18"/>
      <c r="DZ326" s="18"/>
      <c r="EA326" s="18"/>
      <c r="EB326" s="18"/>
      <c r="EC326" s="18"/>
      <c r="ED326" s="18"/>
      <c r="EE326" s="18"/>
      <c r="EF326" s="18"/>
      <c r="EG326" s="18"/>
      <c r="EH326" s="18"/>
      <c r="EI326" s="18"/>
      <c r="EJ326" s="18"/>
      <c r="EK326" s="18"/>
      <c r="EL326" s="18"/>
      <c r="EM326" s="18"/>
      <c r="EN326" s="18"/>
      <c r="EO326" s="18"/>
      <c r="EP326" s="18"/>
      <c r="EQ326" s="18"/>
      <c r="ER326" s="18"/>
      <c r="ES326" s="18"/>
      <c r="ET326" s="18"/>
      <c r="EU326" s="18"/>
      <c r="EV326" s="18"/>
      <c r="EW326" s="18"/>
      <c r="EX326" s="18"/>
      <c r="EY326" s="18"/>
      <c r="EZ326" s="18"/>
      <c r="FA326" s="18"/>
      <c r="FB326" s="18"/>
      <c r="FC326" s="18"/>
      <c r="FD326" s="18"/>
      <c r="FE326" s="18"/>
      <c r="FF326" s="18"/>
      <c r="FG326" s="18"/>
      <c r="FH326" s="18"/>
      <c r="FI326" s="18"/>
      <c r="FJ326" s="18"/>
      <c r="FK326" s="18"/>
      <c r="FL326" s="18"/>
      <c r="FM326" s="18"/>
      <c r="FN326" s="18"/>
      <c r="FO326" s="18"/>
      <c r="FP326" s="18"/>
      <c r="FQ326" s="18"/>
      <c r="FR326" s="18"/>
    </row>
    <row r="327" spans="1:174" s="90" customFormat="1">
      <c r="A327" s="313"/>
      <c r="B327" s="313"/>
      <c r="C327" s="313"/>
      <c r="D327" s="454"/>
      <c r="E327" s="455" t="s">
        <v>132</v>
      </c>
      <c r="F327" s="456"/>
      <c r="G327" s="456"/>
      <c r="H327" s="456"/>
      <c r="I327" s="99"/>
      <c r="J327" s="99"/>
      <c r="K327" s="18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c r="CM327" s="18"/>
      <c r="CN327" s="18"/>
      <c r="CO327" s="18"/>
      <c r="CP327" s="18"/>
      <c r="CQ327" s="18"/>
      <c r="CR327" s="18"/>
      <c r="CS327" s="18"/>
      <c r="CT327" s="18"/>
      <c r="CU327" s="18"/>
      <c r="CV327" s="18"/>
      <c r="CW327" s="18"/>
      <c r="CX327" s="18"/>
      <c r="CY327" s="18"/>
      <c r="CZ327" s="18"/>
      <c r="DA327" s="18"/>
      <c r="DB327" s="18"/>
      <c r="DC327" s="18"/>
      <c r="DD327" s="18"/>
      <c r="DE327" s="18"/>
      <c r="DF327" s="18"/>
      <c r="DG327" s="18"/>
      <c r="DH327" s="18"/>
      <c r="DI327" s="18"/>
      <c r="DJ327" s="18"/>
      <c r="DK327" s="18"/>
      <c r="DL327" s="18"/>
      <c r="DM327" s="18"/>
      <c r="DN327" s="18"/>
      <c r="DO327" s="18"/>
      <c r="DP327" s="18"/>
      <c r="DQ327" s="18"/>
      <c r="DR327" s="18"/>
      <c r="DS327" s="18"/>
      <c r="DT327" s="18"/>
      <c r="DU327" s="18"/>
      <c r="DV327" s="18"/>
      <c r="DW327" s="18"/>
      <c r="DX327" s="18"/>
      <c r="DY327" s="18"/>
      <c r="DZ327" s="18"/>
      <c r="EA327" s="18"/>
      <c r="EB327" s="18"/>
      <c r="EC327" s="18"/>
      <c r="ED327" s="18"/>
      <c r="EE327" s="18"/>
      <c r="EF327" s="18"/>
      <c r="EG327" s="18"/>
      <c r="EH327" s="18"/>
      <c r="EI327" s="18"/>
      <c r="EJ327" s="18"/>
      <c r="EK327" s="18"/>
      <c r="EL327" s="18"/>
      <c r="EM327" s="18"/>
      <c r="EN327" s="18"/>
      <c r="EO327" s="18"/>
      <c r="EP327" s="18"/>
      <c r="EQ327" s="18"/>
      <c r="ER327" s="18"/>
      <c r="ES327" s="18"/>
      <c r="ET327" s="18"/>
      <c r="EU327" s="18"/>
      <c r="EV327" s="18"/>
      <c r="EW327" s="18"/>
      <c r="EX327" s="18"/>
      <c r="EY327" s="18"/>
      <c r="EZ327" s="18"/>
      <c r="FA327" s="18"/>
      <c r="FB327" s="18"/>
      <c r="FC327" s="18"/>
      <c r="FD327" s="18"/>
      <c r="FE327" s="18"/>
      <c r="FF327" s="18"/>
      <c r="FG327" s="18"/>
      <c r="FH327" s="18"/>
      <c r="FI327" s="18"/>
      <c r="FJ327" s="18"/>
      <c r="FK327" s="18"/>
      <c r="FL327" s="18"/>
      <c r="FM327" s="18"/>
      <c r="FN327" s="18"/>
      <c r="FO327" s="18"/>
      <c r="FP327" s="18"/>
      <c r="FQ327" s="18"/>
      <c r="FR327" s="18"/>
    </row>
    <row r="328" spans="1:174" s="90" customFormat="1">
      <c r="A328" s="313"/>
      <c r="B328" s="313"/>
      <c r="C328" s="313"/>
      <c r="D328" s="454"/>
      <c r="E328" s="457" t="s">
        <v>133</v>
      </c>
      <c r="F328" s="456"/>
      <c r="G328" s="456"/>
      <c r="H328" s="456"/>
      <c r="I328" s="99"/>
      <c r="J328" s="99"/>
      <c r="K328" s="18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18"/>
      <c r="CJ328" s="18"/>
      <c r="CK328" s="18"/>
      <c r="CL328" s="18"/>
      <c r="CM328" s="18"/>
      <c r="CN328" s="18"/>
      <c r="CO328" s="18"/>
      <c r="CP328" s="18"/>
      <c r="CQ328" s="18"/>
      <c r="CR328" s="18"/>
      <c r="CS328" s="18"/>
      <c r="CT328" s="18"/>
      <c r="CU328" s="18"/>
      <c r="CV328" s="18"/>
      <c r="CW328" s="18"/>
      <c r="CX328" s="18"/>
      <c r="CY328" s="18"/>
      <c r="CZ328" s="18"/>
      <c r="DA328" s="18"/>
      <c r="DB328" s="18"/>
      <c r="DC328" s="18"/>
      <c r="DD328" s="18"/>
      <c r="DE328" s="18"/>
      <c r="DF328" s="18"/>
      <c r="DG328" s="18"/>
      <c r="DH328" s="18"/>
      <c r="DI328" s="18"/>
      <c r="DJ328" s="18"/>
      <c r="DK328" s="18"/>
      <c r="DL328" s="18"/>
      <c r="DM328" s="18"/>
      <c r="DN328" s="18"/>
      <c r="DO328" s="18"/>
      <c r="DP328" s="18"/>
      <c r="DQ328" s="18"/>
      <c r="DR328" s="18"/>
      <c r="DS328" s="18"/>
      <c r="DT328" s="18"/>
      <c r="DU328" s="18"/>
      <c r="DV328" s="18"/>
      <c r="DW328" s="18"/>
      <c r="DX328" s="18"/>
      <c r="DY328" s="18"/>
      <c r="DZ328" s="18"/>
      <c r="EA328" s="18"/>
      <c r="EB328" s="18"/>
      <c r="EC328" s="18"/>
      <c r="ED328" s="18"/>
      <c r="EE328" s="18"/>
      <c r="EF328" s="18"/>
      <c r="EG328" s="18"/>
      <c r="EH328" s="18"/>
      <c r="EI328" s="18"/>
      <c r="EJ328" s="18"/>
      <c r="EK328" s="18"/>
      <c r="EL328" s="18"/>
      <c r="EM328" s="18"/>
      <c r="EN328" s="18"/>
      <c r="EO328" s="18"/>
      <c r="EP328" s="18"/>
      <c r="EQ328" s="18"/>
      <c r="ER328" s="18"/>
      <c r="ES328" s="18"/>
      <c r="ET328" s="18"/>
      <c r="EU328" s="18"/>
      <c r="EV328" s="18"/>
      <c r="EW328" s="18"/>
      <c r="EX328" s="18"/>
      <c r="EY328" s="18"/>
      <c r="EZ328" s="18"/>
      <c r="FA328" s="18"/>
      <c r="FB328" s="18"/>
      <c r="FC328" s="18"/>
      <c r="FD328" s="18"/>
      <c r="FE328" s="18"/>
      <c r="FF328" s="18"/>
      <c r="FG328" s="18"/>
      <c r="FH328" s="18"/>
      <c r="FI328" s="18"/>
      <c r="FJ328" s="18"/>
      <c r="FK328" s="18"/>
      <c r="FL328" s="18"/>
      <c r="FM328" s="18"/>
      <c r="FN328" s="18"/>
      <c r="FO328" s="18"/>
      <c r="FP328" s="18"/>
      <c r="FQ328" s="18"/>
      <c r="FR328" s="18"/>
    </row>
    <row r="329" spans="1:174" s="90" customFormat="1">
      <c r="A329" s="313"/>
      <c r="B329" s="313"/>
      <c r="C329" s="313"/>
      <c r="D329" s="454"/>
      <c r="E329" s="457" t="s">
        <v>134</v>
      </c>
      <c r="F329" s="456"/>
      <c r="G329" s="456"/>
      <c r="H329" s="456"/>
      <c r="I329" s="99"/>
      <c r="J329" s="99"/>
      <c r="K329" s="18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18"/>
      <c r="CJ329" s="18"/>
      <c r="CK329" s="18"/>
      <c r="CL329" s="18"/>
      <c r="CM329" s="18"/>
      <c r="CN329" s="18"/>
      <c r="CO329" s="18"/>
      <c r="CP329" s="18"/>
      <c r="CQ329" s="18"/>
      <c r="CR329" s="18"/>
      <c r="CS329" s="18"/>
      <c r="CT329" s="18"/>
      <c r="CU329" s="18"/>
      <c r="CV329" s="18"/>
      <c r="CW329" s="18"/>
      <c r="CX329" s="18"/>
      <c r="CY329" s="18"/>
      <c r="CZ329" s="18"/>
      <c r="DA329" s="18"/>
      <c r="DB329" s="18"/>
      <c r="DC329" s="18"/>
      <c r="DD329" s="18"/>
      <c r="DE329" s="18"/>
      <c r="DF329" s="18"/>
      <c r="DG329" s="18"/>
      <c r="DH329" s="18"/>
      <c r="DI329" s="18"/>
      <c r="DJ329" s="18"/>
      <c r="DK329" s="18"/>
      <c r="DL329" s="18"/>
      <c r="DM329" s="18"/>
      <c r="DN329" s="18"/>
      <c r="DO329" s="18"/>
      <c r="DP329" s="18"/>
      <c r="DQ329" s="18"/>
      <c r="DR329" s="18"/>
      <c r="DS329" s="18"/>
      <c r="DT329" s="18"/>
      <c r="DU329" s="18"/>
      <c r="DV329" s="18"/>
      <c r="DW329" s="18"/>
      <c r="DX329" s="18"/>
      <c r="DY329" s="18"/>
      <c r="DZ329" s="18"/>
      <c r="EA329" s="18"/>
      <c r="EB329" s="18"/>
      <c r="EC329" s="18"/>
      <c r="ED329" s="18"/>
      <c r="EE329" s="18"/>
      <c r="EF329" s="18"/>
      <c r="EG329" s="18"/>
      <c r="EH329" s="18"/>
      <c r="EI329" s="18"/>
      <c r="EJ329" s="18"/>
      <c r="EK329" s="18"/>
      <c r="EL329" s="18"/>
      <c r="EM329" s="18"/>
      <c r="EN329" s="18"/>
      <c r="EO329" s="18"/>
      <c r="EP329" s="18"/>
      <c r="EQ329" s="18"/>
      <c r="ER329" s="18"/>
      <c r="ES329" s="18"/>
      <c r="ET329" s="18"/>
      <c r="EU329" s="18"/>
      <c r="EV329" s="18"/>
      <c r="EW329" s="18"/>
      <c r="EX329" s="18"/>
      <c r="EY329" s="18"/>
      <c r="EZ329" s="18"/>
      <c r="FA329" s="18"/>
      <c r="FB329" s="18"/>
      <c r="FC329" s="18"/>
      <c r="FD329" s="18"/>
      <c r="FE329" s="18"/>
      <c r="FF329" s="18"/>
      <c r="FG329" s="18"/>
      <c r="FH329" s="18"/>
      <c r="FI329" s="18"/>
      <c r="FJ329" s="18"/>
      <c r="FK329" s="18"/>
      <c r="FL329" s="18"/>
      <c r="FM329" s="18"/>
      <c r="FN329" s="18"/>
      <c r="FO329" s="18"/>
      <c r="FP329" s="18"/>
      <c r="FQ329" s="18"/>
      <c r="FR329" s="18"/>
    </row>
    <row r="330" spans="1:174" s="90" customFormat="1">
      <c r="A330" s="313"/>
      <c r="B330" s="313"/>
      <c r="C330" s="313"/>
      <c r="D330" s="454"/>
      <c r="E330" s="457" t="s">
        <v>137</v>
      </c>
      <c r="F330" s="456"/>
      <c r="G330" s="456"/>
      <c r="H330" s="456"/>
      <c r="I330" s="99"/>
      <c r="J330" s="99"/>
      <c r="K330" s="18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c r="CA330" s="18"/>
      <c r="CB330" s="18"/>
      <c r="CC330" s="18"/>
      <c r="CD330" s="18"/>
      <c r="CE330" s="18"/>
      <c r="CF330" s="18"/>
      <c r="CG330" s="18"/>
      <c r="CH330" s="18"/>
      <c r="CI330" s="18"/>
      <c r="CJ330" s="18"/>
      <c r="CK330" s="18"/>
      <c r="CL330" s="18"/>
      <c r="CM330" s="18"/>
      <c r="CN330" s="18"/>
      <c r="CO330" s="18"/>
      <c r="CP330" s="18"/>
      <c r="CQ330" s="18"/>
      <c r="CR330" s="18"/>
      <c r="CS330" s="18"/>
      <c r="CT330" s="18"/>
      <c r="CU330" s="18"/>
      <c r="CV330" s="18"/>
      <c r="CW330" s="18"/>
      <c r="CX330" s="18"/>
      <c r="CY330" s="18"/>
      <c r="CZ330" s="18"/>
      <c r="DA330" s="18"/>
      <c r="DB330" s="18"/>
      <c r="DC330" s="18"/>
      <c r="DD330" s="18"/>
      <c r="DE330" s="18"/>
      <c r="DF330" s="18"/>
      <c r="DG330" s="18"/>
      <c r="DH330" s="18"/>
      <c r="DI330" s="18"/>
      <c r="DJ330" s="18"/>
      <c r="DK330" s="18"/>
      <c r="DL330" s="18"/>
      <c r="DM330" s="18"/>
      <c r="DN330" s="18"/>
      <c r="DO330" s="18"/>
      <c r="DP330" s="18"/>
      <c r="DQ330" s="18"/>
      <c r="DR330" s="18"/>
      <c r="DS330" s="18"/>
      <c r="DT330" s="18"/>
      <c r="DU330" s="18"/>
      <c r="DV330" s="18"/>
      <c r="DW330" s="18"/>
      <c r="DX330" s="18"/>
      <c r="DY330" s="18"/>
      <c r="DZ330" s="18"/>
      <c r="EA330" s="18"/>
      <c r="EB330" s="18"/>
      <c r="EC330" s="18"/>
      <c r="ED330" s="18"/>
      <c r="EE330" s="18"/>
      <c r="EF330" s="18"/>
      <c r="EG330" s="18"/>
      <c r="EH330" s="18"/>
      <c r="EI330" s="18"/>
      <c r="EJ330" s="18"/>
      <c r="EK330" s="18"/>
      <c r="EL330" s="18"/>
      <c r="EM330" s="18"/>
      <c r="EN330" s="18"/>
      <c r="EO330" s="18"/>
      <c r="EP330" s="18"/>
      <c r="EQ330" s="18"/>
      <c r="ER330" s="18"/>
      <c r="ES330" s="18"/>
      <c r="ET330" s="18"/>
      <c r="EU330" s="18"/>
      <c r="EV330" s="18"/>
      <c r="EW330" s="18"/>
      <c r="EX330" s="18"/>
      <c r="EY330" s="18"/>
      <c r="EZ330" s="18"/>
      <c r="FA330" s="18"/>
      <c r="FB330" s="18"/>
      <c r="FC330" s="18"/>
      <c r="FD330" s="18"/>
      <c r="FE330" s="18"/>
      <c r="FF330" s="18"/>
      <c r="FG330" s="18"/>
      <c r="FH330" s="18"/>
      <c r="FI330" s="18"/>
      <c r="FJ330" s="18"/>
      <c r="FK330" s="18"/>
      <c r="FL330" s="18"/>
      <c r="FM330" s="18"/>
      <c r="FN330" s="18"/>
      <c r="FO330" s="18"/>
      <c r="FP330" s="18"/>
      <c r="FQ330" s="18"/>
      <c r="FR330" s="18"/>
    </row>
    <row r="331" spans="1:174" s="90" customFormat="1">
      <c r="A331" s="313"/>
      <c r="B331" s="313"/>
      <c r="C331" s="313"/>
      <c r="D331" s="454"/>
      <c r="E331" s="457" t="s">
        <v>136</v>
      </c>
      <c r="F331" s="456"/>
      <c r="G331" s="456"/>
      <c r="H331" s="456"/>
      <c r="I331" s="99"/>
      <c r="J331" s="99"/>
      <c r="K331" s="18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18"/>
      <c r="CJ331" s="18"/>
      <c r="CK331" s="18"/>
      <c r="CL331" s="18"/>
      <c r="CM331" s="18"/>
      <c r="CN331" s="18"/>
      <c r="CO331" s="18"/>
      <c r="CP331" s="18"/>
      <c r="CQ331" s="18"/>
      <c r="CR331" s="18"/>
      <c r="CS331" s="18"/>
      <c r="CT331" s="18"/>
      <c r="CU331" s="18"/>
      <c r="CV331" s="18"/>
      <c r="CW331" s="18"/>
      <c r="CX331" s="18"/>
      <c r="CY331" s="18"/>
      <c r="CZ331" s="18"/>
      <c r="DA331" s="18"/>
      <c r="DB331" s="18"/>
      <c r="DC331" s="18"/>
      <c r="DD331" s="18"/>
      <c r="DE331" s="18"/>
      <c r="DF331" s="18"/>
      <c r="DG331" s="18"/>
      <c r="DH331" s="18"/>
      <c r="DI331" s="18"/>
      <c r="DJ331" s="18"/>
      <c r="DK331" s="18"/>
      <c r="DL331" s="18"/>
      <c r="DM331" s="18"/>
      <c r="DN331" s="18"/>
      <c r="DO331" s="18"/>
      <c r="DP331" s="18"/>
      <c r="DQ331" s="18"/>
      <c r="DR331" s="18"/>
      <c r="DS331" s="18"/>
      <c r="DT331" s="18"/>
      <c r="DU331" s="18"/>
      <c r="DV331" s="18"/>
      <c r="DW331" s="18"/>
      <c r="DX331" s="18"/>
      <c r="DY331" s="18"/>
      <c r="DZ331" s="18"/>
      <c r="EA331" s="18"/>
      <c r="EB331" s="18"/>
      <c r="EC331" s="18"/>
      <c r="ED331" s="18"/>
      <c r="EE331" s="18"/>
      <c r="EF331" s="18"/>
      <c r="EG331" s="18"/>
      <c r="EH331" s="18"/>
      <c r="EI331" s="18"/>
      <c r="EJ331" s="18"/>
      <c r="EK331" s="18"/>
      <c r="EL331" s="18"/>
      <c r="EM331" s="18"/>
      <c r="EN331" s="18"/>
      <c r="EO331" s="18"/>
      <c r="EP331" s="18"/>
      <c r="EQ331" s="18"/>
      <c r="ER331" s="18"/>
      <c r="ES331" s="18"/>
      <c r="ET331" s="18"/>
      <c r="EU331" s="18"/>
      <c r="EV331" s="18"/>
      <c r="EW331" s="18"/>
      <c r="EX331" s="18"/>
      <c r="EY331" s="18"/>
      <c r="EZ331" s="18"/>
      <c r="FA331" s="18"/>
      <c r="FB331" s="18"/>
      <c r="FC331" s="18"/>
      <c r="FD331" s="18"/>
      <c r="FE331" s="18"/>
      <c r="FF331" s="18"/>
      <c r="FG331" s="18"/>
      <c r="FH331" s="18"/>
      <c r="FI331" s="18"/>
      <c r="FJ331" s="18"/>
      <c r="FK331" s="18"/>
      <c r="FL331" s="18"/>
      <c r="FM331" s="18"/>
      <c r="FN331" s="18"/>
      <c r="FO331" s="18"/>
      <c r="FP331" s="18"/>
      <c r="FQ331" s="18"/>
      <c r="FR331" s="18"/>
    </row>
    <row r="332" spans="1:174" s="90" customFormat="1">
      <c r="A332" s="313"/>
      <c r="B332" s="313"/>
      <c r="C332" s="313"/>
      <c r="D332" s="454"/>
      <c r="E332" s="457" t="s">
        <v>135</v>
      </c>
      <c r="F332" s="456"/>
      <c r="G332" s="456"/>
      <c r="H332" s="456"/>
      <c r="I332" s="99"/>
      <c r="J332" s="99"/>
      <c r="K332" s="18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c r="CA332" s="18"/>
      <c r="CB332" s="18"/>
      <c r="CC332" s="18"/>
      <c r="CD332" s="18"/>
      <c r="CE332" s="18"/>
      <c r="CF332" s="18"/>
      <c r="CG332" s="18"/>
      <c r="CH332" s="18"/>
      <c r="CI332" s="18"/>
      <c r="CJ332" s="18"/>
      <c r="CK332" s="18"/>
      <c r="CL332" s="18"/>
      <c r="CM332" s="18"/>
      <c r="CN332" s="18"/>
      <c r="CO332" s="18"/>
      <c r="CP332" s="18"/>
      <c r="CQ332" s="18"/>
      <c r="CR332" s="18"/>
      <c r="CS332" s="18"/>
      <c r="CT332" s="18"/>
      <c r="CU332" s="18"/>
      <c r="CV332" s="18"/>
      <c r="CW332" s="18"/>
      <c r="CX332" s="18"/>
      <c r="CY332" s="18"/>
      <c r="CZ332" s="18"/>
      <c r="DA332" s="18"/>
      <c r="DB332" s="18"/>
      <c r="DC332" s="18"/>
      <c r="DD332" s="18"/>
      <c r="DE332" s="18"/>
      <c r="DF332" s="18"/>
      <c r="DG332" s="18"/>
      <c r="DH332" s="18"/>
      <c r="DI332" s="18"/>
      <c r="DJ332" s="18"/>
      <c r="DK332" s="18"/>
      <c r="DL332" s="18"/>
      <c r="DM332" s="18"/>
      <c r="DN332" s="18"/>
      <c r="DO332" s="18"/>
      <c r="DP332" s="18"/>
      <c r="DQ332" s="18"/>
      <c r="DR332" s="18"/>
      <c r="DS332" s="18"/>
      <c r="DT332" s="18"/>
      <c r="DU332" s="18"/>
      <c r="DV332" s="18"/>
      <c r="DW332" s="18"/>
      <c r="DX332" s="18"/>
      <c r="DY332" s="18"/>
      <c r="DZ332" s="18"/>
      <c r="EA332" s="18"/>
      <c r="EB332" s="18"/>
      <c r="EC332" s="18"/>
      <c r="ED332" s="18"/>
      <c r="EE332" s="18"/>
      <c r="EF332" s="18"/>
      <c r="EG332" s="18"/>
      <c r="EH332" s="18"/>
      <c r="EI332" s="18"/>
      <c r="EJ332" s="18"/>
      <c r="EK332" s="18"/>
      <c r="EL332" s="18"/>
      <c r="EM332" s="18"/>
      <c r="EN332" s="18"/>
      <c r="EO332" s="18"/>
      <c r="EP332" s="18"/>
      <c r="EQ332" s="18"/>
      <c r="ER332" s="18"/>
      <c r="ES332" s="18"/>
      <c r="ET332" s="18"/>
      <c r="EU332" s="18"/>
      <c r="EV332" s="18"/>
      <c r="EW332" s="18"/>
      <c r="EX332" s="18"/>
      <c r="EY332" s="18"/>
      <c r="EZ332" s="18"/>
      <c r="FA332" s="18"/>
      <c r="FB332" s="18"/>
      <c r="FC332" s="18"/>
      <c r="FD332" s="18"/>
      <c r="FE332" s="18"/>
      <c r="FF332" s="18"/>
      <c r="FG332" s="18"/>
      <c r="FH332" s="18"/>
      <c r="FI332" s="18"/>
      <c r="FJ332" s="18"/>
      <c r="FK332" s="18"/>
      <c r="FL332" s="18"/>
      <c r="FM332" s="18"/>
      <c r="FN332" s="18"/>
      <c r="FO332" s="18"/>
      <c r="FP332" s="18"/>
      <c r="FQ332" s="18"/>
      <c r="FR332" s="18"/>
    </row>
    <row r="333" spans="1:174" s="90" customFormat="1">
      <c r="A333" s="313"/>
      <c r="B333" s="313"/>
      <c r="C333" s="313"/>
      <c r="D333" s="454"/>
      <c r="E333" s="457"/>
      <c r="F333" s="456"/>
      <c r="G333" s="456"/>
      <c r="H333" s="456"/>
      <c r="I333" s="99"/>
      <c r="J333" s="99"/>
      <c r="K333" s="18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c r="CJ333" s="18"/>
      <c r="CK333" s="18"/>
      <c r="CL333" s="18"/>
      <c r="CM333" s="18"/>
      <c r="CN333" s="18"/>
      <c r="CO333" s="18"/>
      <c r="CP333" s="18"/>
      <c r="CQ333" s="18"/>
      <c r="CR333" s="18"/>
      <c r="CS333" s="18"/>
      <c r="CT333" s="18"/>
      <c r="CU333" s="18"/>
      <c r="CV333" s="18"/>
      <c r="CW333" s="18"/>
      <c r="CX333" s="18"/>
      <c r="CY333" s="18"/>
      <c r="CZ333" s="18"/>
      <c r="DA333" s="18"/>
      <c r="DB333" s="18"/>
      <c r="DC333" s="18"/>
      <c r="DD333" s="18"/>
      <c r="DE333" s="18"/>
      <c r="DF333" s="18"/>
      <c r="DG333" s="18"/>
      <c r="DH333" s="18"/>
      <c r="DI333" s="18"/>
      <c r="DJ333" s="18"/>
      <c r="DK333" s="18"/>
      <c r="DL333" s="18"/>
      <c r="DM333" s="18"/>
      <c r="DN333" s="18"/>
      <c r="DO333" s="18"/>
      <c r="DP333" s="18"/>
      <c r="DQ333" s="18"/>
      <c r="DR333" s="18"/>
      <c r="DS333" s="18"/>
      <c r="DT333" s="18"/>
      <c r="DU333" s="18"/>
      <c r="DV333" s="18"/>
      <c r="DW333" s="18"/>
      <c r="DX333" s="18"/>
      <c r="DY333" s="18"/>
      <c r="DZ333" s="18"/>
      <c r="EA333" s="18"/>
      <c r="EB333" s="18"/>
      <c r="EC333" s="18"/>
      <c r="ED333" s="18"/>
      <c r="EE333" s="18"/>
      <c r="EF333" s="18"/>
      <c r="EG333" s="18"/>
      <c r="EH333" s="18"/>
      <c r="EI333" s="18"/>
      <c r="EJ333" s="18"/>
      <c r="EK333" s="18"/>
      <c r="EL333" s="18"/>
      <c r="EM333" s="18"/>
      <c r="EN333" s="18"/>
      <c r="EO333" s="18"/>
      <c r="EP333" s="18"/>
      <c r="EQ333" s="18"/>
      <c r="ER333" s="18"/>
      <c r="ES333" s="18"/>
      <c r="ET333" s="18"/>
      <c r="EU333" s="18"/>
      <c r="EV333" s="18"/>
      <c r="EW333" s="18"/>
      <c r="EX333" s="18"/>
      <c r="EY333" s="18"/>
      <c r="EZ333" s="18"/>
      <c r="FA333" s="18"/>
      <c r="FB333" s="18"/>
      <c r="FC333" s="18"/>
      <c r="FD333" s="18"/>
      <c r="FE333" s="18"/>
      <c r="FF333" s="18"/>
      <c r="FG333" s="18"/>
      <c r="FH333" s="18"/>
      <c r="FI333" s="18"/>
      <c r="FJ333" s="18"/>
      <c r="FK333" s="18"/>
      <c r="FL333" s="18"/>
      <c r="FM333" s="18"/>
      <c r="FN333" s="18"/>
      <c r="FO333" s="18"/>
      <c r="FP333" s="18"/>
      <c r="FQ333" s="18"/>
      <c r="FR333" s="18"/>
    </row>
    <row r="334" spans="1:174" s="90" customFormat="1">
      <c r="A334" s="313"/>
      <c r="B334" s="313"/>
      <c r="C334" s="313"/>
      <c r="D334" s="454"/>
      <c r="E334" s="455" t="s">
        <v>139</v>
      </c>
      <c r="F334" s="456"/>
      <c r="G334" s="456"/>
      <c r="H334" s="456"/>
      <c r="I334" s="99"/>
      <c r="J334" s="99"/>
      <c r="K334" s="18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c r="CA334" s="18"/>
      <c r="CB334" s="18"/>
      <c r="CC334" s="18"/>
      <c r="CD334" s="18"/>
      <c r="CE334" s="18"/>
      <c r="CF334" s="18"/>
      <c r="CG334" s="18"/>
      <c r="CH334" s="18"/>
      <c r="CI334" s="18"/>
      <c r="CJ334" s="18"/>
      <c r="CK334" s="18"/>
      <c r="CL334" s="18"/>
      <c r="CM334" s="18"/>
      <c r="CN334" s="18"/>
      <c r="CO334" s="18"/>
      <c r="CP334" s="18"/>
      <c r="CQ334" s="18"/>
      <c r="CR334" s="18"/>
      <c r="CS334" s="18"/>
      <c r="CT334" s="18"/>
      <c r="CU334" s="18"/>
      <c r="CV334" s="18"/>
      <c r="CW334" s="18"/>
      <c r="CX334" s="18"/>
      <c r="CY334" s="18"/>
      <c r="CZ334" s="18"/>
      <c r="DA334" s="18"/>
      <c r="DB334" s="18"/>
      <c r="DC334" s="18"/>
      <c r="DD334" s="18"/>
      <c r="DE334" s="18"/>
      <c r="DF334" s="18"/>
      <c r="DG334" s="18"/>
      <c r="DH334" s="18"/>
      <c r="DI334" s="18"/>
      <c r="DJ334" s="18"/>
      <c r="DK334" s="18"/>
      <c r="DL334" s="18"/>
      <c r="DM334" s="18"/>
      <c r="DN334" s="18"/>
      <c r="DO334" s="18"/>
      <c r="DP334" s="18"/>
      <c r="DQ334" s="18"/>
      <c r="DR334" s="18"/>
      <c r="DS334" s="18"/>
      <c r="DT334" s="18"/>
      <c r="DU334" s="18"/>
      <c r="DV334" s="18"/>
      <c r="DW334" s="18"/>
      <c r="DX334" s="18"/>
      <c r="DY334" s="18"/>
      <c r="DZ334" s="18"/>
      <c r="EA334" s="18"/>
      <c r="EB334" s="18"/>
      <c r="EC334" s="18"/>
      <c r="ED334" s="18"/>
      <c r="EE334" s="18"/>
      <c r="EF334" s="18"/>
      <c r="EG334" s="18"/>
      <c r="EH334" s="18"/>
      <c r="EI334" s="18"/>
      <c r="EJ334" s="18"/>
      <c r="EK334" s="18"/>
      <c r="EL334" s="18"/>
      <c r="EM334" s="18"/>
      <c r="EN334" s="18"/>
      <c r="EO334" s="18"/>
      <c r="EP334" s="18"/>
      <c r="EQ334" s="18"/>
      <c r="ER334" s="18"/>
      <c r="ES334" s="18"/>
      <c r="ET334" s="18"/>
      <c r="EU334" s="18"/>
      <c r="EV334" s="18"/>
      <c r="EW334" s="18"/>
      <c r="EX334" s="18"/>
      <c r="EY334" s="18"/>
      <c r="EZ334" s="18"/>
      <c r="FA334" s="18"/>
      <c r="FB334" s="18"/>
      <c r="FC334" s="18"/>
      <c r="FD334" s="18"/>
      <c r="FE334" s="18"/>
      <c r="FF334" s="18"/>
      <c r="FG334" s="18"/>
      <c r="FH334" s="18"/>
      <c r="FI334" s="18"/>
      <c r="FJ334" s="18"/>
      <c r="FK334" s="18"/>
      <c r="FL334" s="18"/>
      <c r="FM334" s="18"/>
      <c r="FN334" s="18"/>
      <c r="FO334" s="18"/>
      <c r="FP334" s="18"/>
      <c r="FQ334" s="18"/>
      <c r="FR334" s="18"/>
    </row>
    <row r="335" spans="1:174" s="90" customFormat="1">
      <c r="A335" s="313"/>
      <c r="B335" s="313"/>
      <c r="C335" s="313"/>
      <c r="D335" s="454"/>
      <c r="E335" s="457" t="s">
        <v>141</v>
      </c>
      <c r="F335" s="456"/>
      <c r="G335" s="456"/>
      <c r="H335" s="456"/>
      <c r="I335" s="99"/>
      <c r="J335" s="99"/>
      <c r="K335" s="18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c r="DJ335" s="18"/>
      <c r="DK335" s="18"/>
      <c r="DL335" s="18"/>
      <c r="DM335" s="18"/>
      <c r="DN335" s="18"/>
      <c r="DO335" s="18"/>
      <c r="DP335" s="18"/>
      <c r="DQ335" s="18"/>
      <c r="DR335" s="18"/>
      <c r="DS335" s="18"/>
      <c r="DT335" s="18"/>
      <c r="DU335" s="18"/>
      <c r="DV335" s="18"/>
      <c r="DW335" s="18"/>
      <c r="DX335" s="18"/>
      <c r="DY335" s="18"/>
      <c r="DZ335" s="18"/>
      <c r="EA335" s="18"/>
      <c r="EB335" s="18"/>
      <c r="EC335" s="18"/>
      <c r="ED335" s="18"/>
      <c r="EE335" s="18"/>
      <c r="EF335" s="18"/>
      <c r="EG335" s="18"/>
      <c r="EH335" s="18"/>
      <c r="EI335" s="18"/>
      <c r="EJ335" s="18"/>
      <c r="EK335" s="18"/>
      <c r="EL335" s="18"/>
      <c r="EM335" s="18"/>
      <c r="EN335" s="18"/>
      <c r="EO335" s="18"/>
      <c r="EP335" s="18"/>
      <c r="EQ335" s="18"/>
      <c r="ER335" s="18"/>
      <c r="ES335" s="18"/>
      <c r="ET335" s="18"/>
      <c r="EU335" s="18"/>
      <c r="EV335" s="18"/>
      <c r="EW335" s="18"/>
      <c r="EX335" s="18"/>
      <c r="EY335" s="18"/>
      <c r="EZ335" s="18"/>
      <c r="FA335" s="18"/>
      <c r="FB335" s="18"/>
      <c r="FC335" s="18"/>
      <c r="FD335" s="18"/>
      <c r="FE335" s="18"/>
      <c r="FF335" s="18"/>
      <c r="FG335" s="18"/>
      <c r="FH335" s="18"/>
      <c r="FI335" s="18"/>
      <c r="FJ335" s="18"/>
      <c r="FK335" s="18"/>
      <c r="FL335" s="18"/>
      <c r="FM335" s="18"/>
      <c r="FN335" s="18"/>
      <c r="FO335" s="18"/>
      <c r="FP335" s="18"/>
      <c r="FQ335" s="18"/>
      <c r="FR335" s="18"/>
    </row>
    <row r="336" spans="1:174" s="90" customFormat="1">
      <c r="A336" s="313"/>
      <c r="B336" s="313"/>
      <c r="C336" s="313"/>
      <c r="D336" s="454"/>
      <c r="E336" s="457" t="s">
        <v>140</v>
      </c>
      <c r="F336" s="456"/>
      <c r="G336" s="456"/>
      <c r="H336" s="456"/>
      <c r="I336" s="99"/>
      <c r="J336" s="99"/>
      <c r="K336" s="18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c r="CA336" s="18"/>
      <c r="CB336" s="18"/>
      <c r="CC336" s="18"/>
      <c r="CD336" s="18"/>
      <c r="CE336" s="18"/>
      <c r="CF336" s="18"/>
      <c r="CG336" s="18"/>
      <c r="CH336" s="18"/>
      <c r="CI336" s="18"/>
      <c r="CJ336" s="18"/>
      <c r="CK336" s="18"/>
      <c r="CL336" s="18"/>
      <c r="CM336" s="18"/>
      <c r="CN336" s="18"/>
      <c r="CO336" s="18"/>
      <c r="CP336" s="18"/>
      <c r="CQ336" s="18"/>
      <c r="CR336" s="18"/>
      <c r="CS336" s="18"/>
      <c r="CT336" s="18"/>
      <c r="CU336" s="18"/>
      <c r="CV336" s="18"/>
      <c r="CW336" s="18"/>
      <c r="CX336" s="18"/>
      <c r="CY336" s="18"/>
      <c r="CZ336" s="18"/>
      <c r="DA336" s="18"/>
      <c r="DB336" s="18"/>
      <c r="DC336" s="18"/>
      <c r="DD336" s="18"/>
      <c r="DE336" s="18"/>
      <c r="DF336" s="18"/>
      <c r="DG336" s="18"/>
      <c r="DH336" s="18"/>
      <c r="DI336" s="18"/>
      <c r="DJ336" s="18"/>
      <c r="DK336" s="18"/>
      <c r="DL336" s="18"/>
      <c r="DM336" s="18"/>
      <c r="DN336" s="18"/>
      <c r="DO336" s="18"/>
      <c r="DP336" s="18"/>
      <c r="DQ336" s="18"/>
      <c r="DR336" s="18"/>
      <c r="DS336" s="18"/>
      <c r="DT336" s="18"/>
      <c r="DU336" s="18"/>
      <c r="DV336" s="18"/>
      <c r="DW336" s="18"/>
      <c r="DX336" s="18"/>
      <c r="DY336" s="18"/>
      <c r="DZ336" s="18"/>
      <c r="EA336" s="18"/>
      <c r="EB336" s="18"/>
      <c r="EC336" s="18"/>
      <c r="ED336" s="18"/>
      <c r="EE336" s="18"/>
      <c r="EF336" s="18"/>
      <c r="EG336" s="18"/>
      <c r="EH336" s="18"/>
      <c r="EI336" s="18"/>
      <c r="EJ336" s="18"/>
      <c r="EK336" s="18"/>
      <c r="EL336" s="18"/>
      <c r="EM336" s="18"/>
      <c r="EN336" s="18"/>
      <c r="EO336" s="18"/>
      <c r="EP336" s="18"/>
      <c r="EQ336" s="18"/>
      <c r="ER336" s="18"/>
      <c r="ES336" s="18"/>
      <c r="ET336" s="18"/>
      <c r="EU336" s="18"/>
      <c r="EV336" s="18"/>
      <c r="EW336" s="18"/>
      <c r="EX336" s="18"/>
      <c r="EY336" s="18"/>
      <c r="EZ336" s="18"/>
      <c r="FA336" s="18"/>
      <c r="FB336" s="18"/>
      <c r="FC336" s="18"/>
      <c r="FD336" s="18"/>
      <c r="FE336" s="18"/>
      <c r="FF336" s="18"/>
      <c r="FG336" s="18"/>
      <c r="FH336" s="18"/>
      <c r="FI336" s="18"/>
      <c r="FJ336" s="18"/>
      <c r="FK336" s="18"/>
      <c r="FL336" s="18"/>
      <c r="FM336" s="18"/>
      <c r="FN336" s="18"/>
      <c r="FO336" s="18"/>
      <c r="FP336" s="18"/>
      <c r="FQ336" s="18"/>
      <c r="FR336" s="18"/>
    </row>
    <row r="337" spans="1:174" s="90" customFormat="1">
      <c r="A337" s="313"/>
      <c r="B337" s="313"/>
      <c r="C337" s="313"/>
      <c r="D337" s="454"/>
      <c r="E337" s="457"/>
      <c r="F337" s="456"/>
      <c r="G337" s="456"/>
      <c r="H337" s="456"/>
      <c r="I337" s="99"/>
      <c r="J337" s="99"/>
      <c r="K337" s="18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c r="CA337" s="18"/>
      <c r="CB337" s="18"/>
      <c r="CC337" s="18"/>
      <c r="CD337" s="18"/>
      <c r="CE337" s="18"/>
      <c r="CF337" s="18"/>
      <c r="CG337" s="18"/>
      <c r="CH337" s="18"/>
      <c r="CI337" s="18"/>
      <c r="CJ337" s="18"/>
      <c r="CK337" s="18"/>
      <c r="CL337" s="18"/>
      <c r="CM337" s="18"/>
      <c r="CN337" s="18"/>
      <c r="CO337" s="18"/>
      <c r="CP337" s="18"/>
      <c r="CQ337" s="18"/>
      <c r="CR337" s="18"/>
      <c r="CS337" s="18"/>
      <c r="CT337" s="18"/>
      <c r="CU337" s="18"/>
      <c r="CV337" s="18"/>
      <c r="CW337" s="18"/>
      <c r="CX337" s="18"/>
      <c r="CY337" s="18"/>
      <c r="CZ337" s="18"/>
      <c r="DA337" s="18"/>
      <c r="DB337" s="18"/>
      <c r="DC337" s="18"/>
      <c r="DD337" s="18"/>
      <c r="DE337" s="18"/>
      <c r="DF337" s="18"/>
      <c r="DG337" s="18"/>
      <c r="DH337" s="18"/>
      <c r="DI337" s="18"/>
      <c r="DJ337" s="18"/>
      <c r="DK337" s="18"/>
      <c r="DL337" s="18"/>
      <c r="DM337" s="18"/>
      <c r="DN337" s="18"/>
      <c r="DO337" s="18"/>
      <c r="DP337" s="18"/>
      <c r="DQ337" s="18"/>
      <c r="DR337" s="18"/>
      <c r="DS337" s="18"/>
      <c r="DT337" s="18"/>
      <c r="DU337" s="18"/>
      <c r="DV337" s="18"/>
      <c r="DW337" s="18"/>
      <c r="DX337" s="18"/>
      <c r="DY337" s="18"/>
      <c r="DZ337" s="18"/>
      <c r="EA337" s="18"/>
      <c r="EB337" s="18"/>
      <c r="EC337" s="18"/>
      <c r="ED337" s="18"/>
      <c r="EE337" s="18"/>
      <c r="EF337" s="18"/>
      <c r="EG337" s="18"/>
      <c r="EH337" s="18"/>
      <c r="EI337" s="18"/>
      <c r="EJ337" s="18"/>
      <c r="EK337" s="18"/>
      <c r="EL337" s="18"/>
      <c r="EM337" s="18"/>
      <c r="EN337" s="18"/>
      <c r="EO337" s="18"/>
      <c r="EP337" s="18"/>
      <c r="EQ337" s="18"/>
      <c r="ER337" s="18"/>
      <c r="ES337" s="18"/>
      <c r="ET337" s="18"/>
      <c r="EU337" s="18"/>
      <c r="EV337" s="18"/>
      <c r="EW337" s="18"/>
      <c r="EX337" s="18"/>
      <c r="EY337" s="18"/>
      <c r="EZ337" s="18"/>
      <c r="FA337" s="18"/>
      <c r="FB337" s="18"/>
      <c r="FC337" s="18"/>
      <c r="FD337" s="18"/>
      <c r="FE337" s="18"/>
      <c r="FF337" s="18"/>
      <c r="FG337" s="18"/>
      <c r="FH337" s="18"/>
      <c r="FI337" s="18"/>
      <c r="FJ337" s="18"/>
      <c r="FK337" s="18"/>
      <c r="FL337" s="18"/>
      <c r="FM337" s="18"/>
      <c r="FN337" s="18"/>
      <c r="FO337" s="18"/>
      <c r="FP337" s="18"/>
      <c r="FQ337" s="18"/>
      <c r="FR337" s="18"/>
    </row>
    <row r="338" spans="1:174" s="91" customFormat="1">
      <c r="A338" s="314"/>
      <c r="B338" s="314"/>
      <c r="C338" s="314"/>
      <c r="D338" s="463"/>
      <c r="E338" s="464" t="s">
        <v>1</v>
      </c>
      <c r="F338" s="465" t="str">
        <f>F24&amp;" "&amp;F36&amp;" "&amp;F43&amp;"-"&amp;F45&amp;" Project"</f>
        <v xml:space="preserve">  - Project</v>
      </c>
      <c r="G338" s="465"/>
      <c r="H338" s="465"/>
      <c r="I338" s="100"/>
      <c r="J338" s="100"/>
      <c r="K338" s="189"/>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c r="CA338" s="17"/>
      <c r="CB338" s="17"/>
      <c r="CC338" s="17"/>
      <c r="CD338" s="17"/>
      <c r="CE338" s="17"/>
      <c r="CF338" s="17"/>
      <c r="CG338" s="17"/>
      <c r="CH338" s="17"/>
      <c r="CI338" s="17"/>
      <c r="CJ338" s="17"/>
      <c r="CK338" s="17"/>
      <c r="CL338" s="17"/>
      <c r="CM338" s="17"/>
      <c r="CN338" s="17"/>
      <c r="CO338" s="17"/>
      <c r="CP338" s="17"/>
      <c r="CQ338" s="17"/>
      <c r="CR338" s="17"/>
      <c r="CS338" s="17"/>
      <c r="CT338" s="17"/>
      <c r="CU338" s="17"/>
      <c r="CV338" s="17"/>
      <c r="CW338" s="17"/>
      <c r="CX338" s="17"/>
      <c r="CY338" s="17"/>
      <c r="CZ338" s="17"/>
      <c r="DA338" s="17"/>
      <c r="DB338" s="17"/>
      <c r="DC338" s="17"/>
      <c r="DD338" s="17"/>
      <c r="DE338" s="17"/>
      <c r="DF338" s="17"/>
      <c r="DG338" s="17"/>
      <c r="DH338" s="17"/>
      <c r="DI338" s="17"/>
      <c r="DJ338" s="17"/>
      <c r="DK338" s="17"/>
      <c r="DL338" s="17"/>
      <c r="DM338" s="17"/>
      <c r="DN338" s="17"/>
      <c r="DO338" s="17"/>
      <c r="DP338" s="17"/>
      <c r="DQ338" s="17"/>
      <c r="DR338" s="17"/>
      <c r="DS338" s="17"/>
      <c r="DT338" s="17"/>
      <c r="DU338" s="17"/>
      <c r="DV338" s="17"/>
      <c r="DW338" s="17"/>
      <c r="DX338" s="17"/>
      <c r="DY338" s="17"/>
      <c r="DZ338" s="17"/>
      <c r="EA338" s="17"/>
      <c r="EB338" s="17"/>
      <c r="EC338" s="17"/>
      <c r="ED338" s="17"/>
      <c r="EE338" s="17"/>
      <c r="EF338" s="17"/>
      <c r="EG338" s="17"/>
      <c r="EH338" s="17"/>
      <c r="EI338" s="17"/>
      <c r="EJ338" s="17"/>
      <c r="EK338" s="17"/>
      <c r="EL338" s="17"/>
      <c r="EM338" s="17"/>
      <c r="EN338" s="17"/>
      <c r="EO338" s="17"/>
      <c r="EP338" s="17"/>
      <c r="EQ338" s="17"/>
      <c r="ER338" s="17"/>
      <c r="ES338" s="17"/>
      <c r="ET338" s="17"/>
      <c r="EU338" s="17"/>
      <c r="EV338" s="17"/>
      <c r="EW338" s="17"/>
      <c r="EX338" s="17"/>
      <c r="EY338" s="17"/>
      <c r="EZ338" s="17"/>
      <c r="FA338" s="17"/>
      <c r="FB338" s="17"/>
      <c r="FC338" s="17"/>
      <c r="FD338" s="17"/>
      <c r="FE338" s="17"/>
      <c r="FF338" s="17"/>
      <c r="FG338" s="17"/>
      <c r="FH338" s="17"/>
      <c r="FI338" s="17"/>
      <c r="FJ338" s="17"/>
      <c r="FK338" s="17"/>
      <c r="FL338" s="17"/>
      <c r="FM338" s="17"/>
      <c r="FN338" s="17"/>
      <c r="FO338" s="17"/>
      <c r="FP338" s="17"/>
      <c r="FQ338" s="17"/>
      <c r="FR338" s="17"/>
    </row>
    <row r="339" spans="1:174" s="91" customFormat="1">
      <c r="A339" s="314"/>
      <c r="B339" s="314"/>
      <c r="C339" s="314"/>
      <c r="D339" s="463"/>
      <c r="E339" s="466" t="s">
        <v>85</v>
      </c>
      <c r="F339" s="465">
        <f>IF(F43=E302, 3,5)</f>
        <v>5</v>
      </c>
      <c r="G339" s="465"/>
      <c r="H339" s="465"/>
      <c r="I339" s="100"/>
      <c r="J339" s="100"/>
      <c r="K339" s="189"/>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c r="CA339" s="17"/>
      <c r="CB339" s="17"/>
      <c r="CC339" s="17"/>
      <c r="CD339" s="17"/>
      <c r="CE339" s="17"/>
      <c r="CF339" s="17"/>
      <c r="CG339" s="17"/>
      <c r="CH339" s="17"/>
      <c r="CI339" s="17"/>
      <c r="CJ339" s="17"/>
      <c r="CK339" s="17"/>
      <c r="CL339" s="17"/>
      <c r="CM339" s="17"/>
      <c r="CN339" s="17"/>
      <c r="CO339" s="17"/>
      <c r="CP339" s="17"/>
      <c r="CQ339" s="17"/>
      <c r="CR339" s="17"/>
      <c r="CS339" s="17"/>
      <c r="CT339" s="17"/>
      <c r="CU339" s="17"/>
      <c r="CV339" s="17"/>
      <c r="CW339" s="17"/>
      <c r="CX339" s="17"/>
      <c r="CY339" s="17"/>
      <c r="CZ339" s="17"/>
      <c r="DA339" s="17"/>
      <c r="DB339" s="17"/>
      <c r="DC339" s="17"/>
      <c r="DD339" s="17"/>
      <c r="DE339" s="17"/>
      <c r="DF339" s="17"/>
      <c r="DG339" s="17"/>
      <c r="DH339" s="17"/>
      <c r="DI339" s="17"/>
      <c r="DJ339" s="17"/>
      <c r="DK339" s="17"/>
      <c r="DL339" s="17"/>
      <c r="DM339" s="17"/>
      <c r="DN339" s="17"/>
      <c r="DO339" s="17"/>
      <c r="DP339" s="17"/>
      <c r="DQ339" s="17"/>
      <c r="DR339" s="17"/>
      <c r="DS339" s="17"/>
      <c r="DT339" s="17"/>
      <c r="DU339" s="17"/>
      <c r="DV339" s="17"/>
      <c r="DW339" s="17"/>
      <c r="DX339" s="17"/>
      <c r="DY339" s="17"/>
      <c r="DZ339" s="17"/>
      <c r="EA339" s="17"/>
      <c r="EB339" s="17"/>
      <c r="EC339" s="17"/>
      <c r="ED339" s="17"/>
      <c r="EE339" s="17"/>
      <c r="EF339" s="17"/>
      <c r="EG339" s="17"/>
      <c r="EH339" s="17"/>
      <c r="EI339" s="17"/>
      <c r="EJ339" s="17"/>
      <c r="EK339" s="17"/>
      <c r="EL339" s="17"/>
      <c r="EM339" s="17"/>
      <c r="EN339" s="17"/>
      <c r="EO339" s="17"/>
      <c r="EP339" s="17"/>
      <c r="EQ339" s="17"/>
      <c r="ER339" s="17"/>
      <c r="ES339" s="17"/>
      <c r="ET339" s="17"/>
      <c r="EU339" s="17"/>
      <c r="EV339" s="17"/>
      <c r="EW339" s="17"/>
      <c r="EX339" s="17"/>
      <c r="EY339" s="17"/>
      <c r="EZ339" s="17"/>
      <c r="FA339" s="17"/>
      <c r="FB339" s="17"/>
      <c r="FC339" s="17"/>
      <c r="FD339" s="17"/>
      <c r="FE339" s="17"/>
      <c r="FF339" s="17"/>
      <c r="FG339" s="17"/>
      <c r="FH339" s="17"/>
      <c r="FI339" s="17"/>
      <c r="FJ339" s="17"/>
      <c r="FK339" s="17"/>
      <c r="FL339" s="17"/>
      <c r="FM339" s="17"/>
      <c r="FN339" s="17"/>
      <c r="FO339" s="17"/>
      <c r="FP339" s="17"/>
      <c r="FQ339" s="17"/>
      <c r="FR339" s="17"/>
    </row>
    <row r="340" spans="1:174" s="90" customFormat="1">
      <c r="A340" s="315"/>
      <c r="B340" s="315"/>
      <c r="C340" s="315"/>
      <c r="D340" s="467"/>
      <c r="E340" s="468"/>
      <c r="F340" s="468"/>
      <c r="G340" s="468"/>
      <c r="H340" s="468"/>
      <c r="I340" s="18"/>
      <c r="J340" s="18"/>
      <c r="K340" s="18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c r="CJ340" s="18"/>
      <c r="CK340" s="18"/>
      <c r="CL340" s="18"/>
      <c r="CM340" s="18"/>
      <c r="CN340" s="18"/>
      <c r="CO340" s="18"/>
      <c r="CP340" s="18"/>
      <c r="CQ340" s="18"/>
      <c r="CR340" s="18"/>
      <c r="CS340" s="18"/>
      <c r="CT340" s="18"/>
      <c r="CU340" s="18"/>
      <c r="CV340" s="18"/>
      <c r="CW340" s="18"/>
      <c r="CX340" s="18"/>
      <c r="CY340" s="18"/>
      <c r="CZ340" s="18"/>
      <c r="DA340" s="18"/>
      <c r="DB340" s="18"/>
      <c r="DC340" s="18"/>
      <c r="DD340" s="18"/>
      <c r="DE340" s="18"/>
      <c r="DF340" s="18"/>
      <c r="DG340" s="18"/>
      <c r="DH340" s="18"/>
      <c r="DI340" s="18"/>
      <c r="DJ340" s="18"/>
      <c r="DK340" s="18"/>
      <c r="DL340" s="18"/>
      <c r="DM340" s="18"/>
      <c r="DN340" s="18"/>
      <c r="DO340" s="18"/>
      <c r="DP340" s="18"/>
      <c r="DQ340" s="18"/>
      <c r="DR340" s="18"/>
      <c r="DS340" s="18"/>
      <c r="DT340" s="18"/>
      <c r="DU340" s="18"/>
      <c r="DV340" s="18"/>
      <c r="DW340" s="18"/>
      <c r="DX340" s="18"/>
      <c r="DY340" s="18"/>
      <c r="DZ340" s="18"/>
      <c r="EA340" s="18"/>
      <c r="EB340" s="18"/>
      <c r="EC340" s="18"/>
      <c r="ED340" s="18"/>
      <c r="EE340" s="18"/>
      <c r="EF340" s="18"/>
      <c r="EG340" s="18"/>
      <c r="EH340" s="18"/>
      <c r="EI340" s="18"/>
      <c r="EJ340" s="18"/>
      <c r="EK340" s="18"/>
      <c r="EL340" s="18"/>
      <c r="EM340" s="18"/>
      <c r="EN340" s="18"/>
      <c r="EO340" s="18"/>
      <c r="EP340" s="18"/>
      <c r="EQ340" s="18"/>
      <c r="ER340" s="18"/>
      <c r="ES340" s="18"/>
      <c r="ET340" s="18"/>
      <c r="EU340" s="18"/>
      <c r="EV340" s="18"/>
      <c r="EW340" s="18"/>
      <c r="EX340" s="18"/>
      <c r="EY340" s="18"/>
      <c r="EZ340" s="18"/>
      <c r="FA340" s="18"/>
      <c r="FB340" s="18"/>
      <c r="FC340" s="18"/>
      <c r="FD340" s="18"/>
      <c r="FE340" s="18"/>
      <c r="FF340" s="18"/>
      <c r="FG340" s="18"/>
      <c r="FH340" s="18"/>
      <c r="FI340" s="18"/>
      <c r="FJ340" s="18"/>
      <c r="FK340" s="18"/>
      <c r="FL340" s="18"/>
      <c r="FM340" s="18"/>
      <c r="FN340" s="18"/>
      <c r="FO340" s="18"/>
      <c r="FP340" s="18"/>
      <c r="FQ340" s="18"/>
      <c r="FR340" s="18"/>
    </row>
    <row r="341" spans="1:174">
      <c r="B341" s="469"/>
      <c r="C341" s="469"/>
      <c r="D341" s="470"/>
      <c r="E341" s="471"/>
      <c r="F341" s="471"/>
      <c r="G341" s="471"/>
      <c r="H341" s="471"/>
    </row>
  </sheetData>
  <sheetProtection algorithmName="SHA-512" hashValue="+W1VvW1JvA+W9xgtrjF8BUz3TYzBu+QmJL70bQyPHp/D/x1YN8Ho0CVbxj7tr/MeW29XxFHYhmDjj72IjT7w7g==" saltValue="X+AZK9fW2XqFzNPP0Ra9gA==" spinCount="100000" sheet="1" formatColumns="0" formatRows="0" selectLockedCells="1"/>
  <mergeCells count="3">
    <mergeCell ref="E2:F2"/>
    <mergeCell ref="E3:F3"/>
    <mergeCell ref="B4:I4"/>
  </mergeCells>
  <dataValidations count="68">
    <dataValidation type="list" allowBlank="1" showInputMessage="1" showErrorMessage="1" errorTitle="Invalid Entry" promptTitle="Select Country" prompt="Make your selection from the drop-down menu by clicking the small arrow at the right of the cell." sqref="F30" xr:uid="{95F2A105-3E69-2244-89F6-A83761415561}">
      <formula1>$E$312:$E$325</formula1>
    </dataValidation>
    <dataValidation allowBlank="1" showInputMessage="1" showErrorMessage="1" errorTitle="Invalid Entry" promptTitle="Number of Adventists" prompt="Indicate the population of Adventists who are from the target people group that live within 10km of the project site." sqref="F53" xr:uid="{19E7EBA3-7488-584C-89AC-30D6AA35D1D1}"/>
    <dataValidation type="textLength" operator="equal" allowBlank="1" showInputMessage="1" showErrorMessage="1" errorTitle="Invalid Entry" promptTitle="Caution" prompt="Only enter a project ID# if one is already assigned to it by the Jordan database (leave blank for new projects)." sqref="F15:F16 F18" xr:uid="{CA45C90C-A118-004D-83F4-A2A9AC7680F8}">
      <formula1>4</formula1>
    </dataValidation>
    <dataValidation type="textLength" allowBlank="1" showInputMessage="1" showErrorMessage="1" errorTitle="Invalid Entry" promptTitle="Acronymn Only" prompt="Enter the acronymn for your mission or conference (ex: TLM, CLC)" sqref="F24" xr:uid="{F4DC9FF0-C10B-5C40-A28F-A1C5F4321270}">
      <formula1>3</formula1>
      <formula2>4</formula2>
    </dataValidation>
    <dataValidation type="textLength" operator="equal" allowBlank="1" showInputMessage="1" showErrorMessage="1" errorTitle="Invalid Entry" promptTitle="Enter the Application Year" prompt="Year you wish to apply for your project's funding. (ex: 2020)" sqref="F11" xr:uid="{6589F937-C4A6-F34E-97F8-FD5D5CAB7FDA}">
      <formula1>4</formula1>
    </dataValidation>
    <dataValidation allowBlank="1" showInputMessage="1" showErrorMessage="1" errorTitle="Invalid Entry" promptTitle="Automatic Content" prompt="This cell will be completed automatically as you complete the form. Protestant/Catholic people groups: 3 years of funding assistance available. Others: 5 years of funding assistance available." sqref="F339" xr:uid="{7A64E2E7-501A-364B-8346-28B633E18A06}"/>
    <dataValidation allowBlank="1" showInputMessage="1" showErrorMessage="1" promptTitle="Enter GPS Coordinates" prompt="Use maps.google.com to find GPS location. _x000a_1) Find the location on the map_x000a_2) Click the map to drop a pin_x000a_3) Right click on the pin and select &quot;What's here?&quot;_x000a_4) copy the 2-part number (ex: 14.220636, 120.966580)_x000a_" sqref="F38" xr:uid="{1FD063A7-4E36-0443-9A22-4C24AD1AD3B4}"/>
    <dataValidation allowBlank="1" showInputMessage="1" showErrorMessage="1" promptTitle="Enter Coordinator's E-mail" prompt="Please enter the e-mail address of the one responsible for overseeing this project at the local region, mission or conference." sqref="F158" xr:uid="{2211DD64-0D9D-9C49-B933-9F040783B677}"/>
    <dataValidation allowBlank="1" showInputMessage="1" showErrorMessage="1" promptTitle="Enter Coordinator's Mobile #" prompt="Please enter the mobile phone number of the one responsible for overseeing this project at the local region, mission or conference._x000a_Please include the country and codes (ex:+63 917 xxx xxxx)" sqref="F152:F161" xr:uid="{77620A32-D875-E042-9E70-02E8F45F401A}"/>
    <dataValidation operator="greaterThan" allowBlank="1" showInputMessage="1" showErrorMessage="1" promptTitle="Enter number baptized this year" prompt="How many people were baptized in the project location between January and December of the last year?" sqref="F57" xr:uid="{69C6100F-28C1-8244-888F-7846120BE8C3}"/>
    <dataValidation allowBlank="1" showInputMessage="1" showErrorMessage="1" errorTitle="Invalid Entry" promptTitle="Automatic Content" prompt="This cell will be completed automatically as you complete the form." sqref="F338:H338" xr:uid="{E2FD67E2-CE12-FF46-A25D-66558E124DDD}"/>
    <dataValidation type="list" allowBlank="1" showInputMessage="1" showErrorMessage="1" errorTitle="Invalid Entry" promptTitle="Select from drop-down list" prompt="Make your selection from the drop-down menu by clicking the small arrow at the right of the cell." sqref="F13" xr:uid="{463218B1-BA06-C344-ABB6-F3EF03B82222}">
      <formula1>$E$238:$E$242</formula1>
    </dataValidation>
    <dataValidation type="list" allowBlank="1" showInputMessage="1" showErrorMessage="1" errorTitle="Invalid Entry" promptTitle="Select union" prompt="Make your selection from the drop-down menu by clicking the small arrow at the right of the cell." sqref="F28" xr:uid="{35388355-3C14-434C-B95F-0AD11EC924FF}">
      <formula1>$E$245:$E$253</formula1>
    </dataValidation>
    <dataValidation allowBlank="1" errorTitle="Invalid Entry" promptTitle="Acronymn Only" prompt="Enter the acronymn for your mission or conference (ex: TLM, CLC)" sqref="G339:H339" xr:uid="{B3FBC7BC-2649-3B40-8CE8-9FB62910A83C}"/>
    <dataValidation allowBlank="1" showInputMessage="1" showErrorMessage="1" errorTitle="Invalid Entry" promptTitle="Enter Zone/County" prompt="Enter the zone/county (NOT country) this project will be based in." sqref="F34" xr:uid="{E68821FB-0C89-5A42-AD58-5CE279F81EA2}"/>
    <dataValidation allowBlank="1" showInputMessage="1" showErrorMessage="1" errorTitle="Invalid Entry" promptTitle="Enter Province/State/District" prompt="Enter the province/state/district this project will be based in." sqref="F32" xr:uid="{FC45171E-483F-7544-A2B7-2B92EAF648CA}"/>
    <dataValidation allowBlank="1" showInputMessage="1" showErrorMessage="1" errorTitle="Invalid Entry" promptTitle="Enter City/Town" prompt="Enter the city/town this project will be based in." sqref="F36 F38 F152:F161" xr:uid="{E77FEB4C-1CE4-B54A-9883-22693A01124D}"/>
    <dataValidation allowBlank="1" showInputMessage="1" showErrorMessage="1" promptTitle="Enter Coordinator Name" prompt="Please enter the first and last name of the one responsible for overseeing this project at the local region, mission or conference." sqref="F156" xr:uid="{A6353894-9971-C541-BAFC-36EAEE010FA1}"/>
    <dataValidation type="list" operator="greaterThan" allowBlank="1" showInputMessage="1" showErrorMessage="1" promptTitle="Select kind of group established" prompt="Make your selection from the drop-down menu by clicking the small arrow at the right of the cell." sqref="F61" xr:uid="{826A4C48-7D63-A842-9848-5F83239E2633}">
      <formula1>$E$262:$E$265</formula1>
    </dataValidation>
    <dataValidation allowBlank="1" showInputMessage="1" showErrorMessage="1" errorTitle="Invalid Entry" promptTitle="Average Attendance" prompt="Indicate the average number of people that attend the project's Sabbath worship group(s) or care group(s)—both Adventists and non-Adventists." sqref="F55" xr:uid="{2172CED0-ABB6-EC47-837D-2FF0291FCD7A}"/>
    <dataValidation type="whole" operator="greaterThan" allowBlank="1" showInputMessage="1" showErrorMessage="1" errorTitle="Invalid Entry" promptTitle="Enter Population in People Group" prompt="Indicate the total population of those belonging to the target people group living within 10 km of the project location." sqref="F48" xr:uid="{D3DC0EE9-1DC7-584A-9E45-505FCB3A87A5}">
      <formula1>0</formula1>
    </dataValidation>
    <dataValidation operator="greaterThan" allowBlank="1" showInputMessage="1" showErrorMessage="1" promptTitle="Enter number of attending weekly" prompt="How many people on average attend the project's Sabbath worship group(s) and care group(s)—including the Pioneer and their family, Adventists, and non-Adventists?" sqref="F55" xr:uid="{A21241AE-C866-C84D-A58E-60B520BEF3F3}"/>
    <dataValidation allowBlank="1" showInputMessage="1" showErrorMessage="1" errorTitle="Invalid Entry" promptTitle="Number of Baptisms" prompt="What is the total number of people baptized because of the project from January to December of the previous year?" sqref="F57" xr:uid="{BE6E2A65-17C2-994A-84A8-DD39D94DF438}"/>
    <dataValidation allowBlank="1" showInputMessage="1" showErrorMessage="1" errorTitle="Invalid Entry" promptTitle="Number Preparing for Baptism" prompt="How many people are actively preparing for baptism as of December 31 of the previous year?" sqref="F59" xr:uid="{36B0F18E-1267-3646-8343-B31E26F27D3E}"/>
    <dataValidation operator="greaterThan" allowBlank="1" showInputMessage="1" showErrorMessage="1" promptTitle="Number in Baptismal Class" prompt="How many people are actively preparing for baptism as of December 31 of the previous year?" sqref="F59" xr:uid="{5CA3C9E8-9BAF-134F-B702-1B99106D8279}"/>
    <dataValidation allowBlank="1" sqref="B5:I10 B58:I58 G59:I59 B59:E59 D57:E57 G57:I57 D54:I54 D55:E55 G55:I55 D33:I33 G53:I53 B53:E53 B49:I52 G48:I48 B48:E48 B44:I44 G45:I45 B45:E45 B159:I159 G43:I43 B43:E43 B157:I157 B37:I37 G38:I38 B38:E38 B35:I35 G36:I36 B36:E36 D34:E34 G34:I34 D31:I31 D32:E32 G32:I32 D29:I29 D30:E30 G30:I30 D28:E28 G28:I28 D24:E26 B14:I14 G13:I13 B13:E13 B12:I12 G11:I11 B11:E11 D56:I56 D20:I23 B54:C57 B60:I60 F68 F16 F92:F94 E134:E137 F82:F84 F70 F72:F74 E18:F18 D151:E151 F102:F103 F105 B46:I47 F140 F62:F66 B153:I155 B161:I161 B39:I42 B15:E19 B61:E114 G15:I19 F113:F116 F118 F120 D124:F124 F126 F130 D132:F132 F128 F134:F136 E138:F138 F142 E144:F144 E148:F148 D150:F150 F146 E139:E143 E122:F122 D115:D123 E115:E121 E123 E207 D166:D176 D192 D178 D180 D182 D184 D186 C211 D223 D225 D227 G24:I26 B212:F215 B20:C34 D27:I27 C207 E197 B152:D165 F152:F168 E152:E175 D188 D203:E203 D202 D190 E195 D194:D198 E205 D200 C224:E224 F170:F211 F25 D134:D149 D133:E133 D125:E131 B115:C145 B148:C151 L175 B146:E147 E145:E147 E149 F244:F247 C166:C175 C177:E177 C179:E179 C181:E181 C183:E183 C185:E185 C187:E187 C189:E189 C191:E191 C193:E193 C195 C197 C199:E199 C201:E201 C203:C205 B166:B211 D204:D211 C209 C228:E228 C226:E226 B216:E222 C230:C233 B223:B233 F216:F233 G61:I233 B234:C235 E234:I235 D229:D235" xr:uid="{111E07C2-6E6C-B34D-BE30-AB7AA4444B64}"/>
    <dataValidation allowBlank="1" showInputMessage="1" showErrorMessage="1" errorTitle="Invalid Entry" promptTitle="Enter local coordinator's name" prompt="Enter the city/town this project will be based in." sqref="F156" xr:uid="{3B705238-D287-0541-882B-5CC3E0F869FD}"/>
    <dataValidation type="list" allowBlank="1" showInputMessage="1" showErrorMessage="1" errorTitle="Invalid Entry" promptTitle="Select Group Type Established" prompt="Select" sqref="F61" xr:uid="{6C7241DF-D0AE-5545-A474-9E721948EE0D}">
      <formula1>$E$262:$E$265</formula1>
    </dataValidation>
    <dataValidation allowBlank="1" showInputMessage="1" showErrorMessage="1" errorTitle="Invalid Entry" promptTitle="Write your alternate plan here" prompt="Use this space to give a short description of how you intend to continue the established group once start-up funding has ended." sqref="F19" xr:uid="{1196A7FD-BAD4-C24C-80DC-FDAD2C1209D8}"/>
    <dataValidation allowBlank="1" showInputMessage="1" promptTitle="Write alternate plan here" prompt="Use this space to write in a short plan of how you will take care of the group established after funding ends." sqref="F19" xr:uid="{2F44BB25-BC86-F64A-BB09-F03B93CE7902}"/>
    <dataValidation type="list" allowBlank="1" showInputMessage="1" showErrorMessage="1" errorTitle="Invalid Entry" promptTitle="Select plan for end of funding" prompt="Make your selection from the drop-down menu by clicking the small arrow at the right of the cell." sqref="F17" xr:uid="{C34DC019-98C4-E148-AC52-E79A91F5C286}">
      <formula1>$E$289:$E$292</formula1>
    </dataValidation>
    <dataValidation allowBlank="1" showInputMessage="1" promptTitle="First/given name" prompt="Please enter the Global Mission Pioneer's first/given name." sqref="F119" xr:uid="{A3FD1A93-4EE3-5A46-A1AA-89F61F6A0C6F}"/>
    <dataValidation type="list" allowBlank="1" showInputMessage="1" showErrorMessage="1" errorTitle="Invalid Entry" promptTitle="Select the number of Pioneers" prompt="Make your selection from the drop-down menu by clicking the small arrow at the right of the cell." sqref="F117" xr:uid="{72192816-A2E6-4045-A39B-EBB99AF1473A}">
      <formula1>$E$295:$E$296</formula1>
    </dataValidation>
    <dataValidation allowBlank="1" showInputMessage="1" promptTitle="Family name" prompt="Please enter the Global Mission Pioneer's family name." sqref="F139" xr:uid="{6DB03649-471C-7947-AE81-1C9B700C8BA0}"/>
    <dataValidation allowBlank="1" showInputMessage="1" showErrorMessage="1" promptTitle="Enter Pioneer's Mobile Number" prompt="Please enter the mobile phone number of the Global Mission Pioneer." sqref="F127:F128 F145:F146" xr:uid="{037FA896-4BCF-5446-9C45-E0183F019D89}"/>
    <dataValidation allowBlank="1" showInputMessage="1" showErrorMessage="1" promptTitle="Enter Pioneer's E-mail" prompt="Please enter the e-mail address of the Global Mission pioneer." sqref="F125 F143" xr:uid="{2D29EE8E-956B-FF4B-B0DF-61F0742B2F7C}"/>
    <dataValidation allowBlank="1" showInputMessage="1" showErrorMessage="1" errorTitle="Invalid Entry" promptTitle="Enter Pioneer's E-mail" prompt="Enter the e-mail address for the Global Mission Pioneer" sqref="F125 F127:F128 F143 F145:F146" xr:uid="{7BFFFE71-CC04-BA45-A4C4-4FE05F6B48A2}"/>
    <dataValidation type="whole" operator="greaterThanOrEqual" allowBlank="1" showInputMessage="1" showErrorMessage="1" errorTitle="Invalid Entry" promptTitle="Enter years of service" prompt="Please enter the total number of years the Global Mission Pioneer has worked in any Global Mission project." sqref="F149 F131" xr:uid="{FFE09F5F-EF25-3645-BC9D-7883E48EF6E2}">
      <formula1>0</formula1>
    </dataValidation>
    <dataValidation allowBlank="1" showInputMessage="1" showErrorMessage="1" errorTitle="Invalid Entry" promptTitle="Years of Service" prompt="Enter the e-mail address for the Global Mission Pioneer" sqref="F131 F149" xr:uid="{08460063-FF4B-4E4F-9234-B3E43282FD39}"/>
    <dataValidation type="list" allowBlank="1" showInputMessage="1" showErrorMessage="1" errorTitle="Invalid Entry" promptTitle="Select Education Level" prompt="Make your selection from the drop-down menu by clicking the small arrow at the right of the cell." sqref="F133 F151" xr:uid="{669D165B-F5D8-7647-9AB2-63DBC220E724}">
      <formula1>$E$328:$E$332</formula1>
    </dataValidation>
    <dataValidation type="list" allowBlank="1" showInputMessage="1" showErrorMessage="1" errorTitle="Invalid Entry" promptTitle="Select Pioneer Work Status" prompt="Make your selection from the drop-down menu by clicking the small arrow at the right of the cell." sqref="F129 F147" xr:uid="{09BCC68C-A343-6A4A-87A6-58EA64E3584C}">
      <formula1>$E$335:$E$336</formula1>
    </dataValidation>
    <dataValidation type="list" allowBlank="1" showInputMessage="1" showErrorMessage="1" errorTitle="Invalid Entry" promptTitle="Select project type" prompt="Make your selection from the drop-down menu by clicking the small arrow at the right of the cell." sqref="F67" xr:uid="{4CC3AC9C-FBB6-2D41-A559-E3D5D29CF556}">
      <formula1>$E$256:$E$259</formula1>
    </dataValidation>
    <dataValidation type="list" allowBlank="1" showInputMessage="1" showErrorMessage="1" errorTitle="Invalid Entry" promptTitle="Select organizational goal" prompt="Make your selection from the drop-down menu by clicking the small arrow at the right of the cell." sqref="F69" xr:uid="{F38A5E39-B09A-3A48-8163-D8484A178C50}">
      <formula1>$E$263:$E$265</formula1>
    </dataValidation>
    <dataValidation type="list" allowBlank="1" sqref="F17" xr:uid="{8AF344CC-EB76-D648-9CAB-4CF05BA4D854}">
      <formula1>$E$289:$E$292</formula1>
    </dataValidation>
    <dataValidation type="list" allowBlank="1" showInputMessage="1" showErrorMessage="1" errorTitle="Invalid Entry" promptTitle="Select your project phase" prompt="Choose the project phase which best describes what needs to occur this year. Please see the instructions for more information." sqref="F71" xr:uid="{BB64DB13-D0DC-014C-8774-6D60CA95C387}">
      <formula1>$E$269:$E$272</formula1>
    </dataValidation>
    <dataValidation allowBlank="1" showInputMessage="1" showErrorMessage="1" errorTitle="Invalid Entry" promptTitle="Write in your plan" prompt="Give a short description of your plan for supporting the work established after start-up funding stops." sqref="F19" xr:uid="{EE519AF2-F68E-3543-A64F-999AA44E1091}"/>
    <dataValidation allowBlank="1" showInputMessage="1" promptTitle="Write action step 1" prompt="Write a short description of one thing you will do to accomplish this objective. (specific, measurable, attainable, realistic, time-bound goals) " sqref="F75 F95 F85 F106 F77" xr:uid="{543255EC-E209-AD4A-BD81-75CCDC36419A}"/>
    <dataValidation type="list" allowBlank="1" showInputMessage="1" promptTitle="When will you start this action?" prompt="Make your selection from the drop-down menu by clicking the small arrow at the right of the cell." sqref="F76 F111 F109 F107 F90 F88 F86 F100 F98 F96 F80 F78" xr:uid="{1110344A-B792-284A-A36F-A9933D232D55}">
      <formula1>$E$275:$E$286</formula1>
    </dataValidation>
    <dataValidation allowBlank="1" showInputMessage="1" promptTitle="Write action step 2" prompt="Write a short description of one thing you will do to accomplish this objective. (specific, measurable, attainable, realistic, time-bound goals) " sqref="F108 F97 F87" xr:uid="{18C86E38-D098-A14F-B4BC-217D9B0C6651}"/>
    <dataValidation allowBlank="1" showInputMessage="1" promptTitle="Write action step 3" prompt="Write a short description of one thing you will do to accomplish this objective. (specific, measurable, attainable, realistic, time-bound goals) " sqref="F79 F99 F89 F110" xr:uid="{5C4362E6-F664-2C4D-8BB8-8D58D0D448AF}"/>
    <dataValidation allowBlank="1" showInputMessage="1" promptTitle="Write minimum gain" prompt="What is smallest accomplishment acceptable for the actions of this objective to still consider this year a success?" sqref="F81 F91 F101 F112" xr:uid="{21A57802-8F05-F247-B129-5BDEA31639A3}"/>
    <dataValidation allowBlank="1" showInputMessage="1" promptTitle="Optional Objective 4" prompt="If you need another objective, write your personalized Objective 4 here." sqref="F104" xr:uid="{04FABF04-897A-044B-839B-22E289CCB493}"/>
    <dataValidation type="list" allowBlank="1" showInputMessage="1" showErrorMessage="1" errorTitle="Invalid Entry" error="Please make your selection from the drop-down menu." promptTitle="Select primary religion" prompt="Enter the religious group this project will focus on reaching. (ex: Muslim) Select from the drop-down menu." sqref="F43" xr:uid="{E814C12E-E222-E24D-9253-82AE41326495}">
      <formula1>$E$302:$E$309</formula1>
    </dataValidation>
    <dataValidation type="list" allowBlank="1" showInputMessage="1" showErrorMessage="1" errorTitle="Invalid Entry" promptTitle="Select primary religion" prompt="Enter the city/town this project will be based in." sqref="F43" xr:uid="{2F1C45D8-CB99-1246-9C92-3CC95EDCC9A7}">
      <formula1>$E$302:$E$309</formula1>
    </dataValidation>
    <dataValidation type="list" operator="equal" allowBlank="1" showInputMessage="1" showErrorMessage="1" errorTitle="Invalid Entry" promptTitle="Caution" prompt="Only enter a project ID# if one is already assigned to it by the Jordan database (leave blank for new projects)." sqref="F17" xr:uid="{96D270D6-F15E-9E4A-94A0-8ABE1C95A44C}">
      <formula1>"4"</formula1>
    </dataValidation>
    <dataValidation operator="equal" allowBlank="1" showInputMessage="1" showErrorMessage="1" errorTitle="Invalid Entry" promptTitle="Caution" prompt="Only enter a project ID# if one is already assigned to it by the Jordan database (leave blank for new projects)." sqref="F19" xr:uid="{C6CD3E7E-7462-7E45-98C0-94690221E1A0}"/>
    <dataValidation type="list" allowBlank="1" sqref="F117" xr:uid="{8068FF2F-AEEA-DC45-B8BE-941508A92F1A}">
      <formula1>"1, 2"</formula1>
    </dataValidation>
    <dataValidation allowBlank="1" showInputMessage="1" sqref="F119 F139 F125 F131 F133 F127:F129 F151 F143 F145:F147 F149" xr:uid="{0E5288A6-E47E-204E-94C2-32DE40816F11}"/>
    <dataValidation type="list" allowBlank="1" showInputMessage="1" showErrorMessage="1" errorTitle="Invalid Entry" promptTitle="Gender" prompt="Make your selection from the drop-down menu by clicking the small arrow at the right of the cell." sqref="F141 F123" xr:uid="{75CC4727-1E1A-1F49-92CE-4960A63F3372}">
      <formula1>"Male, Female"</formula1>
    </dataValidation>
    <dataValidation type="list" allowBlank="1" showInputMessage="1" sqref="F141 F123" xr:uid="{EF10B390-7A0D-4B48-8365-CA3752D4E88E}">
      <formula1>"Male, Female"</formula1>
    </dataValidation>
    <dataValidation type="list" allowBlank="1" showInputMessage="1" showErrorMessage="1" errorTitle="Invalid Entry" promptTitle="Select number of bonus months" prompt="Make your selection from the drop-down menu by clicking the small arrow at the right of the cell." sqref="F169" xr:uid="{59D2B1B4-77D6-794D-90FA-6A83F7A07522}">
      <formula1>"0, 1, 2"</formula1>
    </dataValidation>
    <dataValidation type="list" allowBlank="1" showInputMessage="1" showErrorMessage="1" errorTitle="Input Invalid" promptTitle="Select your local entity" prompt="Make your selection from the drop-down menu by clicking the small arrow at the right of the cell." sqref="F26" xr:uid="{3A089048-6664-4B40-AEC5-5718F6A5F5C6}">
      <formula1>"Region, Mission, Conference"</formula1>
    </dataValidation>
    <dataValidation type="list" allowBlank="1" showInputMessage="1" showErrorMessage="1" promptTitle="Enter Pioneer's Mobile Number" prompt="Please enter the mobile phone number of the Global Mission Pioneer." sqref="F129" xr:uid="{8C733BA0-710F-E647-9078-4B56C1D3384F}">
      <formula1>$E$335:$E$336</formula1>
    </dataValidation>
    <dataValidation allowBlank="1" showErrorMessage="1" errorTitle="Invalid Entry" promptTitle="Enter Pioneer's E-mail" prompt="Enter the e-mail address for the Global Mission Pioneer" sqref="F129 F147" xr:uid="{DDA4E9DB-A045-7148-A6B6-FBECA63F13EA}"/>
    <dataValidation allowBlank="1" showInputMessage="1" promptTitle="Family name" prompt="Please enter the Global Mission Pioneer's last name." sqref="F121" xr:uid="{649FDC5C-CCE5-1443-9343-58563DAE2344}"/>
    <dataValidation allowBlank="1" showInputMessage="1" promptTitle="Last Name" sqref="F121" xr:uid="{7876DF1D-A266-7047-8611-7D4F420D5984}"/>
    <dataValidation allowBlank="1" showInputMessage="1" showErrorMessage="1" promptTitle="First/given name" prompt="Please enter the Global Mission Pioneer's first/given name." sqref="F137" xr:uid="{31ECF45B-D456-2B49-8412-B62CA5A1A749}"/>
    <dataValidation allowBlank="1" showErrorMessage="1" promptTitle="Enter Pioneer's Mobile Number" prompt="Please enter the mobile phone number of the Global Mission Pioneer." sqref="F147" xr:uid="{008C405C-7277-8446-9F52-16E99BC569FD}"/>
  </dataValidations>
  <pageMargins left="0.7" right="0.7" top="0.75" bottom="0.75" header="0.3" footer="0.3"/>
  <pageSetup scale="76" fitToHeight="6" orientation="portrait"/>
  <headerFooter>
    <oddFooter>&amp;C&amp;"Helvetica Neue,Regular"&amp;12&amp;K000000&amp;P</oddFooter>
  </headerFooter>
  <rowBreaks count="3" manualBreakCount="3">
    <brk id="50" max="16383" man="1"/>
    <brk id="63" max="16383" man="1"/>
    <brk id="10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promptTitle="Enter the People Group" prompt="Select the ethnic group or language group grouping this project will focus on reaching. (ex: Shaikh) Select from the drop-down menu." xr:uid="{12E30E4F-5EAC-264F-907A-D78F6B1962B9}">
          <x14:formula1>
            <xm:f>'Unreached Data'!$AQ$3:$AQ$52</xm:f>
          </x14:formula1>
          <xm:sqref>F45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BAC62-4E07-2A43-B099-68C17DEDF642}">
  <sheetPr>
    <pageSetUpPr fitToPage="1"/>
  </sheetPr>
  <dimension ref="B2:IY120"/>
  <sheetViews>
    <sheetView showGridLines="0" zoomScale="125" zoomScaleNormal="125" workbookViewId="0">
      <selection activeCell="E8" sqref="E8"/>
    </sheetView>
  </sheetViews>
  <sheetFormatPr baseColWidth="10" defaultColWidth="16.33203125" defaultRowHeight="16" customHeight="1"/>
  <cols>
    <col min="1" max="3" width="2.83203125" style="2" customWidth="1"/>
    <col min="4" max="4" width="23.1640625" style="1" customWidth="1"/>
    <col min="5" max="5" width="68" style="1" customWidth="1"/>
    <col min="6" max="8" width="2.83203125" style="1" customWidth="1"/>
    <col min="9" max="259" width="16.33203125" style="1" customWidth="1"/>
    <col min="260" max="16384" width="16.33203125" style="2"/>
  </cols>
  <sheetData>
    <row r="2" spans="2:174" s="4" customFormat="1" ht="16" customHeight="1">
      <c r="B2" s="239"/>
      <c r="C2" s="239"/>
      <c r="D2" s="476" t="str">
        <f>'Planning Template'!E28&amp;"-"&amp;'Planning Template'!$F$24&amp;" Global Mission Project: "&amp;'Planning Template'!$F$11&amp;" Jordan Application Data"</f>
        <v>Union- Global Mission Project:  Jordan Application Data</v>
      </c>
      <c r="E2" s="476"/>
      <c r="F2" s="192"/>
      <c r="G2" s="23"/>
      <c r="H2" s="23"/>
      <c r="I2" s="3"/>
      <c r="J2" s="3"/>
      <c r="K2" s="187"/>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row>
    <row r="3" spans="2:174" s="4" customFormat="1" ht="32" customHeight="1">
      <c r="B3" s="239"/>
      <c r="C3" s="239"/>
      <c r="D3" s="480" t="s">
        <v>5047</v>
      </c>
      <c r="E3" s="480"/>
      <c r="F3" s="240"/>
      <c r="G3" s="241"/>
      <c r="H3" s="5"/>
      <c r="I3" s="3"/>
      <c r="J3" s="3"/>
      <c r="K3" s="187"/>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row>
    <row r="4" spans="2:174" s="4" customFormat="1" ht="32" customHeight="1" thickBot="1">
      <c r="B4" s="481" t="str">
        <f>'Planning Template'!$F$11&amp;" Plans for ID#"&amp;'Planning Template'!$F$15&amp;": "&amp;'Planning Template'!$F$28&amp;"-"&amp;'Planning Template'!$F$24&amp;" "&amp;'Planning Template'!$F$36&amp;" ("&amp;'Planning Template'!$F$43&amp;": "&amp;'Planning Template'!$F$45&amp;") "&amp;'Planning Template'!$F$339&amp;"-Year Start-up Project"</f>
        <v xml:space="preserve"> Plans for ID#: -  (: ) 5-Year Start-up Project</v>
      </c>
      <c r="C4" s="481"/>
      <c r="D4" s="481"/>
      <c r="E4" s="481"/>
      <c r="F4" s="481"/>
      <c r="G4" s="481"/>
      <c r="H4" s="6"/>
      <c r="I4" s="6"/>
      <c r="J4" s="3"/>
      <c r="K4" s="187"/>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row>
    <row r="5" spans="2:174" s="4" customFormat="1" ht="18" thickTop="1" thickBot="1">
      <c r="B5" s="197"/>
      <c r="C5" s="198"/>
      <c r="D5" s="199"/>
      <c r="E5" s="200"/>
      <c r="F5" s="200"/>
      <c r="G5" s="201"/>
      <c r="H5" s="3"/>
      <c r="I5" s="3"/>
      <c r="J5" s="3"/>
      <c r="K5" s="187"/>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row>
    <row r="6" spans="2:174" s="4" customFormat="1" ht="17" thickTop="1">
      <c r="B6" s="202"/>
      <c r="C6" s="31"/>
      <c r="D6" s="50"/>
      <c r="E6" s="35"/>
      <c r="F6" s="36"/>
      <c r="G6" s="203"/>
      <c r="H6" s="3"/>
      <c r="I6" s="3"/>
      <c r="J6" s="3"/>
      <c r="K6" s="187"/>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row>
    <row r="7" spans="2:174" s="4" customFormat="1" ht="57" thickBot="1">
      <c r="B7" s="202"/>
      <c r="C7" s="37"/>
      <c r="D7" s="242" t="s">
        <v>4937</v>
      </c>
      <c r="E7" s="225" t="s">
        <v>4959</v>
      </c>
      <c r="F7" s="33"/>
      <c r="G7" s="203"/>
      <c r="H7" s="3"/>
      <c r="I7" s="3"/>
      <c r="J7" s="3"/>
      <c r="K7" s="187"/>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row>
    <row r="8" spans="2:174" s="1" customFormat="1" ht="14">
      <c r="B8" s="202"/>
      <c r="C8" s="207"/>
      <c r="D8" s="248" t="s">
        <v>4938</v>
      </c>
      <c r="E8" s="319" t="str">
        <f>'Planning Template'!$F$28&amp;"-"&amp;'Planning Template'!$F$24&amp;" "&amp;'Planning Template'!$F$36&amp;" "&amp;'Planning Template'!$F$43</f>
        <v xml:space="preserve">-  </v>
      </c>
      <c r="F8" s="208"/>
      <c r="G8" s="203"/>
    </row>
    <row r="9" spans="2:174" s="1" customFormat="1" ht="14">
      <c r="B9" s="202"/>
      <c r="C9" s="207"/>
      <c r="D9" s="248" t="s">
        <v>4939</v>
      </c>
      <c r="E9" s="320" t="str">
        <f>"GM"&amp;'Planning Template'!$F$15</f>
        <v>GM</v>
      </c>
      <c r="F9" s="208"/>
      <c r="G9" s="203"/>
    </row>
    <row r="10" spans="2:174" s="1" customFormat="1" ht="14">
      <c r="B10" s="202"/>
      <c r="C10" s="207"/>
      <c r="D10" s="248" t="s">
        <v>4940</v>
      </c>
      <c r="E10" s="320">
        <f>'Planning Template'!$F$30</f>
        <v>0</v>
      </c>
      <c r="F10" s="208"/>
      <c r="G10" s="203"/>
    </row>
    <row r="11" spans="2:174" s="1" customFormat="1" ht="14">
      <c r="B11" s="202"/>
      <c r="C11" s="207"/>
      <c r="D11" s="248" t="s">
        <v>4941</v>
      </c>
      <c r="E11" s="320">
        <f>'Planning Template'!$F$11</f>
        <v>0</v>
      </c>
      <c r="F11" s="208"/>
      <c r="G11" s="203"/>
    </row>
    <row r="12" spans="2:174" s="1" customFormat="1" ht="14">
      <c r="B12" s="202"/>
      <c r="C12" s="207"/>
      <c r="D12" s="248" t="s">
        <v>4942</v>
      </c>
      <c r="E12" s="320" t="str">
        <f>'Planning Template'!$F$339&amp;" Years"</f>
        <v>5 Years</v>
      </c>
      <c r="F12" s="208"/>
      <c r="G12" s="203"/>
    </row>
    <row r="13" spans="2:174" s="1" customFormat="1" ht="14">
      <c r="B13" s="202"/>
      <c r="C13" s="207"/>
      <c r="D13" s="248" t="s">
        <v>4943</v>
      </c>
      <c r="E13" s="320" t="str">
        <f>'Planning Template'!$F$43&amp;" ("&amp;'Planning Template'!$F$45&amp;")"</f>
        <v xml:space="preserve"> ()</v>
      </c>
      <c r="F13" s="208"/>
      <c r="G13" s="203"/>
    </row>
    <row r="14" spans="2:174" s="1" customFormat="1" ht="28">
      <c r="B14" s="202"/>
      <c r="C14" s="207"/>
      <c r="D14" s="248" t="s">
        <v>4944</v>
      </c>
      <c r="E14" s="321">
        <f>'Planning Template'!$F$48</f>
        <v>0</v>
      </c>
      <c r="F14" s="208"/>
      <c r="G14" s="203"/>
    </row>
    <row r="15" spans="2:174" s="1" customFormat="1" ht="14">
      <c r="B15" s="202"/>
      <c r="C15" s="207"/>
      <c r="D15" s="248" t="s">
        <v>4945</v>
      </c>
      <c r="E15" s="320">
        <f>'Planning Template'!$F$53</f>
        <v>0</v>
      </c>
      <c r="F15" s="208"/>
      <c r="G15" s="203"/>
    </row>
    <row r="16" spans="2:174" s="1" customFormat="1" ht="14">
      <c r="B16" s="202"/>
      <c r="C16" s="207"/>
      <c r="D16" s="248" t="s">
        <v>4946</v>
      </c>
      <c r="E16" s="320">
        <f>'Planning Template'!$F$117</f>
        <v>0</v>
      </c>
      <c r="F16" s="208"/>
      <c r="G16" s="203"/>
    </row>
    <row r="17" spans="2:7" s="1" customFormat="1" ht="14">
      <c r="B17" s="202"/>
      <c r="C17" s="207"/>
      <c r="D17" s="248" t="s">
        <v>4947</v>
      </c>
      <c r="E17" s="320">
        <f>'Planning Template'!$F$38</f>
        <v>0</v>
      </c>
      <c r="F17" s="208"/>
      <c r="G17" s="203"/>
    </row>
    <row r="18" spans="2:7" s="1" customFormat="1" ht="14">
      <c r="B18" s="202"/>
      <c r="C18" s="207"/>
      <c r="D18" s="248" t="s">
        <v>4948</v>
      </c>
      <c r="E18" s="322" t="s">
        <v>4954</v>
      </c>
      <c r="F18" s="208"/>
      <c r="G18" s="203"/>
    </row>
    <row r="19" spans="2:7" s="1" customFormat="1" ht="14">
      <c r="B19" s="202"/>
      <c r="C19" s="207"/>
      <c r="D19" s="248" t="s">
        <v>4955</v>
      </c>
      <c r="E19" s="320">
        <f>'Planning Template'!$F$32</f>
        <v>0</v>
      </c>
      <c r="F19" s="208"/>
      <c r="G19" s="203"/>
    </row>
    <row r="20" spans="2:7" s="1" customFormat="1" ht="14">
      <c r="B20" s="202"/>
      <c r="C20" s="207"/>
      <c r="D20" s="248" t="s">
        <v>4949</v>
      </c>
      <c r="E20" s="320">
        <f>'Planning Template'!$F$34</f>
        <v>0</v>
      </c>
      <c r="F20" s="208"/>
      <c r="G20" s="203"/>
    </row>
    <row r="21" spans="2:7" s="1" customFormat="1" ht="14">
      <c r="B21" s="202"/>
      <c r="C21" s="207"/>
      <c r="D21" s="248" t="s">
        <v>4950</v>
      </c>
      <c r="E21" s="320">
        <f>'Planning Template'!$F$36</f>
        <v>0</v>
      </c>
      <c r="F21" s="208"/>
      <c r="G21" s="203"/>
    </row>
    <row r="22" spans="2:7" s="1" customFormat="1" ht="14">
      <c r="B22" s="202"/>
      <c r="C22" s="207"/>
      <c r="D22" s="248" t="s">
        <v>4951</v>
      </c>
      <c r="E22" s="320">
        <f>'Planning Template'!$F$156</f>
        <v>0</v>
      </c>
      <c r="F22" s="208"/>
      <c r="G22" s="203"/>
    </row>
    <row r="23" spans="2:7" s="1" customFormat="1" ht="14">
      <c r="B23" s="202"/>
      <c r="C23" s="207"/>
      <c r="D23" s="248" t="s">
        <v>4952</v>
      </c>
      <c r="E23" s="320">
        <f>'Planning Template'!$F$158</f>
        <v>0</v>
      </c>
      <c r="F23" s="208"/>
      <c r="G23" s="203"/>
    </row>
    <row r="24" spans="2:7" s="1" customFormat="1" ht="14">
      <c r="B24" s="202"/>
      <c r="C24" s="207"/>
      <c r="D24" s="248" t="s">
        <v>4953</v>
      </c>
      <c r="E24" s="323">
        <f>'Planning Template'!$F$160</f>
        <v>0</v>
      </c>
      <c r="F24" s="208"/>
      <c r="G24" s="203"/>
    </row>
    <row r="25" spans="2:7" s="1" customFormat="1" ht="14" thickBot="1">
      <c r="B25" s="202"/>
      <c r="C25" s="207"/>
      <c r="D25" s="196"/>
      <c r="E25" s="324"/>
      <c r="F25" s="208"/>
      <c r="G25" s="203"/>
    </row>
    <row r="26" spans="2:7" s="1" customFormat="1" ht="13">
      <c r="B26" s="202"/>
      <c r="C26" s="207"/>
      <c r="D26" s="237"/>
      <c r="E26" s="238"/>
      <c r="F26" s="208"/>
      <c r="G26" s="203"/>
    </row>
    <row r="27" spans="2:7" s="1" customFormat="1" ht="57" thickBot="1">
      <c r="B27" s="202"/>
      <c r="C27" s="207"/>
      <c r="D27" s="242" t="s">
        <v>4958</v>
      </c>
      <c r="E27" s="225" t="s">
        <v>5045</v>
      </c>
      <c r="F27" s="208"/>
      <c r="G27" s="203"/>
    </row>
    <row r="28" spans="2:7" s="1" customFormat="1" ht="13">
      <c r="B28" s="202"/>
      <c r="C28" s="207"/>
      <c r="D28" s="243"/>
      <c r="E28" s="325" t="str">
        <f>'Planning Template'!$E$64</f>
        <v xml:space="preserve"> Project Strategic Plan</v>
      </c>
      <c r="F28" s="208"/>
      <c r="G28" s="203"/>
    </row>
    <row r="29" spans="2:7" s="1" customFormat="1" ht="14">
      <c r="B29" s="202"/>
      <c r="C29" s="207"/>
      <c r="D29" s="244" t="s">
        <v>4965</v>
      </c>
      <c r="E29" s="326" t="str">
        <f>"Purpose: "&amp;'Planning Template'!$F$65</f>
        <v>Purpose: To establish a  amongst the  () people in  leading to an  within 5 years.</v>
      </c>
      <c r="F29" s="208"/>
      <c r="G29" s="203"/>
    </row>
    <row r="30" spans="2:7" s="1" customFormat="1" ht="13">
      <c r="B30" s="202"/>
      <c r="C30" s="207"/>
      <c r="D30" s="244"/>
      <c r="E30" s="326"/>
      <c r="F30" s="208"/>
      <c r="G30" s="203"/>
    </row>
    <row r="31" spans="2:7" s="1" customFormat="1" ht="14">
      <c r="B31" s="202"/>
      <c r="C31" s="207"/>
      <c r="D31" s="244" t="s">
        <v>3</v>
      </c>
      <c r="E31" s="327">
        <f>'Planning Template'!$F$71</f>
        <v>0</v>
      </c>
      <c r="F31" s="208"/>
      <c r="G31" s="203"/>
    </row>
    <row r="32" spans="2:7" s="1" customFormat="1" ht="13">
      <c r="B32" s="202"/>
      <c r="C32" s="207"/>
      <c r="D32" s="244"/>
      <c r="E32" s="327"/>
      <c r="F32" s="208"/>
      <c r="G32" s="203"/>
    </row>
    <row r="33" spans="2:7" s="1" customFormat="1" ht="14">
      <c r="B33" s="202"/>
      <c r="C33" s="207"/>
      <c r="D33" s="244" t="s">
        <v>4960</v>
      </c>
      <c r="E33" s="328" t="str">
        <f>"Objective "&amp;'Planning Template'!F73</f>
        <v xml:space="preserve">Objective </v>
      </c>
      <c r="F33" s="208"/>
      <c r="G33" s="203"/>
    </row>
    <row r="34" spans="2:7" s="1" customFormat="1" ht="14">
      <c r="B34" s="202"/>
      <c r="C34" s="207"/>
      <c r="D34" s="244"/>
      <c r="E34" s="327" t="str">
        <f>"Action 1A) "&amp;'Planning Template'!$F75&amp;" starting in "&amp;'Planning Template'!$F76&amp;" "&amp;'Planning Template'!$F$11</f>
        <v xml:space="preserve">Action 1A)  starting in  </v>
      </c>
      <c r="F34" s="208"/>
      <c r="G34" s="203"/>
    </row>
    <row r="35" spans="2:7" s="1" customFormat="1" ht="14">
      <c r="B35" s="202"/>
      <c r="C35" s="207"/>
      <c r="D35" s="244"/>
      <c r="E35" s="327" t="str">
        <f>"Action 1B) "&amp;'Planning Template'!$F77&amp;" starting in "&amp;'Planning Template'!$F78&amp;" "&amp;'Planning Template'!$F$11</f>
        <v xml:space="preserve">Action 1B)  starting in  </v>
      </c>
      <c r="F35" s="208"/>
      <c r="G35" s="203"/>
    </row>
    <row r="36" spans="2:7" s="1" customFormat="1" ht="14">
      <c r="B36" s="202"/>
      <c r="C36" s="207"/>
      <c r="D36" s="244"/>
      <c r="E36" s="327" t="str">
        <f>"Action 1C) "&amp;'Planning Template'!$F79&amp;" starting in "&amp;'Planning Template'!$F80&amp;" "&amp;'Planning Template'!$F$11</f>
        <v xml:space="preserve">Action 1C)  starting in  </v>
      </c>
      <c r="F36" s="208"/>
      <c r="G36" s="203"/>
    </row>
    <row r="37" spans="2:7" s="1" customFormat="1" ht="14">
      <c r="B37" s="202"/>
      <c r="C37" s="207"/>
      <c r="D37" s="244"/>
      <c r="E37" s="327" t="str">
        <f>"Minimum Gain 1) "&amp;'Planning Template'!F81</f>
        <v xml:space="preserve">Minimum Gain 1) </v>
      </c>
      <c r="F37" s="208"/>
      <c r="G37" s="203"/>
    </row>
    <row r="38" spans="2:7" s="1" customFormat="1" ht="13">
      <c r="B38" s="202"/>
      <c r="C38" s="207"/>
      <c r="D38" s="244"/>
      <c r="E38" s="327"/>
      <c r="F38" s="208"/>
      <c r="G38" s="203"/>
    </row>
    <row r="39" spans="2:7" s="1" customFormat="1" ht="14">
      <c r="B39" s="202"/>
      <c r="C39" s="207"/>
      <c r="D39" s="244" t="s">
        <v>4960</v>
      </c>
      <c r="E39" s="329" t="str">
        <f>"Objective "&amp;'Planning Template'!F83</f>
        <v xml:space="preserve">Objective </v>
      </c>
      <c r="F39" s="208"/>
      <c r="G39" s="203"/>
    </row>
    <row r="40" spans="2:7" s="1" customFormat="1" ht="14">
      <c r="B40" s="202"/>
      <c r="C40" s="207"/>
      <c r="D40" s="244"/>
      <c r="E40" s="327" t="str">
        <f>"Action 2A) "&amp;'Planning Template'!$F85&amp;" starting in "&amp;'Planning Template'!$F86&amp;" "&amp;'Planning Template'!$F$11</f>
        <v xml:space="preserve">Action 2A)  starting in  </v>
      </c>
      <c r="F40" s="208"/>
      <c r="G40" s="203"/>
    </row>
    <row r="41" spans="2:7" s="1" customFormat="1" ht="14">
      <c r="B41" s="202"/>
      <c r="C41" s="207"/>
      <c r="D41" s="244"/>
      <c r="E41" s="327" t="str">
        <f>"Action 2B) "&amp;'Planning Template'!$F87&amp;" starting in "&amp;'Planning Template'!$F88&amp;" "&amp;'Planning Template'!$F$11</f>
        <v xml:space="preserve">Action 2B)  starting in  </v>
      </c>
      <c r="F41" s="208"/>
      <c r="G41" s="203"/>
    </row>
    <row r="42" spans="2:7" s="1" customFormat="1" ht="14">
      <c r="B42" s="202"/>
      <c r="C42" s="207"/>
      <c r="D42" s="244"/>
      <c r="E42" s="327" t="str">
        <f>"Action 2C) "&amp;'Planning Template'!$F89&amp;" starting in "&amp;'Planning Template'!$F90&amp;" "&amp;'Planning Template'!$F$11</f>
        <v xml:space="preserve">Action 2C)  starting in  </v>
      </c>
      <c r="F42" s="208"/>
      <c r="G42" s="203"/>
    </row>
    <row r="43" spans="2:7" s="1" customFormat="1" ht="14">
      <c r="B43" s="202"/>
      <c r="C43" s="207"/>
      <c r="D43" s="244"/>
      <c r="E43" s="327" t="str">
        <f>"Minimum Gain 2) "&amp;'Planning Template'!F91</f>
        <v xml:space="preserve">Minimum Gain 2) </v>
      </c>
      <c r="F43" s="208"/>
      <c r="G43" s="203"/>
    </row>
    <row r="44" spans="2:7" s="1" customFormat="1" ht="13">
      <c r="B44" s="202"/>
      <c r="C44" s="207"/>
      <c r="D44" s="244"/>
      <c r="E44" s="327"/>
      <c r="F44" s="208"/>
      <c r="G44" s="203"/>
    </row>
    <row r="45" spans="2:7" s="1" customFormat="1" ht="14">
      <c r="B45" s="202"/>
      <c r="C45" s="207"/>
      <c r="D45" s="244" t="s">
        <v>4960</v>
      </c>
      <c r="E45" s="328" t="str">
        <f>"Objective "&amp;'Planning Template'!F93</f>
        <v xml:space="preserve">Objective </v>
      </c>
      <c r="F45" s="208"/>
      <c r="G45" s="203"/>
    </row>
    <row r="46" spans="2:7" s="1" customFormat="1" ht="14">
      <c r="B46" s="202"/>
      <c r="C46" s="207"/>
      <c r="D46" s="244"/>
      <c r="E46" s="327" t="str">
        <f>"Action 3A) "&amp;'Planning Template'!$F95&amp;" starting in "&amp;'Planning Template'!$F96&amp;" "&amp;'Planning Template'!$F$11</f>
        <v xml:space="preserve">Action 3A)  starting in  </v>
      </c>
      <c r="F46" s="208"/>
      <c r="G46" s="203"/>
    </row>
    <row r="47" spans="2:7" s="1" customFormat="1" ht="14">
      <c r="B47" s="202"/>
      <c r="C47" s="207"/>
      <c r="D47" s="244"/>
      <c r="E47" s="327" t="str">
        <f>"Action 3B) "&amp;'Planning Template'!$F97&amp;" starting in "&amp;'Planning Template'!$F98&amp;" "&amp;'Planning Template'!$F$11</f>
        <v xml:space="preserve">Action 3B)  starting in  </v>
      </c>
      <c r="F47" s="208"/>
      <c r="G47" s="203"/>
    </row>
    <row r="48" spans="2:7" s="1" customFormat="1" ht="14">
      <c r="B48" s="202"/>
      <c r="C48" s="207"/>
      <c r="D48" s="244"/>
      <c r="E48" s="327" t="str">
        <f>"Action 3C:)"&amp;'Planning Template'!$F99&amp;" starting in "&amp;'Planning Template'!$F100&amp;" "&amp;'Planning Template'!$F$11</f>
        <v xml:space="preserve">Action 3C:) starting in  </v>
      </c>
      <c r="F48" s="208"/>
      <c r="G48" s="203"/>
    </row>
    <row r="49" spans="2:7" s="1" customFormat="1" ht="14">
      <c r="B49" s="202"/>
      <c r="C49" s="207"/>
      <c r="D49" s="244"/>
      <c r="E49" s="327" t="str">
        <f>"Minimum Gain 3) "&amp;'Planning Template'!F101</f>
        <v xml:space="preserve">Minimum Gain 3) </v>
      </c>
      <c r="F49" s="208"/>
      <c r="G49" s="203"/>
    </row>
    <row r="50" spans="2:7" s="1" customFormat="1" ht="13">
      <c r="B50" s="202"/>
      <c r="C50" s="207"/>
      <c r="D50" s="244"/>
      <c r="E50" s="327"/>
      <c r="F50" s="208"/>
      <c r="G50" s="203"/>
    </row>
    <row r="51" spans="2:7" s="1" customFormat="1" ht="14">
      <c r="B51" s="202"/>
      <c r="C51" s="207"/>
      <c r="D51" s="244" t="s">
        <v>4960</v>
      </c>
      <c r="E51" s="328" t="str">
        <f>"Objective "&amp;'Planning Template'!F104</f>
        <v xml:space="preserve">Objective </v>
      </c>
      <c r="F51" s="208"/>
      <c r="G51" s="203"/>
    </row>
    <row r="52" spans="2:7" s="1" customFormat="1" ht="14">
      <c r="B52" s="202"/>
      <c r="C52" s="207"/>
      <c r="D52" s="244"/>
      <c r="E52" s="327" t="str">
        <f>"Action 4A) "&amp;'Planning Template'!$F106&amp;" starting in "&amp;'Planning Template'!$F107&amp;" "&amp;'Planning Template'!$F$11</f>
        <v xml:space="preserve">Action 4A)  starting in  </v>
      </c>
      <c r="F52" s="208"/>
      <c r="G52" s="203"/>
    </row>
    <row r="53" spans="2:7" s="1" customFormat="1" ht="14">
      <c r="B53" s="202"/>
      <c r="C53" s="207"/>
      <c r="D53" s="244"/>
      <c r="E53" s="327" t="str">
        <f>"Action 4B) "&amp;'Planning Template'!$F108&amp;" starting in "&amp;'Planning Template'!$F109&amp;" "&amp;'Planning Template'!$F$11</f>
        <v xml:space="preserve">Action 4B)  starting in  </v>
      </c>
      <c r="F53" s="208"/>
      <c r="G53" s="203"/>
    </row>
    <row r="54" spans="2:7" s="1" customFormat="1" ht="14">
      <c r="B54" s="202"/>
      <c r="C54" s="207"/>
      <c r="D54" s="244"/>
      <c r="E54" s="327" t="str">
        <f>"Action 4C) "&amp;'Planning Template'!$F110&amp;" starting in "&amp;'Planning Template'!$F111&amp;" "&amp;'Planning Template'!$F$11</f>
        <v xml:space="preserve">Action 4C)  starting in  </v>
      </c>
      <c r="F54" s="208"/>
      <c r="G54" s="203"/>
    </row>
    <row r="55" spans="2:7" s="1" customFormat="1" ht="14">
      <c r="B55" s="202"/>
      <c r="C55" s="207"/>
      <c r="D55" s="244"/>
      <c r="E55" s="327" t="str">
        <f>"Minimum Gain 4) "&amp;'Planning Template'!F112</f>
        <v xml:space="preserve">Minimum Gain 4) </v>
      </c>
      <c r="F55" s="208"/>
      <c r="G55" s="203"/>
    </row>
    <row r="56" spans="2:7" s="1" customFormat="1" ht="13">
      <c r="B56" s="202"/>
      <c r="C56" s="207"/>
      <c r="D56" s="244"/>
      <c r="E56" s="327"/>
      <c r="F56" s="208"/>
      <c r="G56" s="203"/>
    </row>
    <row r="57" spans="2:7" s="1" customFormat="1" ht="14">
      <c r="B57" s="202"/>
      <c r="C57" s="207"/>
      <c r="D57" s="244" t="s">
        <v>4971</v>
      </c>
      <c r="E57" s="330" t="str">
        <f>"End Plan: "&amp;IF('Planning Template'!$F$17="+'Planning Template'!$E$219",'Planning Template'!$F$19,'Planning Template'!$F$17)&amp;" after the "&amp;'Planning Template'!$F$339&amp;" years of startup funding is completed."</f>
        <v>End Plan:  after the 5 years of startup funding is completed.</v>
      </c>
      <c r="F57" s="208"/>
      <c r="G57" s="203"/>
    </row>
    <row r="58" spans="2:7" s="1" customFormat="1" ht="14" thickBot="1">
      <c r="B58" s="202"/>
      <c r="C58" s="207"/>
      <c r="D58" s="245"/>
      <c r="E58" s="214"/>
      <c r="F58" s="208"/>
      <c r="G58" s="203"/>
    </row>
    <row r="59" spans="2:7" s="1" customFormat="1" ht="13">
      <c r="B59" s="202"/>
      <c r="C59" s="207"/>
      <c r="D59" s="225"/>
      <c r="E59" s="194"/>
      <c r="F59" s="208"/>
      <c r="G59" s="203"/>
    </row>
    <row r="60" spans="2:7" s="1" customFormat="1" ht="70">
      <c r="B60" s="202"/>
      <c r="C60" s="249"/>
      <c r="D60" s="242" t="s">
        <v>4969</v>
      </c>
      <c r="E60" s="225" t="s">
        <v>5041</v>
      </c>
      <c r="F60" s="250"/>
      <c r="G60" s="203"/>
    </row>
    <row r="61" spans="2:7" s="1" customFormat="1" ht="19" thickBot="1">
      <c r="B61" s="202"/>
      <c r="C61" s="249"/>
      <c r="D61" s="242"/>
      <c r="E61" s="339" t="e">
        <f>"ALL VALUES BELOW ARE IN "&amp;'Planning Template'!$E$164</f>
        <v>#N/A</v>
      </c>
      <c r="F61" s="250"/>
      <c r="G61" s="203"/>
    </row>
    <row r="62" spans="2:7" s="1" customFormat="1" ht="14">
      <c r="B62" s="202"/>
      <c r="C62" s="249"/>
      <c r="D62" s="246" t="s">
        <v>5010</v>
      </c>
      <c r="E62" s="331" t="e">
        <f>FIXED('Planning Template'!E194,0)</f>
        <v>#N/A</v>
      </c>
      <c r="F62" s="250"/>
      <c r="G62" s="203"/>
    </row>
    <row r="63" spans="2:7" s="1" customFormat="1" ht="13">
      <c r="B63" s="202"/>
      <c r="C63" s="249"/>
      <c r="D63" s="303" t="s">
        <v>5008</v>
      </c>
      <c r="E63" s="332" t="e">
        <f>FIXED('Planning Template'!E190,0)</f>
        <v>#N/A</v>
      </c>
      <c r="F63" s="250"/>
      <c r="G63" s="203"/>
    </row>
    <row r="64" spans="2:7" s="1" customFormat="1" ht="13">
      <c r="B64" s="202"/>
      <c r="C64" s="249"/>
      <c r="D64" s="303" t="s">
        <v>5009</v>
      </c>
      <c r="E64" s="332" t="e">
        <f>FIXED('Planning Template'!E192,0)</f>
        <v>#N/A</v>
      </c>
      <c r="F64" s="250"/>
      <c r="G64" s="203"/>
    </row>
    <row r="65" spans="2:7" s="1" customFormat="1" ht="13">
      <c r="B65" s="202"/>
      <c r="C65" s="249"/>
      <c r="D65" s="303" t="s">
        <v>5011</v>
      </c>
      <c r="E65" s="332" t="e">
        <f>FIXED('Planning Template'!E198,0)</f>
        <v>#N/A</v>
      </c>
      <c r="F65" s="250"/>
      <c r="G65" s="203"/>
    </row>
    <row r="66" spans="2:7" s="1" customFormat="1" ht="13">
      <c r="B66" s="202"/>
      <c r="C66" s="249"/>
      <c r="D66" s="303" t="s">
        <v>5012</v>
      </c>
      <c r="E66" s="333" t="e">
        <f>FIXED('Planning Template'!E200,0)</f>
        <v>#N/A</v>
      </c>
      <c r="F66" s="250"/>
      <c r="G66" s="203"/>
    </row>
    <row r="67" spans="2:7" s="1" customFormat="1" ht="13">
      <c r="B67" s="202"/>
      <c r="C67" s="249"/>
      <c r="D67" s="303" t="s">
        <v>5015</v>
      </c>
      <c r="E67" s="332" t="e">
        <f>FIXED('Planning Template'!E206,0)</f>
        <v>#N/A</v>
      </c>
      <c r="F67" s="250"/>
      <c r="G67" s="203"/>
    </row>
    <row r="68" spans="2:7" s="1" customFormat="1" ht="13">
      <c r="B68" s="202"/>
      <c r="C68" s="249"/>
      <c r="D68" s="303" t="s">
        <v>5013</v>
      </c>
      <c r="E68" s="332" t="e">
        <f>FIXED('Planning Template'!E202,0)</f>
        <v>#N/A</v>
      </c>
      <c r="F68" s="250"/>
      <c r="G68" s="203"/>
    </row>
    <row r="69" spans="2:7" s="1" customFormat="1" ht="14">
      <c r="B69" s="202"/>
      <c r="C69" s="249"/>
      <c r="D69" s="303" t="s">
        <v>5014</v>
      </c>
      <c r="E69" s="332" t="str">
        <f>FIXED('Planning Template'!E204,0)</f>
        <v>0</v>
      </c>
      <c r="F69" s="250"/>
      <c r="G69" s="203"/>
    </row>
    <row r="70" spans="2:7" s="1" customFormat="1" ht="13">
      <c r="B70" s="202"/>
      <c r="C70" s="249"/>
      <c r="D70" s="303" t="s">
        <v>5016</v>
      </c>
      <c r="E70" s="332" t="e">
        <f>FIXED('Planning Template'!E208,0)</f>
        <v>#N/A</v>
      </c>
      <c r="F70" s="250"/>
      <c r="G70" s="203"/>
    </row>
    <row r="71" spans="2:7" s="1" customFormat="1" ht="13">
      <c r="B71" s="202"/>
      <c r="C71" s="249"/>
      <c r="D71" s="303" t="s">
        <v>5003</v>
      </c>
      <c r="E71" s="332" t="e">
        <f>FIXED('Planning Template'!E178,0)</f>
        <v>#N/A</v>
      </c>
      <c r="F71" s="250"/>
      <c r="G71" s="203"/>
    </row>
    <row r="72" spans="2:7" s="1" customFormat="1" ht="13">
      <c r="B72" s="202"/>
      <c r="C72" s="249"/>
      <c r="D72" s="303" t="s">
        <v>5007</v>
      </c>
      <c r="E72" s="333" t="e">
        <f>FIXED(SUM('Planning Template'!E186,'Planning Template'!E188,'Planning Template'!E196),0)</f>
        <v>#N/A</v>
      </c>
      <c r="F72" s="250"/>
      <c r="G72" s="203"/>
    </row>
    <row r="73" spans="2:7" s="1" customFormat="1" ht="13">
      <c r="B73" s="202"/>
      <c r="C73" s="249"/>
      <c r="D73" s="303" t="s">
        <v>5002</v>
      </c>
      <c r="E73" s="332" t="e">
        <f>FIXED('Planning Template'!E176,0)</f>
        <v>#N/A</v>
      </c>
      <c r="F73" s="250"/>
      <c r="G73" s="203"/>
    </row>
    <row r="74" spans="2:7" s="1" customFormat="1" ht="13">
      <c r="B74" s="202"/>
      <c r="C74" s="249"/>
      <c r="D74" s="303" t="s">
        <v>5006</v>
      </c>
      <c r="E74" s="333" t="e">
        <f>FIXED('Planning Template'!E184,0)</f>
        <v>#N/A</v>
      </c>
      <c r="F74" s="250"/>
      <c r="G74" s="203"/>
    </row>
    <row r="75" spans="2:7" s="1" customFormat="1" ht="13">
      <c r="B75" s="202"/>
      <c r="C75" s="249"/>
      <c r="D75" s="303" t="s">
        <v>5005</v>
      </c>
      <c r="E75" s="332" t="e">
        <f>FIXED('Planning Template'!E182,0)</f>
        <v>#N/A</v>
      </c>
      <c r="F75" s="250"/>
      <c r="G75" s="203"/>
    </row>
    <row r="76" spans="2:7" s="1" customFormat="1" ht="13">
      <c r="B76" s="202"/>
      <c r="C76" s="249"/>
      <c r="D76" s="303" t="s">
        <v>5004</v>
      </c>
      <c r="E76" s="332" t="e">
        <f>FIXED('Planning Template'!E180,0)</f>
        <v>#N/A</v>
      </c>
      <c r="F76" s="250"/>
      <c r="G76" s="203"/>
    </row>
    <row r="77" spans="2:7" s="1" customFormat="1" ht="14" thickBot="1">
      <c r="B77" s="202"/>
      <c r="C77" s="249"/>
      <c r="D77" s="246"/>
      <c r="E77" s="334"/>
      <c r="F77" s="250"/>
      <c r="G77" s="203"/>
    </row>
    <row r="78" spans="2:7" s="1" customFormat="1" ht="14">
      <c r="B78" s="202"/>
      <c r="C78" s="249"/>
      <c r="D78" s="246" t="s">
        <v>5017</v>
      </c>
      <c r="E78" s="305" t="e">
        <f>FIXED('Planning Template'!$E$210,0)&amp;'Planning Template'!$E$164</f>
        <v>#N/A</v>
      </c>
      <c r="F78" s="250"/>
      <c r="G78" s="203"/>
    </row>
    <row r="79" spans="2:7" s="1" customFormat="1" ht="13">
      <c r="B79" s="202"/>
      <c r="C79" s="249"/>
      <c r="D79" s="246"/>
      <c r="E79" s="247"/>
      <c r="F79" s="250"/>
      <c r="G79" s="203"/>
    </row>
    <row r="80" spans="2:7" s="1" customFormat="1" ht="70">
      <c r="B80" s="202"/>
      <c r="C80" s="249"/>
      <c r="D80" s="242" t="s">
        <v>4980</v>
      </c>
      <c r="E80" s="225" t="s">
        <v>5040</v>
      </c>
      <c r="F80" s="250"/>
      <c r="G80" s="203"/>
    </row>
    <row r="81" spans="2:7" s="1" customFormat="1" ht="19" thickBot="1">
      <c r="B81" s="202"/>
      <c r="C81" s="249"/>
      <c r="D81" s="242"/>
      <c r="E81" s="339" t="e">
        <f>"ALL VALUES BELOW ARE IN "&amp;'Planning Template'!$E$164</f>
        <v>#N/A</v>
      </c>
      <c r="F81" s="250"/>
      <c r="G81" s="203"/>
    </row>
    <row r="82" spans="2:7" s="1" customFormat="1" ht="14">
      <c r="B82" s="202"/>
      <c r="C82" s="249"/>
      <c r="D82" s="246" t="s">
        <v>5018</v>
      </c>
      <c r="E82" s="331" t="e">
        <f>ROUND('Planning Template'!E221,0)</f>
        <v>#N/A</v>
      </c>
      <c r="F82" s="250"/>
      <c r="G82" s="203"/>
    </row>
    <row r="83" spans="2:7" s="1" customFormat="1" ht="13">
      <c r="B83" s="202"/>
      <c r="C83" s="249"/>
      <c r="D83" s="303" t="s">
        <v>5019</v>
      </c>
      <c r="E83" s="335" t="e">
        <f>ROUND('Planning Template'!E223,0)</f>
        <v>#N/A</v>
      </c>
      <c r="F83" s="250"/>
      <c r="G83" s="203"/>
    </row>
    <row r="84" spans="2:7" s="1" customFormat="1" ht="13">
      <c r="B84" s="202"/>
      <c r="C84" s="249"/>
      <c r="D84" s="306">
        <f>'Planning Template'!$F$28</f>
        <v>0</v>
      </c>
      <c r="E84" s="335" t="e">
        <f>ROUND('Planning Template'!E225,0)</f>
        <v>#N/A</v>
      </c>
      <c r="F84" s="250"/>
      <c r="G84" s="203"/>
    </row>
    <row r="85" spans="2:7" s="1" customFormat="1" ht="13">
      <c r="B85" s="202"/>
      <c r="C85" s="249"/>
      <c r="D85" s="306">
        <f>'Planning Template'!$F$24</f>
        <v>0</v>
      </c>
      <c r="E85" s="335" t="e">
        <f>ROUND('Planning Template'!E227,0)</f>
        <v>#N/A</v>
      </c>
      <c r="F85" s="250"/>
      <c r="G85" s="203"/>
    </row>
    <row r="86" spans="2:7" s="1" customFormat="1" ht="13">
      <c r="B86" s="202"/>
      <c r="C86" s="249"/>
      <c r="D86" s="303" t="s">
        <v>5020</v>
      </c>
      <c r="E86" s="335">
        <f>ROUND('Planning Template'!E229,0)</f>
        <v>0</v>
      </c>
      <c r="F86" s="250"/>
      <c r="G86" s="203"/>
    </row>
    <row r="87" spans="2:7" s="1" customFormat="1" ht="14" thickBot="1">
      <c r="B87" s="202"/>
      <c r="C87" s="249"/>
      <c r="D87" s="246"/>
      <c r="E87" s="334"/>
      <c r="F87" s="250"/>
      <c r="G87" s="203"/>
    </row>
    <row r="88" spans="2:7" s="1" customFormat="1" ht="14">
      <c r="B88" s="202"/>
      <c r="C88" s="249"/>
      <c r="D88" s="246" t="s">
        <v>5017</v>
      </c>
      <c r="E88" s="305" t="e">
        <f>FIXED('Planning Template'!$E$231,0)&amp;'Planning Template'!$E$164</f>
        <v>#N/A</v>
      </c>
      <c r="F88" s="250"/>
      <c r="G88" s="203"/>
    </row>
    <row r="89" spans="2:7" s="1" customFormat="1" ht="13">
      <c r="B89" s="202"/>
      <c r="C89" s="249"/>
      <c r="D89" s="246"/>
      <c r="E89" s="305"/>
      <c r="F89" s="250"/>
      <c r="G89" s="203"/>
    </row>
    <row r="90" spans="2:7" s="1" customFormat="1" ht="56">
      <c r="B90" s="202"/>
      <c r="C90" s="249"/>
      <c r="D90" s="242" t="s">
        <v>4999</v>
      </c>
      <c r="E90" s="317" t="s">
        <v>5042</v>
      </c>
      <c r="F90" s="250"/>
      <c r="G90" s="203"/>
    </row>
    <row r="91" spans="2:7" s="1" customFormat="1" ht="18">
      <c r="B91" s="202"/>
      <c r="C91" s="249"/>
      <c r="D91" s="242"/>
      <c r="E91" s="318" t="e">
        <f>"To approve the "&amp;E11&amp;" plans for "&amp;'Jordan Data'!E9&amp;": "&amp;'Jordan Data'!E8&amp;" project as attached and to approve "&amp;'Planning Template'!$F$24&amp;"'s portion of the budget in the amount of "&amp;'Planning Template'!$E$164&amp;FIXED('Planning Template'!$E$227,0)&amp; "to be taken from "&amp;'Planning Template'!$F$24&amp;" Adventist Mission Projects allocated fund."</f>
        <v>#N/A</v>
      </c>
      <c r="F91" s="250"/>
      <c r="G91" s="203"/>
    </row>
    <row r="92" spans="2:7" s="1" customFormat="1" ht="13">
      <c r="B92" s="202"/>
      <c r="C92" s="249"/>
      <c r="D92" s="246"/>
      <c r="E92" s="305"/>
      <c r="F92" s="250"/>
      <c r="G92" s="203"/>
    </row>
    <row r="93" spans="2:7" s="1" customFormat="1" ht="43" thickBot="1">
      <c r="B93" s="202"/>
      <c r="C93" s="207"/>
      <c r="D93" s="242" t="s">
        <v>5021</v>
      </c>
      <c r="E93" s="225" t="s">
        <v>5001</v>
      </c>
      <c r="F93" s="208"/>
      <c r="G93" s="203"/>
    </row>
    <row r="94" spans="2:7" s="1" customFormat="1" ht="14">
      <c r="B94" s="202"/>
      <c r="C94" s="249"/>
      <c r="D94" s="246"/>
      <c r="E94" s="336" t="str">
        <f>E11&amp;" "&amp;'Jordan Data'!E9&amp;": "&amp;'Jordan Data'!E8&amp;"—GM Pioneer Information"</f>
        <v>0 GM: -  —GM Pioneer Information</v>
      </c>
      <c r="F94" s="250"/>
      <c r="G94" s="203"/>
    </row>
    <row r="95" spans="2:7" s="1" customFormat="1" ht="14">
      <c r="B95" s="202"/>
      <c r="C95" s="249"/>
      <c r="D95" s="246"/>
      <c r="E95" s="337" t="s">
        <v>4970</v>
      </c>
      <c r="F95" s="250"/>
      <c r="G95" s="203"/>
    </row>
    <row r="96" spans="2:7" s="1" customFormat="1" ht="14">
      <c r="B96" s="202"/>
      <c r="C96" s="249"/>
      <c r="D96" s="246" t="s">
        <v>4972</v>
      </c>
      <c r="E96" s="332">
        <f>'Planning Template'!F119</f>
        <v>0</v>
      </c>
      <c r="F96" s="250"/>
      <c r="G96" s="203"/>
    </row>
    <row r="97" spans="2:7" s="1" customFormat="1" ht="14">
      <c r="B97" s="202"/>
      <c r="C97" s="249"/>
      <c r="D97" s="246" t="s">
        <v>4973</v>
      </c>
      <c r="E97" s="332">
        <f>'Planning Template'!F121</f>
        <v>0</v>
      </c>
      <c r="F97" s="250"/>
      <c r="G97" s="203"/>
    </row>
    <row r="98" spans="2:7" s="1" customFormat="1" ht="14">
      <c r="B98" s="202"/>
      <c r="C98" s="249"/>
      <c r="D98" s="246" t="s">
        <v>4976</v>
      </c>
      <c r="E98" s="332">
        <f>'Planning Template'!F123</f>
        <v>0</v>
      </c>
      <c r="F98" s="250"/>
      <c r="G98" s="203"/>
    </row>
    <row r="99" spans="2:7" s="1" customFormat="1" ht="14">
      <c r="B99" s="202"/>
      <c r="C99" s="249"/>
      <c r="D99" s="246" t="s">
        <v>4974</v>
      </c>
      <c r="E99" s="332">
        <f>'Planning Template'!F125</f>
        <v>0</v>
      </c>
      <c r="F99" s="250"/>
      <c r="G99" s="203"/>
    </row>
    <row r="100" spans="2:7" s="1" customFormat="1" ht="14">
      <c r="B100" s="202"/>
      <c r="C100" s="249"/>
      <c r="D100" s="246" t="s">
        <v>4975</v>
      </c>
      <c r="E100" s="338">
        <f>'Planning Template'!F127</f>
        <v>0</v>
      </c>
      <c r="F100" s="250"/>
      <c r="G100" s="203"/>
    </row>
    <row r="101" spans="2:7" s="1" customFormat="1" ht="14">
      <c r="B101" s="202"/>
      <c r="C101" s="249"/>
      <c r="D101" s="246" t="s">
        <v>4977</v>
      </c>
      <c r="E101" s="332">
        <f>'Planning Template'!F131</f>
        <v>0</v>
      </c>
      <c r="F101" s="250"/>
      <c r="G101" s="203"/>
    </row>
    <row r="102" spans="2:7" s="1" customFormat="1" ht="14">
      <c r="B102" s="202"/>
      <c r="C102" s="249"/>
      <c r="D102" s="246" t="s">
        <v>4978</v>
      </c>
      <c r="E102" s="332">
        <f>'Planning Template'!F133</f>
        <v>0</v>
      </c>
      <c r="F102" s="250"/>
      <c r="G102" s="203"/>
    </row>
    <row r="103" spans="2:7" s="1" customFormat="1" ht="14">
      <c r="B103" s="202"/>
      <c r="C103" s="249"/>
      <c r="D103" s="246" t="s">
        <v>4979</v>
      </c>
      <c r="E103" s="332">
        <f>'Planning Template'!F129</f>
        <v>0</v>
      </c>
      <c r="F103" s="250"/>
      <c r="G103" s="203"/>
    </row>
    <row r="104" spans="2:7" s="1" customFormat="1" ht="13">
      <c r="B104" s="202"/>
      <c r="C104" s="249"/>
      <c r="D104" s="246"/>
      <c r="E104" s="332"/>
      <c r="F104" s="250"/>
      <c r="G104" s="203"/>
    </row>
    <row r="105" spans="2:7" s="1" customFormat="1" ht="14">
      <c r="B105" s="202"/>
      <c r="C105" s="249"/>
      <c r="D105" s="246"/>
      <c r="E105" s="337" t="s">
        <v>5000</v>
      </c>
      <c r="F105" s="250"/>
      <c r="G105" s="203"/>
    </row>
    <row r="106" spans="2:7" s="1" customFormat="1" ht="14">
      <c r="B106" s="202"/>
      <c r="C106" s="249"/>
      <c r="D106" s="246" t="s">
        <v>4972</v>
      </c>
      <c r="E106" s="332">
        <f>'Planning Template'!F137</f>
        <v>0</v>
      </c>
      <c r="F106" s="250"/>
      <c r="G106" s="203"/>
    </row>
    <row r="107" spans="2:7" s="1" customFormat="1" ht="14">
      <c r="B107" s="202"/>
      <c r="C107" s="249"/>
      <c r="D107" s="246" t="s">
        <v>4973</v>
      </c>
      <c r="E107" s="332">
        <f>'Planning Template'!F139</f>
        <v>0</v>
      </c>
      <c r="F107" s="250"/>
      <c r="G107" s="203"/>
    </row>
    <row r="108" spans="2:7" s="1" customFormat="1" ht="14">
      <c r="B108" s="202"/>
      <c r="C108" s="249"/>
      <c r="D108" s="246" t="s">
        <v>4976</v>
      </c>
      <c r="E108" s="332">
        <f>'Planning Template'!F141</f>
        <v>0</v>
      </c>
      <c r="F108" s="250"/>
      <c r="G108" s="203"/>
    </row>
    <row r="109" spans="2:7" s="1" customFormat="1" ht="14">
      <c r="B109" s="202"/>
      <c r="C109" s="249"/>
      <c r="D109" s="246" t="s">
        <v>4974</v>
      </c>
      <c r="E109" s="332">
        <f>'Planning Template'!F143</f>
        <v>0</v>
      </c>
      <c r="F109" s="250"/>
      <c r="G109" s="203"/>
    </row>
    <row r="110" spans="2:7" s="1" customFormat="1" ht="14">
      <c r="B110" s="202"/>
      <c r="C110" s="249"/>
      <c r="D110" s="246" t="s">
        <v>4975</v>
      </c>
      <c r="E110" s="338">
        <f>'Planning Template'!F145</f>
        <v>0</v>
      </c>
      <c r="F110" s="250"/>
      <c r="G110" s="203"/>
    </row>
    <row r="111" spans="2:7" s="1" customFormat="1" ht="14">
      <c r="B111" s="202"/>
      <c r="C111" s="249"/>
      <c r="D111" s="246" t="s">
        <v>4977</v>
      </c>
      <c r="E111" s="332">
        <f>'Planning Template'!F149</f>
        <v>0</v>
      </c>
      <c r="F111" s="250"/>
      <c r="G111" s="203"/>
    </row>
    <row r="112" spans="2:7" s="1" customFormat="1" ht="14">
      <c r="B112" s="202"/>
      <c r="C112" s="249"/>
      <c r="D112" s="246" t="s">
        <v>4978</v>
      </c>
      <c r="E112" s="332">
        <f>'Planning Template'!F151</f>
        <v>0</v>
      </c>
      <c r="F112" s="250"/>
      <c r="G112" s="203"/>
    </row>
    <row r="113" spans="2:7" s="1" customFormat="1" ht="14">
      <c r="B113" s="202"/>
      <c r="C113" s="249"/>
      <c r="D113" s="246" t="s">
        <v>4979</v>
      </c>
      <c r="E113" s="332">
        <f>'Planning Template'!F147</f>
        <v>0</v>
      </c>
      <c r="F113" s="250"/>
      <c r="G113" s="203"/>
    </row>
    <row r="114" spans="2:7" s="1" customFormat="1" ht="14" thickBot="1">
      <c r="B114" s="202"/>
      <c r="C114" s="249"/>
      <c r="D114" s="246"/>
      <c r="E114" s="334"/>
      <c r="F114" s="250"/>
      <c r="G114" s="203"/>
    </row>
    <row r="115" spans="2:7" s="1" customFormat="1" ht="13">
      <c r="B115" s="202"/>
      <c r="C115" s="249"/>
      <c r="D115" s="246"/>
      <c r="E115" s="247"/>
      <c r="F115" s="250"/>
      <c r="G115" s="203"/>
    </row>
    <row r="116" spans="2:7" s="1" customFormat="1" ht="70">
      <c r="B116" s="202"/>
      <c r="C116" s="249"/>
      <c r="D116" s="242" t="s">
        <v>5043</v>
      </c>
      <c r="E116" s="317" t="s">
        <v>5044</v>
      </c>
      <c r="F116" s="250"/>
      <c r="G116" s="203"/>
    </row>
    <row r="117" spans="2:7" s="1" customFormat="1" ht="18">
      <c r="B117" s="202"/>
      <c r="C117" s="249"/>
      <c r="D117" s="242"/>
      <c r="E117" s="317"/>
      <c r="F117" s="250"/>
      <c r="G117" s="203"/>
    </row>
    <row r="118" spans="2:7" s="1" customFormat="1" ht="14" thickBot="1">
      <c r="B118" s="202"/>
      <c r="C118" s="251"/>
      <c r="D118" s="252"/>
      <c r="E118" s="253"/>
      <c r="F118" s="254"/>
      <c r="G118" s="203"/>
    </row>
    <row r="119" spans="2:7" s="1" customFormat="1" ht="15" thickTop="1" thickBot="1">
      <c r="B119" s="204"/>
      <c r="C119" s="205"/>
      <c r="D119" s="205"/>
      <c r="E119" s="205"/>
      <c r="F119" s="205"/>
      <c r="G119" s="206"/>
    </row>
    <row r="120" spans="2:7" s="1" customFormat="1" ht="16" customHeight="1" thickTop="1">
      <c r="B120" s="2"/>
      <c r="C120" s="2"/>
    </row>
  </sheetData>
  <sheetProtection algorithmName="SHA-512" hashValue="Hrpi3TnNZ/Hhms56JDW1tSP/MzuwogDoSdKQIRxAFidSy+8Lf9ys7CF84IsN1uzIoibkFz57bH+JgNgAn+uKoQ==" saltValue="rIbeO1B7qoruXPMvY9U9qA==" spinCount="100000" sheet="1" formatColumns="0" formatRows="0"/>
  <mergeCells count="3">
    <mergeCell ref="D2:E2"/>
    <mergeCell ref="D3:E3"/>
    <mergeCell ref="B4:G4"/>
  </mergeCells>
  <dataValidations disablePrompts="1" count="1">
    <dataValidation allowBlank="1" sqref="D5:E6 B119:G119 B5:C9 F5:F9 B8:B118 G5:G118" xr:uid="{3EBD2CD3-8CC9-A248-92CF-4749F4C992A1}"/>
  </dataValidations>
  <pageMargins left="0.5" right="0.5" top="0.75" bottom="0.75" header="0.27777800000000002" footer="0.27777800000000002"/>
  <pageSetup orientation="portrait"/>
  <headerFooter>
    <oddFooter>&amp;C&amp;"Helvetica Neue,Regular"&amp;12&amp;K000000&amp;P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A147"/>
  <sheetViews>
    <sheetView showGridLines="0" zoomScale="125" zoomScaleNormal="125" workbookViewId="0">
      <selection activeCell="F10" sqref="F10"/>
    </sheetView>
  </sheetViews>
  <sheetFormatPr baseColWidth="10" defaultColWidth="16.33203125" defaultRowHeight="16"/>
  <cols>
    <col min="1" max="3" width="2.83203125" style="349" customWidth="1"/>
    <col min="4" max="4" width="3.83203125" style="381" customWidth="1"/>
    <col min="5" max="5" width="15" style="350" customWidth="1"/>
    <col min="6" max="6" width="71" style="350" customWidth="1"/>
    <col min="7" max="10" width="2.83203125" style="350" customWidth="1"/>
    <col min="11" max="261" width="16.33203125" style="350" customWidth="1"/>
    <col min="262" max="16384" width="16.33203125" style="349"/>
  </cols>
  <sheetData>
    <row r="2" spans="2:261" ht="17">
      <c r="E2" s="482" t="str">
        <f>'Planning Template'!$F$28&amp;"-"&amp;'Planning Template'!F24&amp;" Global Mission Project: "&amp;'Planning Template'!F11&amp;"-"&amp;$F$10&amp;" Report Template"</f>
        <v>- Global Mission Project: - Report Template</v>
      </c>
      <c r="F2" s="482"/>
      <c r="G2" s="351"/>
    </row>
    <row r="3" spans="2:261" ht="32" customHeight="1">
      <c r="E3" s="483" t="s">
        <v>5069</v>
      </c>
      <c r="F3" s="484"/>
      <c r="G3" s="352"/>
    </row>
    <row r="4" spans="2:261" ht="14" thickBot="1">
      <c r="B4" s="485" t="str">
        <f>'Planning Template'!F11&amp;" Report for ID#"&amp;'Planning Template'!F15&amp;": "&amp;'Planning Template'!F28&amp;"-"&amp;'Planning Template'!F24&amp;" "&amp;'Planning Template'!F36&amp;" ("&amp;'Planning Template'!F43&amp;": "&amp;'Planning Template'!F45&amp;") "&amp;'Planning Template'!F339&amp;"-Year Start-up Project"</f>
        <v xml:space="preserve"> Report for ID#: -  (: ) 5-Year Start-up Project</v>
      </c>
      <c r="C4" s="485"/>
      <c r="D4" s="485"/>
      <c r="E4" s="485"/>
      <c r="F4" s="485"/>
      <c r="G4" s="485"/>
      <c r="H4" s="485"/>
      <c r="I4" s="485"/>
    </row>
    <row r="5" spans="2:261" ht="17" thickBot="1">
      <c r="B5" s="353"/>
      <c r="C5" s="354"/>
      <c r="D5" s="382"/>
      <c r="E5" s="355"/>
      <c r="F5" s="356"/>
      <c r="G5" s="356"/>
      <c r="H5" s="357"/>
      <c r="I5" s="358"/>
    </row>
    <row r="6" spans="2:261" ht="17" thickTop="1">
      <c r="B6" s="359"/>
      <c r="C6" s="360"/>
      <c r="D6" s="383"/>
      <c r="E6" s="361"/>
      <c r="F6" s="362"/>
      <c r="G6" s="362"/>
      <c r="H6" s="363"/>
      <c r="I6" s="364"/>
    </row>
    <row r="7" spans="2:261">
      <c r="B7" s="359"/>
      <c r="C7" s="365"/>
      <c r="D7" s="384"/>
      <c r="E7" s="6" t="s">
        <v>5070</v>
      </c>
      <c r="F7" s="345"/>
      <c r="G7" s="345"/>
      <c r="H7" s="366"/>
      <c r="I7" s="364"/>
    </row>
    <row r="8" spans="2:261" ht="17" thickBot="1">
      <c r="B8" s="359"/>
      <c r="C8" s="365"/>
      <c r="D8" s="384"/>
      <c r="E8" s="6"/>
      <c r="F8" s="345"/>
      <c r="G8" s="345"/>
      <c r="H8" s="366"/>
      <c r="I8" s="364"/>
    </row>
    <row r="9" spans="2:261" s="379" customFormat="1">
      <c r="B9" s="374"/>
      <c r="C9" s="375"/>
      <c r="D9" s="419">
        <v>1</v>
      </c>
      <c r="E9" s="58" t="s">
        <v>5050</v>
      </c>
      <c r="F9" s="429"/>
      <c r="G9" s="430"/>
      <c r="H9" s="376"/>
      <c r="I9" s="377"/>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c r="CM9" s="378"/>
      <c r="CN9" s="378"/>
      <c r="CO9" s="378"/>
      <c r="CP9" s="378"/>
      <c r="CQ9" s="378"/>
      <c r="CR9" s="378"/>
      <c r="CS9" s="378"/>
      <c r="CT9" s="378"/>
      <c r="CU9" s="378"/>
      <c r="CV9" s="378"/>
      <c r="CW9" s="378"/>
      <c r="CX9" s="378"/>
      <c r="CY9" s="378"/>
      <c r="CZ9" s="378"/>
      <c r="DA9" s="378"/>
      <c r="DB9" s="378"/>
      <c r="DC9" s="378"/>
      <c r="DD9" s="378"/>
      <c r="DE9" s="378"/>
      <c r="DF9" s="378"/>
      <c r="DG9" s="378"/>
      <c r="DH9" s="378"/>
      <c r="DI9" s="378"/>
      <c r="DJ9" s="378"/>
      <c r="DK9" s="378"/>
      <c r="DL9" s="378"/>
      <c r="DM9" s="378"/>
      <c r="DN9" s="378"/>
      <c r="DO9" s="378"/>
      <c r="DP9" s="378"/>
      <c r="DQ9" s="378"/>
      <c r="DR9" s="378"/>
      <c r="DS9" s="378"/>
      <c r="DT9" s="378"/>
      <c r="DU9" s="378"/>
      <c r="DV9" s="378"/>
      <c r="DW9" s="378"/>
      <c r="DX9" s="378"/>
      <c r="DY9" s="378"/>
      <c r="DZ9" s="378"/>
      <c r="EA9" s="378"/>
      <c r="EB9" s="378"/>
      <c r="EC9" s="378"/>
      <c r="ED9" s="378"/>
      <c r="EE9" s="378"/>
      <c r="EF9" s="378"/>
      <c r="EG9" s="378"/>
      <c r="EH9" s="378"/>
      <c r="EI9" s="378"/>
      <c r="EJ9" s="378"/>
      <c r="EK9" s="378"/>
      <c r="EL9" s="378"/>
      <c r="EM9" s="378"/>
      <c r="EN9" s="378"/>
      <c r="EO9" s="378"/>
      <c r="EP9" s="378"/>
      <c r="EQ9" s="378"/>
      <c r="ER9" s="378"/>
      <c r="ES9" s="378"/>
      <c r="ET9" s="378"/>
      <c r="EU9" s="378"/>
      <c r="EV9" s="378"/>
      <c r="EW9" s="378"/>
      <c r="EX9" s="378"/>
      <c r="EY9" s="378"/>
      <c r="EZ9" s="378"/>
      <c r="FA9" s="378"/>
      <c r="FB9" s="378"/>
      <c r="FC9" s="378"/>
      <c r="FD9" s="378"/>
      <c r="FE9" s="378"/>
      <c r="FF9" s="378"/>
      <c r="FG9" s="378"/>
      <c r="FH9" s="378"/>
      <c r="FI9" s="378"/>
      <c r="FJ9" s="378"/>
      <c r="FK9" s="378"/>
      <c r="FL9" s="378"/>
      <c r="FM9" s="378"/>
      <c r="FN9" s="378"/>
      <c r="FO9" s="378"/>
      <c r="FP9" s="378"/>
      <c r="FQ9" s="378"/>
      <c r="FR9" s="378"/>
      <c r="FS9" s="378"/>
      <c r="FT9" s="378"/>
      <c r="FU9" s="378"/>
      <c r="FV9" s="378"/>
      <c r="FW9" s="378"/>
      <c r="FX9" s="378"/>
      <c r="FY9" s="378"/>
      <c r="FZ9" s="378"/>
      <c r="GA9" s="378"/>
      <c r="GB9" s="378"/>
      <c r="GC9" s="378"/>
      <c r="GD9" s="378"/>
      <c r="GE9" s="378"/>
      <c r="GF9" s="378"/>
      <c r="GG9" s="378"/>
      <c r="GH9" s="378"/>
      <c r="GI9" s="378"/>
      <c r="GJ9" s="378"/>
      <c r="GK9" s="378"/>
      <c r="GL9" s="378"/>
      <c r="GM9" s="378"/>
      <c r="GN9" s="378"/>
      <c r="GO9" s="378"/>
      <c r="GP9" s="378"/>
      <c r="GQ9" s="378"/>
      <c r="GR9" s="378"/>
      <c r="GS9" s="378"/>
      <c r="GT9" s="378"/>
      <c r="GU9" s="378"/>
      <c r="GV9" s="378"/>
      <c r="GW9" s="378"/>
      <c r="GX9" s="378"/>
      <c r="GY9" s="378"/>
      <c r="GZ9" s="378"/>
      <c r="HA9" s="378"/>
      <c r="HB9" s="378"/>
      <c r="HC9" s="378"/>
      <c r="HD9" s="378"/>
      <c r="HE9" s="378"/>
      <c r="HF9" s="378"/>
      <c r="HG9" s="378"/>
      <c r="HH9" s="378"/>
      <c r="HI9" s="378"/>
      <c r="HJ9" s="378"/>
      <c r="HK9" s="378"/>
      <c r="HL9" s="378"/>
      <c r="HM9" s="378"/>
      <c r="HN9" s="378"/>
      <c r="HO9" s="378"/>
      <c r="HP9" s="378"/>
      <c r="HQ9" s="378"/>
      <c r="HR9" s="378"/>
      <c r="HS9" s="378"/>
      <c r="HT9" s="378"/>
      <c r="HU9" s="378"/>
      <c r="HV9" s="378"/>
      <c r="HW9" s="378"/>
      <c r="HX9" s="378"/>
      <c r="HY9" s="378"/>
      <c r="HZ9" s="378"/>
      <c r="IA9" s="378"/>
      <c r="IB9" s="378"/>
      <c r="IC9" s="378"/>
      <c r="ID9" s="378"/>
      <c r="IE9" s="378"/>
      <c r="IF9" s="378"/>
      <c r="IG9" s="378"/>
      <c r="IH9" s="378"/>
      <c r="II9" s="378"/>
      <c r="IJ9" s="378"/>
      <c r="IK9" s="378"/>
      <c r="IL9" s="378"/>
      <c r="IM9" s="378"/>
      <c r="IN9" s="378"/>
      <c r="IO9" s="378"/>
      <c r="IP9" s="378"/>
      <c r="IQ9" s="378"/>
      <c r="IR9" s="378"/>
      <c r="IS9" s="378"/>
      <c r="IT9" s="378"/>
      <c r="IU9" s="378"/>
      <c r="IV9" s="378"/>
      <c r="IW9" s="378"/>
      <c r="IX9" s="378"/>
      <c r="IY9" s="378"/>
      <c r="IZ9" s="378"/>
      <c r="JA9" s="378"/>
    </row>
    <row r="10" spans="2:261" s="379" customFormat="1">
      <c r="B10" s="374"/>
      <c r="C10" s="375"/>
      <c r="D10" s="423"/>
      <c r="E10" s="387"/>
      <c r="F10" s="453"/>
      <c r="G10" s="431"/>
      <c r="H10" s="376"/>
      <c r="I10" s="377"/>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c r="CV10" s="378"/>
      <c r="CW10" s="378"/>
      <c r="CX10" s="378"/>
      <c r="CY10" s="378"/>
      <c r="CZ10" s="378"/>
      <c r="DA10" s="378"/>
      <c r="DB10" s="378"/>
      <c r="DC10" s="378"/>
      <c r="DD10" s="378"/>
      <c r="DE10" s="378"/>
      <c r="DF10" s="378"/>
      <c r="DG10" s="378"/>
      <c r="DH10" s="378"/>
      <c r="DI10" s="378"/>
      <c r="DJ10" s="378"/>
      <c r="DK10" s="378"/>
      <c r="DL10" s="378"/>
      <c r="DM10" s="378"/>
      <c r="DN10" s="378"/>
      <c r="DO10" s="378"/>
      <c r="DP10" s="378"/>
      <c r="DQ10" s="378"/>
      <c r="DR10" s="378"/>
      <c r="DS10" s="378"/>
      <c r="DT10" s="378"/>
      <c r="DU10" s="378"/>
      <c r="DV10" s="378"/>
      <c r="DW10" s="378"/>
      <c r="DX10" s="378"/>
      <c r="DY10" s="378"/>
      <c r="DZ10" s="378"/>
      <c r="EA10" s="378"/>
      <c r="EB10" s="378"/>
      <c r="EC10" s="378"/>
      <c r="ED10" s="378"/>
      <c r="EE10" s="378"/>
      <c r="EF10" s="378"/>
      <c r="EG10" s="378"/>
      <c r="EH10" s="378"/>
      <c r="EI10" s="378"/>
      <c r="EJ10" s="378"/>
      <c r="EK10" s="378"/>
      <c r="EL10" s="378"/>
      <c r="EM10" s="378"/>
      <c r="EN10" s="378"/>
      <c r="EO10" s="378"/>
      <c r="EP10" s="378"/>
      <c r="EQ10" s="378"/>
      <c r="ER10" s="378"/>
      <c r="ES10" s="378"/>
      <c r="ET10" s="378"/>
      <c r="EU10" s="378"/>
      <c r="EV10" s="378"/>
      <c r="EW10" s="378"/>
      <c r="EX10" s="378"/>
      <c r="EY10" s="378"/>
      <c r="EZ10" s="378"/>
      <c r="FA10" s="378"/>
      <c r="FB10" s="378"/>
      <c r="FC10" s="378"/>
      <c r="FD10" s="378"/>
      <c r="FE10" s="378"/>
      <c r="FF10" s="378"/>
      <c r="FG10" s="378"/>
      <c r="FH10" s="378"/>
      <c r="FI10" s="378"/>
      <c r="FJ10" s="378"/>
      <c r="FK10" s="378"/>
      <c r="FL10" s="378"/>
      <c r="FM10" s="378"/>
      <c r="FN10" s="378"/>
      <c r="FO10" s="378"/>
      <c r="FP10" s="378"/>
      <c r="FQ10" s="378"/>
      <c r="FR10" s="378"/>
      <c r="FS10" s="378"/>
      <c r="FT10" s="378"/>
      <c r="FU10" s="378"/>
      <c r="FV10" s="378"/>
      <c r="FW10" s="378"/>
      <c r="FX10" s="378"/>
      <c r="FY10" s="378"/>
      <c r="FZ10" s="378"/>
      <c r="GA10" s="378"/>
      <c r="GB10" s="378"/>
      <c r="GC10" s="378"/>
      <c r="GD10" s="378"/>
      <c r="GE10" s="378"/>
      <c r="GF10" s="378"/>
      <c r="GG10" s="378"/>
      <c r="GH10" s="378"/>
      <c r="GI10" s="378"/>
      <c r="GJ10" s="378"/>
      <c r="GK10" s="378"/>
      <c r="GL10" s="378"/>
      <c r="GM10" s="378"/>
      <c r="GN10" s="378"/>
      <c r="GO10" s="378"/>
      <c r="GP10" s="378"/>
      <c r="GQ10" s="378"/>
      <c r="GR10" s="378"/>
      <c r="GS10" s="378"/>
      <c r="GT10" s="378"/>
      <c r="GU10" s="378"/>
      <c r="GV10" s="378"/>
      <c r="GW10" s="378"/>
      <c r="GX10" s="378"/>
      <c r="GY10" s="378"/>
      <c r="GZ10" s="378"/>
      <c r="HA10" s="378"/>
      <c r="HB10" s="378"/>
      <c r="HC10" s="378"/>
      <c r="HD10" s="378"/>
      <c r="HE10" s="378"/>
      <c r="HF10" s="378"/>
      <c r="HG10" s="378"/>
      <c r="HH10" s="378"/>
      <c r="HI10" s="378"/>
      <c r="HJ10" s="378"/>
      <c r="HK10" s="378"/>
      <c r="HL10" s="378"/>
      <c r="HM10" s="378"/>
      <c r="HN10" s="378"/>
      <c r="HO10" s="378"/>
      <c r="HP10" s="378"/>
      <c r="HQ10" s="378"/>
      <c r="HR10" s="378"/>
      <c r="HS10" s="378"/>
      <c r="HT10" s="378"/>
      <c r="HU10" s="378"/>
      <c r="HV10" s="378"/>
      <c r="HW10" s="378"/>
      <c r="HX10" s="378"/>
      <c r="HY10" s="378"/>
      <c r="HZ10" s="378"/>
      <c r="IA10" s="378"/>
      <c r="IB10" s="378"/>
      <c r="IC10" s="378"/>
      <c r="ID10" s="378"/>
      <c r="IE10" s="378"/>
      <c r="IF10" s="378"/>
      <c r="IG10" s="378"/>
      <c r="IH10" s="378"/>
      <c r="II10" s="378"/>
      <c r="IJ10" s="378"/>
      <c r="IK10" s="378"/>
      <c r="IL10" s="378"/>
      <c r="IM10" s="378"/>
      <c r="IN10" s="378"/>
      <c r="IO10" s="378"/>
      <c r="IP10" s="378"/>
      <c r="IQ10" s="378"/>
      <c r="IR10" s="378"/>
      <c r="IS10" s="378"/>
      <c r="IT10" s="378"/>
      <c r="IU10" s="378"/>
      <c r="IV10" s="378"/>
      <c r="IW10" s="378"/>
      <c r="IX10" s="378"/>
      <c r="IY10" s="378"/>
      <c r="IZ10" s="378"/>
      <c r="JA10" s="378"/>
    </row>
    <row r="11" spans="2:261" s="379" customFormat="1" ht="17" thickBot="1">
      <c r="B11" s="374"/>
      <c r="C11" s="375"/>
      <c r="D11" s="426"/>
      <c r="E11" s="436"/>
      <c r="F11" s="436"/>
      <c r="G11" s="437"/>
      <c r="H11" s="376"/>
      <c r="I11" s="377"/>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8"/>
      <c r="AY11" s="378"/>
      <c r="AZ11" s="378"/>
      <c r="BA11" s="378"/>
      <c r="BB11" s="378"/>
      <c r="BC11" s="378"/>
      <c r="BD11" s="378"/>
      <c r="BE11" s="378"/>
      <c r="BF11" s="378"/>
      <c r="BG11" s="378"/>
      <c r="BH11" s="378"/>
      <c r="BI11" s="378"/>
      <c r="BJ11" s="378"/>
      <c r="BK11" s="378"/>
      <c r="BL11" s="378"/>
      <c r="BM11" s="378"/>
      <c r="BN11" s="378"/>
      <c r="BO11" s="378"/>
      <c r="BP11" s="378"/>
      <c r="BQ11" s="378"/>
      <c r="BR11" s="378"/>
      <c r="BS11" s="378"/>
      <c r="BT11" s="378"/>
      <c r="BU11" s="378"/>
      <c r="BV11" s="378"/>
      <c r="BW11" s="378"/>
      <c r="BX11" s="378"/>
      <c r="BY11" s="378"/>
      <c r="BZ11" s="378"/>
      <c r="CA11" s="378"/>
      <c r="CB11" s="378"/>
      <c r="CC11" s="378"/>
      <c r="CD11" s="378"/>
      <c r="CE11" s="378"/>
      <c r="CF11" s="378"/>
      <c r="CG11" s="378"/>
      <c r="CH11" s="378"/>
      <c r="CI11" s="378"/>
      <c r="CJ11" s="378"/>
      <c r="CK11" s="378"/>
      <c r="CL11" s="378"/>
      <c r="CM11" s="378"/>
      <c r="CN11" s="378"/>
      <c r="CO11" s="378"/>
      <c r="CP11" s="378"/>
      <c r="CQ11" s="378"/>
      <c r="CR11" s="378"/>
      <c r="CS11" s="378"/>
      <c r="CT11" s="378"/>
      <c r="CU11" s="378"/>
      <c r="CV11" s="378"/>
      <c r="CW11" s="378"/>
      <c r="CX11" s="378"/>
      <c r="CY11" s="378"/>
      <c r="CZ11" s="378"/>
      <c r="DA11" s="378"/>
      <c r="DB11" s="378"/>
      <c r="DC11" s="378"/>
      <c r="DD11" s="378"/>
      <c r="DE11" s="378"/>
      <c r="DF11" s="378"/>
      <c r="DG11" s="378"/>
      <c r="DH11" s="378"/>
      <c r="DI11" s="378"/>
      <c r="DJ11" s="378"/>
      <c r="DK11" s="378"/>
      <c r="DL11" s="378"/>
      <c r="DM11" s="378"/>
      <c r="DN11" s="378"/>
      <c r="DO11" s="378"/>
      <c r="DP11" s="378"/>
      <c r="DQ11" s="378"/>
      <c r="DR11" s="378"/>
      <c r="DS11" s="378"/>
      <c r="DT11" s="378"/>
      <c r="DU11" s="378"/>
      <c r="DV11" s="378"/>
      <c r="DW11" s="378"/>
      <c r="DX11" s="378"/>
      <c r="DY11" s="378"/>
      <c r="DZ11" s="378"/>
      <c r="EA11" s="378"/>
      <c r="EB11" s="378"/>
      <c r="EC11" s="378"/>
      <c r="ED11" s="378"/>
      <c r="EE11" s="378"/>
      <c r="EF11" s="378"/>
      <c r="EG11" s="378"/>
      <c r="EH11" s="378"/>
      <c r="EI11" s="378"/>
      <c r="EJ11" s="378"/>
      <c r="EK11" s="378"/>
      <c r="EL11" s="378"/>
      <c r="EM11" s="378"/>
      <c r="EN11" s="378"/>
      <c r="EO11" s="378"/>
      <c r="EP11" s="378"/>
      <c r="EQ11" s="378"/>
      <c r="ER11" s="378"/>
      <c r="ES11" s="378"/>
      <c r="ET11" s="378"/>
      <c r="EU11" s="378"/>
      <c r="EV11" s="378"/>
      <c r="EW11" s="378"/>
      <c r="EX11" s="378"/>
      <c r="EY11" s="378"/>
      <c r="EZ11" s="378"/>
      <c r="FA11" s="378"/>
      <c r="FB11" s="378"/>
      <c r="FC11" s="378"/>
      <c r="FD11" s="378"/>
      <c r="FE11" s="378"/>
      <c r="FF11" s="378"/>
      <c r="FG11" s="378"/>
      <c r="FH11" s="378"/>
      <c r="FI11" s="378"/>
      <c r="FJ11" s="378"/>
      <c r="FK11" s="378"/>
      <c r="FL11" s="378"/>
      <c r="FM11" s="378"/>
      <c r="FN11" s="378"/>
      <c r="FO11" s="378"/>
      <c r="FP11" s="378"/>
      <c r="FQ11" s="378"/>
      <c r="FR11" s="378"/>
      <c r="FS11" s="378"/>
      <c r="FT11" s="378"/>
      <c r="FU11" s="378"/>
      <c r="FV11" s="378"/>
      <c r="FW11" s="378"/>
      <c r="FX11" s="378"/>
      <c r="FY11" s="378"/>
      <c r="FZ11" s="378"/>
      <c r="GA11" s="378"/>
      <c r="GB11" s="378"/>
      <c r="GC11" s="378"/>
      <c r="GD11" s="378"/>
      <c r="GE11" s="378"/>
      <c r="GF11" s="378"/>
      <c r="GG11" s="378"/>
      <c r="GH11" s="378"/>
      <c r="GI11" s="378"/>
      <c r="GJ11" s="378"/>
      <c r="GK11" s="378"/>
      <c r="GL11" s="378"/>
      <c r="GM11" s="378"/>
      <c r="GN11" s="378"/>
      <c r="GO11" s="378"/>
      <c r="GP11" s="378"/>
      <c r="GQ11" s="378"/>
      <c r="GR11" s="378"/>
      <c r="GS11" s="378"/>
      <c r="GT11" s="378"/>
      <c r="GU11" s="378"/>
      <c r="GV11" s="378"/>
      <c r="GW11" s="378"/>
      <c r="GX11" s="378"/>
      <c r="GY11" s="378"/>
      <c r="GZ11" s="378"/>
      <c r="HA11" s="378"/>
      <c r="HB11" s="378"/>
      <c r="HC11" s="378"/>
      <c r="HD11" s="378"/>
      <c r="HE11" s="378"/>
      <c r="HF11" s="378"/>
      <c r="HG11" s="378"/>
      <c r="HH11" s="378"/>
      <c r="HI11" s="378"/>
      <c r="HJ11" s="378"/>
      <c r="HK11" s="378"/>
      <c r="HL11" s="378"/>
      <c r="HM11" s="378"/>
      <c r="HN11" s="378"/>
      <c r="HO11" s="378"/>
      <c r="HP11" s="378"/>
      <c r="HQ11" s="378"/>
      <c r="HR11" s="378"/>
      <c r="HS11" s="378"/>
      <c r="HT11" s="378"/>
      <c r="HU11" s="378"/>
      <c r="HV11" s="378"/>
      <c r="HW11" s="378"/>
      <c r="HX11" s="378"/>
      <c r="HY11" s="378"/>
      <c r="HZ11" s="378"/>
      <c r="IA11" s="378"/>
      <c r="IB11" s="378"/>
      <c r="IC11" s="378"/>
      <c r="ID11" s="378"/>
      <c r="IE11" s="378"/>
      <c r="IF11" s="378"/>
      <c r="IG11" s="378"/>
      <c r="IH11" s="378"/>
      <c r="II11" s="378"/>
      <c r="IJ11" s="378"/>
      <c r="IK11" s="378"/>
      <c r="IL11" s="378"/>
      <c r="IM11" s="378"/>
      <c r="IN11" s="378"/>
      <c r="IO11" s="378"/>
      <c r="IP11" s="378"/>
      <c r="IQ11" s="378"/>
      <c r="IR11" s="378"/>
      <c r="IS11" s="378"/>
      <c r="IT11" s="378"/>
      <c r="IU11" s="378"/>
      <c r="IV11" s="378"/>
      <c r="IW11" s="378"/>
      <c r="IX11" s="378"/>
      <c r="IY11" s="378"/>
      <c r="IZ11" s="378"/>
      <c r="JA11" s="378"/>
    </row>
    <row r="12" spans="2:261" s="379" customFormat="1">
      <c r="B12" s="374"/>
      <c r="C12" s="375"/>
      <c r="D12" s="403"/>
      <c r="E12" s="348"/>
      <c r="F12" s="348"/>
      <c r="G12" s="393"/>
      <c r="H12" s="376"/>
      <c r="I12" s="377"/>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78"/>
      <c r="BN12" s="378"/>
      <c r="BO12" s="378"/>
      <c r="BP12" s="378"/>
      <c r="BQ12" s="378"/>
      <c r="BR12" s="378"/>
      <c r="BS12" s="378"/>
      <c r="BT12" s="378"/>
      <c r="BU12" s="378"/>
      <c r="BV12" s="378"/>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8"/>
      <c r="CS12" s="378"/>
      <c r="CT12" s="378"/>
      <c r="CU12" s="378"/>
      <c r="CV12" s="378"/>
      <c r="CW12" s="378"/>
      <c r="CX12" s="378"/>
      <c r="CY12" s="378"/>
      <c r="CZ12" s="378"/>
      <c r="DA12" s="378"/>
      <c r="DB12" s="378"/>
      <c r="DC12" s="378"/>
      <c r="DD12" s="378"/>
      <c r="DE12" s="378"/>
      <c r="DF12" s="378"/>
      <c r="DG12" s="378"/>
      <c r="DH12" s="378"/>
      <c r="DI12" s="378"/>
      <c r="DJ12" s="378"/>
      <c r="DK12" s="378"/>
      <c r="DL12" s="378"/>
      <c r="DM12" s="378"/>
      <c r="DN12" s="378"/>
      <c r="DO12" s="378"/>
      <c r="DP12" s="378"/>
      <c r="DQ12" s="378"/>
      <c r="DR12" s="378"/>
      <c r="DS12" s="378"/>
      <c r="DT12" s="378"/>
      <c r="DU12" s="378"/>
      <c r="DV12" s="378"/>
      <c r="DW12" s="378"/>
      <c r="DX12" s="378"/>
      <c r="DY12" s="378"/>
      <c r="DZ12" s="378"/>
      <c r="EA12" s="378"/>
      <c r="EB12" s="378"/>
      <c r="EC12" s="378"/>
      <c r="ED12" s="378"/>
      <c r="EE12" s="378"/>
      <c r="EF12" s="378"/>
      <c r="EG12" s="378"/>
      <c r="EH12" s="378"/>
      <c r="EI12" s="378"/>
      <c r="EJ12" s="378"/>
      <c r="EK12" s="378"/>
      <c r="EL12" s="378"/>
      <c r="EM12" s="378"/>
      <c r="EN12" s="378"/>
      <c r="EO12" s="378"/>
      <c r="EP12" s="378"/>
      <c r="EQ12" s="378"/>
      <c r="ER12" s="378"/>
      <c r="ES12" s="378"/>
      <c r="ET12" s="378"/>
      <c r="EU12" s="378"/>
      <c r="EV12" s="378"/>
      <c r="EW12" s="378"/>
      <c r="EX12" s="378"/>
      <c r="EY12" s="378"/>
      <c r="EZ12" s="378"/>
      <c r="FA12" s="378"/>
      <c r="FB12" s="378"/>
      <c r="FC12" s="378"/>
      <c r="FD12" s="378"/>
      <c r="FE12" s="378"/>
      <c r="FF12" s="378"/>
      <c r="FG12" s="378"/>
      <c r="FH12" s="378"/>
      <c r="FI12" s="378"/>
      <c r="FJ12" s="378"/>
      <c r="FK12" s="378"/>
      <c r="FL12" s="378"/>
      <c r="FM12" s="378"/>
      <c r="FN12" s="378"/>
      <c r="FO12" s="378"/>
      <c r="FP12" s="378"/>
      <c r="FQ12" s="378"/>
      <c r="FR12" s="378"/>
      <c r="FS12" s="378"/>
      <c r="FT12" s="378"/>
      <c r="FU12" s="378"/>
      <c r="FV12" s="378"/>
      <c r="FW12" s="378"/>
      <c r="FX12" s="378"/>
      <c r="FY12" s="378"/>
      <c r="FZ12" s="378"/>
      <c r="GA12" s="378"/>
      <c r="GB12" s="378"/>
      <c r="GC12" s="378"/>
      <c r="GD12" s="378"/>
      <c r="GE12" s="378"/>
      <c r="GF12" s="378"/>
      <c r="GG12" s="378"/>
      <c r="GH12" s="378"/>
      <c r="GI12" s="378"/>
      <c r="GJ12" s="378"/>
      <c r="GK12" s="378"/>
      <c r="GL12" s="378"/>
      <c r="GM12" s="378"/>
      <c r="GN12" s="378"/>
      <c r="GO12" s="378"/>
      <c r="GP12" s="378"/>
      <c r="GQ12" s="378"/>
      <c r="GR12" s="378"/>
      <c r="GS12" s="378"/>
      <c r="GT12" s="378"/>
      <c r="GU12" s="378"/>
      <c r="GV12" s="378"/>
      <c r="GW12" s="378"/>
      <c r="GX12" s="378"/>
      <c r="GY12" s="378"/>
      <c r="GZ12" s="378"/>
      <c r="HA12" s="378"/>
      <c r="HB12" s="378"/>
      <c r="HC12" s="378"/>
      <c r="HD12" s="378"/>
      <c r="HE12" s="378"/>
      <c r="HF12" s="378"/>
      <c r="HG12" s="378"/>
      <c r="HH12" s="378"/>
      <c r="HI12" s="378"/>
      <c r="HJ12" s="378"/>
      <c r="HK12" s="378"/>
      <c r="HL12" s="378"/>
      <c r="HM12" s="378"/>
      <c r="HN12" s="378"/>
      <c r="HO12" s="378"/>
      <c r="HP12" s="378"/>
      <c r="HQ12" s="378"/>
      <c r="HR12" s="378"/>
      <c r="HS12" s="378"/>
      <c r="HT12" s="378"/>
      <c r="HU12" s="378"/>
      <c r="HV12" s="378"/>
      <c r="HW12" s="378"/>
      <c r="HX12" s="378"/>
      <c r="HY12" s="378"/>
      <c r="HZ12" s="378"/>
      <c r="IA12" s="378"/>
      <c r="IB12" s="378"/>
      <c r="IC12" s="378"/>
      <c r="ID12" s="378"/>
      <c r="IE12" s="378"/>
      <c r="IF12" s="378"/>
      <c r="IG12" s="378"/>
      <c r="IH12" s="378"/>
      <c r="II12" s="378"/>
      <c r="IJ12" s="378"/>
      <c r="IK12" s="378"/>
      <c r="IL12" s="378"/>
      <c r="IM12" s="378"/>
      <c r="IN12" s="378"/>
      <c r="IO12" s="378"/>
      <c r="IP12" s="378"/>
      <c r="IQ12" s="378"/>
      <c r="IR12" s="378"/>
      <c r="IS12" s="378"/>
      <c r="IT12" s="378"/>
      <c r="IU12" s="378"/>
      <c r="IV12" s="378"/>
      <c r="IW12" s="378"/>
      <c r="IX12" s="378"/>
      <c r="IY12" s="378"/>
      <c r="IZ12" s="378"/>
      <c r="JA12" s="378"/>
    </row>
    <row r="13" spans="2:261" s="379" customFormat="1" ht="17" thickBot="1">
      <c r="B13" s="374"/>
      <c r="C13" s="375"/>
      <c r="D13" s="403"/>
      <c r="E13" s="347" t="str">
        <f>'Planning Template'!$F$11&amp;" Objective"</f>
        <v xml:space="preserve"> Objective</v>
      </c>
      <c r="F13" s="347" t="str">
        <f>'Planning Template'!F73</f>
        <v/>
      </c>
      <c r="G13" s="438"/>
      <c r="H13" s="376"/>
      <c r="I13" s="377"/>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78"/>
      <c r="BC13" s="378"/>
      <c r="BD13" s="378"/>
      <c r="BE13" s="378"/>
      <c r="BF13" s="378"/>
      <c r="BG13" s="378"/>
      <c r="BH13" s="378"/>
      <c r="BI13" s="378"/>
      <c r="BJ13" s="378"/>
      <c r="BK13" s="378"/>
      <c r="BL13" s="378"/>
      <c r="BM13" s="378"/>
      <c r="BN13" s="378"/>
      <c r="BO13" s="378"/>
      <c r="BP13" s="378"/>
      <c r="BQ13" s="378"/>
      <c r="BR13" s="378"/>
      <c r="BS13" s="378"/>
      <c r="BT13" s="378"/>
      <c r="BU13" s="378"/>
      <c r="BV13" s="378"/>
      <c r="BW13" s="378"/>
      <c r="BX13" s="378"/>
      <c r="BY13" s="378"/>
      <c r="BZ13" s="378"/>
      <c r="CA13" s="378"/>
      <c r="CB13" s="378"/>
      <c r="CC13" s="378"/>
      <c r="CD13" s="378"/>
      <c r="CE13" s="378"/>
      <c r="CF13" s="378"/>
      <c r="CG13" s="378"/>
      <c r="CH13" s="378"/>
      <c r="CI13" s="378"/>
      <c r="CJ13" s="378"/>
      <c r="CK13" s="378"/>
      <c r="CL13" s="378"/>
      <c r="CM13" s="378"/>
      <c r="CN13" s="378"/>
      <c r="CO13" s="378"/>
      <c r="CP13" s="378"/>
      <c r="CQ13" s="378"/>
      <c r="CR13" s="378"/>
      <c r="CS13" s="378"/>
      <c r="CT13" s="378"/>
      <c r="CU13" s="378"/>
      <c r="CV13" s="378"/>
      <c r="CW13" s="378"/>
      <c r="CX13" s="378"/>
      <c r="CY13" s="378"/>
      <c r="CZ13" s="378"/>
      <c r="DA13" s="378"/>
      <c r="DB13" s="378"/>
      <c r="DC13" s="378"/>
      <c r="DD13" s="378"/>
      <c r="DE13" s="378"/>
      <c r="DF13" s="378"/>
      <c r="DG13" s="378"/>
      <c r="DH13" s="378"/>
      <c r="DI13" s="378"/>
      <c r="DJ13" s="378"/>
      <c r="DK13" s="378"/>
      <c r="DL13" s="378"/>
      <c r="DM13" s="378"/>
      <c r="DN13" s="378"/>
      <c r="DO13" s="378"/>
      <c r="DP13" s="378"/>
      <c r="DQ13" s="378"/>
      <c r="DR13" s="378"/>
      <c r="DS13" s="378"/>
      <c r="DT13" s="378"/>
      <c r="DU13" s="378"/>
      <c r="DV13" s="378"/>
      <c r="DW13" s="378"/>
      <c r="DX13" s="378"/>
      <c r="DY13" s="378"/>
      <c r="DZ13" s="378"/>
      <c r="EA13" s="378"/>
      <c r="EB13" s="378"/>
      <c r="EC13" s="378"/>
      <c r="ED13" s="378"/>
      <c r="EE13" s="378"/>
      <c r="EF13" s="378"/>
      <c r="EG13" s="378"/>
      <c r="EH13" s="378"/>
      <c r="EI13" s="378"/>
      <c r="EJ13" s="378"/>
      <c r="EK13" s="378"/>
      <c r="EL13" s="378"/>
      <c r="EM13" s="378"/>
      <c r="EN13" s="378"/>
      <c r="EO13" s="378"/>
      <c r="EP13" s="378"/>
      <c r="EQ13" s="378"/>
      <c r="ER13" s="378"/>
      <c r="ES13" s="378"/>
      <c r="ET13" s="378"/>
      <c r="EU13" s="378"/>
      <c r="EV13" s="378"/>
      <c r="EW13" s="378"/>
      <c r="EX13" s="378"/>
      <c r="EY13" s="378"/>
      <c r="EZ13" s="378"/>
      <c r="FA13" s="378"/>
      <c r="FB13" s="378"/>
      <c r="FC13" s="378"/>
      <c r="FD13" s="378"/>
      <c r="FE13" s="378"/>
      <c r="FF13" s="378"/>
      <c r="FG13" s="378"/>
      <c r="FH13" s="378"/>
      <c r="FI13" s="378"/>
      <c r="FJ13" s="378"/>
      <c r="FK13" s="378"/>
      <c r="FL13" s="378"/>
      <c r="FM13" s="378"/>
      <c r="FN13" s="378"/>
      <c r="FO13" s="378"/>
      <c r="FP13" s="378"/>
      <c r="FQ13" s="378"/>
      <c r="FR13" s="378"/>
      <c r="FS13" s="378"/>
      <c r="FT13" s="378"/>
      <c r="FU13" s="378"/>
      <c r="FV13" s="378"/>
      <c r="FW13" s="378"/>
      <c r="FX13" s="378"/>
      <c r="FY13" s="378"/>
      <c r="FZ13" s="378"/>
      <c r="GA13" s="378"/>
      <c r="GB13" s="378"/>
      <c r="GC13" s="378"/>
      <c r="GD13" s="378"/>
      <c r="GE13" s="378"/>
      <c r="GF13" s="378"/>
      <c r="GG13" s="378"/>
      <c r="GH13" s="378"/>
      <c r="GI13" s="378"/>
      <c r="GJ13" s="378"/>
      <c r="GK13" s="378"/>
      <c r="GL13" s="378"/>
      <c r="GM13" s="378"/>
      <c r="GN13" s="378"/>
      <c r="GO13" s="378"/>
      <c r="GP13" s="378"/>
      <c r="GQ13" s="378"/>
      <c r="GR13" s="378"/>
      <c r="GS13" s="378"/>
      <c r="GT13" s="378"/>
      <c r="GU13" s="378"/>
      <c r="GV13" s="378"/>
      <c r="GW13" s="378"/>
      <c r="GX13" s="378"/>
      <c r="GY13" s="378"/>
      <c r="GZ13" s="378"/>
      <c r="HA13" s="378"/>
      <c r="HB13" s="378"/>
      <c r="HC13" s="378"/>
      <c r="HD13" s="378"/>
      <c r="HE13" s="378"/>
      <c r="HF13" s="378"/>
      <c r="HG13" s="378"/>
      <c r="HH13" s="378"/>
      <c r="HI13" s="378"/>
      <c r="HJ13" s="378"/>
      <c r="HK13" s="378"/>
      <c r="HL13" s="378"/>
      <c r="HM13" s="378"/>
      <c r="HN13" s="378"/>
      <c r="HO13" s="378"/>
      <c r="HP13" s="378"/>
      <c r="HQ13" s="378"/>
      <c r="HR13" s="378"/>
      <c r="HS13" s="378"/>
      <c r="HT13" s="378"/>
      <c r="HU13" s="378"/>
      <c r="HV13" s="378"/>
      <c r="HW13" s="378"/>
      <c r="HX13" s="378"/>
      <c r="HY13" s="378"/>
      <c r="HZ13" s="378"/>
      <c r="IA13" s="378"/>
      <c r="IB13" s="378"/>
      <c r="IC13" s="378"/>
      <c r="ID13" s="378"/>
      <c r="IE13" s="378"/>
      <c r="IF13" s="378"/>
      <c r="IG13" s="378"/>
      <c r="IH13" s="378"/>
      <c r="II13" s="378"/>
      <c r="IJ13" s="378"/>
      <c r="IK13" s="378"/>
      <c r="IL13" s="378"/>
      <c r="IM13" s="378"/>
      <c r="IN13" s="378"/>
      <c r="IO13" s="378"/>
      <c r="IP13" s="378"/>
      <c r="IQ13" s="378"/>
      <c r="IR13" s="378"/>
      <c r="IS13" s="378"/>
      <c r="IT13" s="378"/>
      <c r="IU13" s="378"/>
      <c r="IV13" s="378"/>
      <c r="IW13" s="378"/>
      <c r="IX13" s="378"/>
      <c r="IY13" s="378"/>
      <c r="IZ13" s="378"/>
      <c r="JA13" s="378"/>
    </row>
    <row r="14" spans="2:261" s="379" customFormat="1">
      <c r="B14" s="374"/>
      <c r="C14" s="375"/>
      <c r="D14" s="419">
        <f>D9+1</f>
        <v>2</v>
      </c>
      <c r="E14" s="439" t="str">
        <f>"What is the actual action taken from the beginning of the year until the end of "&amp;$F$10&amp;" for objective 1?"</f>
        <v>What is the actual action taken from the beginning of the year until the end of  for objective 1?</v>
      </c>
      <c r="F14" s="440"/>
      <c r="G14" s="441"/>
      <c r="H14" s="376"/>
      <c r="I14" s="377"/>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AZ14" s="378"/>
      <c r="BA14" s="378"/>
      <c r="BB14" s="378"/>
      <c r="BC14" s="378"/>
      <c r="BD14" s="378"/>
      <c r="BE14" s="378"/>
      <c r="BF14" s="378"/>
      <c r="BG14" s="378"/>
      <c r="BH14" s="378"/>
      <c r="BI14" s="378"/>
      <c r="BJ14" s="378"/>
      <c r="BK14" s="378"/>
      <c r="BL14" s="378"/>
      <c r="BM14" s="378"/>
      <c r="BN14" s="378"/>
      <c r="BO14" s="378"/>
      <c r="BP14" s="378"/>
      <c r="BQ14" s="378"/>
      <c r="BR14" s="378"/>
      <c r="BS14" s="378"/>
      <c r="BT14" s="378"/>
      <c r="BU14" s="378"/>
      <c r="BV14" s="378"/>
      <c r="BW14" s="378"/>
      <c r="BX14" s="378"/>
      <c r="BY14" s="378"/>
      <c r="BZ14" s="378"/>
      <c r="CA14" s="378"/>
      <c r="CB14" s="378"/>
      <c r="CC14" s="378"/>
      <c r="CD14" s="378"/>
      <c r="CE14" s="378"/>
      <c r="CF14" s="378"/>
      <c r="CG14" s="378"/>
      <c r="CH14" s="378"/>
      <c r="CI14" s="378"/>
      <c r="CJ14" s="378"/>
      <c r="CK14" s="378"/>
      <c r="CL14" s="378"/>
      <c r="CM14" s="378"/>
      <c r="CN14" s="378"/>
      <c r="CO14" s="378"/>
      <c r="CP14" s="378"/>
      <c r="CQ14" s="378"/>
      <c r="CR14" s="378"/>
      <c r="CS14" s="378"/>
      <c r="CT14" s="378"/>
      <c r="CU14" s="378"/>
      <c r="CV14" s="378"/>
      <c r="CW14" s="378"/>
      <c r="CX14" s="378"/>
      <c r="CY14" s="378"/>
      <c r="CZ14" s="378"/>
      <c r="DA14" s="378"/>
      <c r="DB14" s="378"/>
      <c r="DC14" s="378"/>
      <c r="DD14" s="378"/>
      <c r="DE14" s="378"/>
      <c r="DF14" s="378"/>
      <c r="DG14" s="378"/>
      <c r="DH14" s="378"/>
      <c r="DI14" s="378"/>
      <c r="DJ14" s="378"/>
      <c r="DK14" s="378"/>
      <c r="DL14" s="378"/>
      <c r="DM14" s="378"/>
      <c r="DN14" s="378"/>
      <c r="DO14" s="378"/>
      <c r="DP14" s="378"/>
      <c r="DQ14" s="378"/>
      <c r="DR14" s="378"/>
      <c r="DS14" s="378"/>
      <c r="DT14" s="378"/>
      <c r="DU14" s="378"/>
      <c r="DV14" s="378"/>
      <c r="DW14" s="378"/>
      <c r="DX14" s="378"/>
      <c r="DY14" s="378"/>
      <c r="DZ14" s="378"/>
      <c r="EA14" s="378"/>
      <c r="EB14" s="378"/>
      <c r="EC14" s="378"/>
      <c r="ED14" s="378"/>
      <c r="EE14" s="378"/>
      <c r="EF14" s="378"/>
      <c r="EG14" s="378"/>
      <c r="EH14" s="378"/>
      <c r="EI14" s="378"/>
      <c r="EJ14" s="378"/>
      <c r="EK14" s="378"/>
      <c r="EL14" s="378"/>
      <c r="EM14" s="378"/>
      <c r="EN14" s="378"/>
      <c r="EO14" s="378"/>
      <c r="EP14" s="378"/>
      <c r="EQ14" s="378"/>
      <c r="ER14" s="378"/>
      <c r="ES14" s="378"/>
      <c r="ET14" s="378"/>
      <c r="EU14" s="378"/>
      <c r="EV14" s="378"/>
      <c r="EW14" s="378"/>
      <c r="EX14" s="378"/>
      <c r="EY14" s="378"/>
      <c r="EZ14" s="378"/>
      <c r="FA14" s="378"/>
      <c r="FB14" s="378"/>
      <c r="FC14" s="378"/>
      <c r="FD14" s="378"/>
      <c r="FE14" s="378"/>
      <c r="FF14" s="378"/>
      <c r="FG14" s="378"/>
      <c r="FH14" s="378"/>
      <c r="FI14" s="378"/>
      <c r="FJ14" s="378"/>
      <c r="FK14" s="378"/>
      <c r="FL14" s="378"/>
      <c r="FM14" s="378"/>
      <c r="FN14" s="378"/>
      <c r="FO14" s="378"/>
      <c r="FP14" s="378"/>
      <c r="FQ14" s="378"/>
      <c r="FR14" s="378"/>
      <c r="FS14" s="378"/>
      <c r="FT14" s="378"/>
      <c r="FU14" s="378"/>
      <c r="FV14" s="378"/>
      <c r="FW14" s="378"/>
      <c r="FX14" s="378"/>
      <c r="FY14" s="378"/>
      <c r="FZ14" s="378"/>
      <c r="GA14" s="378"/>
      <c r="GB14" s="378"/>
      <c r="GC14" s="378"/>
      <c r="GD14" s="378"/>
      <c r="GE14" s="378"/>
      <c r="GF14" s="378"/>
      <c r="GG14" s="378"/>
      <c r="GH14" s="378"/>
      <c r="GI14" s="378"/>
      <c r="GJ14" s="378"/>
      <c r="GK14" s="378"/>
      <c r="GL14" s="378"/>
      <c r="GM14" s="378"/>
      <c r="GN14" s="378"/>
      <c r="GO14" s="378"/>
      <c r="GP14" s="378"/>
      <c r="GQ14" s="378"/>
      <c r="GR14" s="378"/>
      <c r="GS14" s="378"/>
      <c r="GT14" s="378"/>
      <c r="GU14" s="378"/>
      <c r="GV14" s="378"/>
      <c r="GW14" s="378"/>
      <c r="GX14" s="378"/>
      <c r="GY14" s="378"/>
      <c r="GZ14" s="378"/>
      <c r="HA14" s="378"/>
      <c r="HB14" s="378"/>
      <c r="HC14" s="378"/>
      <c r="HD14" s="378"/>
      <c r="HE14" s="378"/>
      <c r="HF14" s="378"/>
      <c r="HG14" s="378"/>
      <c r="HH14" s="378"/>
      <c r="HI14" s="378"/>
      <c r="HJ14" s="378"/>
      <c r="HK14" s="378"/>
      <c r="HL14" s="378"/>
      <c r="HM14" s="378"/>
      <c r="HN14" s="378"/>
      <c r="HO14" s="378"/>
      <c r="HP14" s="378"/>
      <c r="HQ14" s="378"/>
      <c r="HR14" s="378"/>
      <c r="HS14" s="378"/>
      <c r="HT14" s="378"/>
      <c r="HU14" s="378"/>
      <c r="HV14" s="378"/>
      <c r="HW14" s="378"/>
      <c r="HX14" s="378"/>
      <c r="HY14" s="378"/>
      <c r="HZ14" s="378"/>
      <c r="IA14" s="378"/>
      <c r="IB14" s="378"/>
      <c r="IC14" s="378"/>
      <c r="ID14" s="378"/>
      <c r="IE14" s="378"/>
      <c r="IF14" s="378"/>
      <c r="IG14" s="378"/>
      <c r="IH14" s="378"/>
      <c r="II14" s="378"/>
      <c r="IJ14" s="378"/>
      <c r="IK14" s="378"/>
      <c r="IL14" s="378"/>
      <c r="IM14" s="378"/>
      <c r="IN14" s="378"/>
      <c r="IO14" s="378"/>
      <c r="IP14" s="378"/>
      <c r="IQ14" s="378"/>
      <c r="IR14" s="378"/>
      <c r="IS14" s="378"/>
      <c r="IT14" s="378"/>
      <c r="IU14" s="378"/>
      <c r="IV14" s="378"/>
      <c r="IW14" s="378"/>
      <c r="IX14" s="378"/>
      <c r="IY14" s="378"/>
      <c r="IZ14" s="378"/>
      <c r="JA14" s="378"/>
    </row>
    <row r="15" spans="2:261" s="379" customFormat="1">
      <c r="B15" s="374"/>
      <c r="C15" s="375"/>
      <c r="D15" s="423"/>
      <c r="E15" s="392" t="s">
        <v>5051</v>
      </c>
      <c r="F15" s="380" t="str">
        <f>'Planning Template'!$F$75&amp;" (starting "&amp;'Planning Template'!$F$76&amp;")"</f>
        <v xml:space="preserve"> (starting )</v>
      </c>
      <c r="G15" s="432"/>
      <c r="H15" s="376"/>
      <c r="I15" s="377"/>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378"/>
      <c r="AY15" s="378"/>
      <c r="AZ15" s="378"/>
      <c r="BA15" s="378"/>
      <c r="BB15" s="378"/>
      <c r="BC15" s="378"/>
      <c r="BD15" s="378"/>
      <c r="BE15" s="378"/>
      <c r="BF15" s="378"/>
      <c r="BG15" s="378"/>
      <c r="BH15" s="378"/>
      <c r="BI15" s="378"/>
      <c r="BJ15" s="378"/>
      <c r="BK15" s="378"/>
      <c r="BL15" s="378"/>
      <c r="BM15" s="378"/>
      <c r="BN15" s="378"/>
      <c r="BO15" s="378"/>
      <c r="BP15" s="378"/>
      <c r="BQ15" s="378"/>
      <c r="BR15" s="378"/>
      <c r="BS15" s="378"/>
      <c r="BT15" s="378"/>
      <c r="BU15" s="378"/>
      <c r="BV15" s="378"/>
      <c r="BW15" s="378"/>
      <c r="BX15" s="378"/>
      <c r="BY15" s="378"/>
      <c r="BZ15" s="378"/>
      <c r="CA15" s="378"/>
      <c r="CB15" s="378"/>
      <c r="CC15" s="378"/>
      <c r="CD15" s="378"/>
      <c r="CE15" s="378"/>
      <c r="CF15" s="378"/>
      <c r="CG15" s="378"/>
      <c r="CH15" s="378"/>
      <c r="CI15" s="378"/>
      <c r="CJ15" s="378"/>
      <c r="CK15" s="378"/>
      <c r="CL15" s="378"/>
      <c r="CM15" s="378"/>
      <c r="CN15" s="378"/>
      <c r="CO15" s="378"/>
      <c r="CP15" s="378"/>
      <c r="CQ15" s="378"/>
      <c r="CR15" s="378"/>
      <c r="CS15" s="378"/>
      <c r="CT15" s="378"/>
      <c r="CU15" s="378"/>
      <c r="CV15" s="378"/>
      <c r="CW15" s="378"/>
      <c r="CX15" s="378"/>
      <c r="CY15" s="378"/>
      <c r="CZ15" s="378"/>
      <c r="DA15" s="378"/>
      <c r="DB15" s="378"/>
      <c r="DC15" s="378"/>
      <c r="DD15" s="378"/>
      <c r="DE15" s="378"/>
      <c r="DF15" s="378"/>
      <c r="DG15" s="378"/>
      <c r="DH15" s="378"/>
      <c r="DI15" s="378"/>
      <c r="DJ15" s="378"/>
      <c r="DK15" s="378"/>
      <c r="DL15" s="378"/>
      <c r="DM15" s="378"/>
      <c r="DN15" s="378"/>
      <c r="DO15" s="378"/>
      <c r="DP15" s="378"/>
      <c r="DQ15" s="378"/>
      <c r="DR15" s="378"/>
      <c r="DS15" s="378"/>
      <c r="DT15" s="378"/>
      <c r="DU15" s="378"/>
      <c r="DV15" s="378"/>
      <c r="DW15" s="378"/>
      <c r="DX15" s="378"/>
      <c r="DY15" s="378"/>
      <c r="DZ15" s="378"/>
      <c r="EA15" s="378"/>
      <c r="EB15" s="378"/>
      <c r="EC15" s="378"/>
      <c r="ED15" s="378"/>
      <c r="EE15" s="378"/>
      <c r="EF15" s="378"/>
      <c r="EG15" s="378"/>
      <c r="EH15" s="378"/>
      <c r="EI15" s="378"/>
      <c r="EJ15" s="378"/>
      <c r="EK15" s="378"/>
      <c r="EL15" s="378"/>
      <c r="EM15" s="378"/>
      <c r="EN15" s="378"/>
      <c r="EO15" s="378"/>
      <c r="EP15" s="378"/>
      <c r="EQ15" s="378"/>
      <c r="ER15" s="378"/>
      <c r="ES15" s="378"/>
      <c r="ET15" s="378"/>
      <c r="EU15" s="378"/>
      <c r="EV15" s="378"/>
      <c r="EW15" s="378"/>
      <c r="EX15" s="378"/>
      <c r="EY15" s="378"/>
      <c r="EZ15" s="378"/>
      <c r="FA15" s="378"/>
      <c r="FB15" s="378"/>
      <c r="FC15" s="378"/>
      <c r="FD15" s="378"/>
      <c r="FE15" s="378"/>
      <c r="FF15" s="378"/>
      <c r="FG15" s="378"/>
      <c r="FH15" s="378"/>
      <c r="FI15" s="378"/>
      <c r="FJ15" s="378"/>
      <c r="FK15" s="378"/>
      <c r="FL15" s="378"/>
      <c r="FM15" s="378"/>
      <c r="FN15" s="378"/>
      <c r="FO15" s="378"/>
      <c r="FP15" s="378"/>
      <c r="FQ15" s="378"/>
      <c r="FR15" s="378"/>
      <c r="FS15" s="378"/>
      <c r="FT15" s="378"/>
      <c r="FU15" s="378"/>
      <c r="FV15" s="378"/>
      <c r="FW15" s="378"/>
      <c r="FX15" s="378"/>
      <c r="FY15" s="378"/>
      <c r="FZ15" s="378"/>
      <c r="GA15" s="378"/>
      <c r="GB15" s="378"/>
      <c r="GC15" s="378"/>
      <c r="GD15" s="378"/>
      <c r="GE15" s="378"/>
      <c r="GF15" s="378"/>
      <c r="GG15" s="378"/>
      <c r="GH15" s="378"/>
      <c r="GI15" s="378"/>
      <c r="GJ15" s="378"/>
      <c r="GK15" s="378"/>
      <c r="GL15" s="378"/>
      <c r="GM15" s="378"/>
      <c r="GN15" s="378"/>
      <c r="GO15" s="378"/>
      <c r="GP15" s="378"/>
      <c r="GQ15" s="378"/>
      <c r="GR15" s="378"/>
      <c r="GS15" s="378"/>
      <c r="GT15" s="378"/>
      <c r="GU15" s="378"/>
      <c r="GV15" s="378"/>
      <c r="GW15" s="378"/>
      <c r="GX15" s="378"/>
      <c r="GY15" s="378"/>
      <c r="GZ15" s="378"/>
      <c r="HA15" s="378"/>
      <c r="HB15" s="378"/>
      <c r="HC15" s="378"/>
      <c r="HD15" s="378"/>
      <c r="HE15" s="378"/>
      <c r="HF15" s="378"/>
      <c r="HG15" s="378"/>
      <c r="HH15" s="378"/>
      <c r="HI15" s="378"/>
      <c r="HJ15" s="378"/>
      <c r="HK15" s="378"/>
      <c r="HL15" s="378"/>
      <c r="HM15" s="378"/>
      <c r="HN15" s="378"/>
      <c r="HO15" s="378"/>
      <c r="HP15" s="378"/>
      <c r="HQ15" s="378"/>
      <c r="HR15" s="378"/>
      <c r="HS15" s="378"/>
      <c r="HT15" s="378"/>
      <c r="HU15" s="378"/>
      <c r="HV15" s="378"/>
      <c r="HW15" s="378"/>
      <c r="HX15" s="378"/>
      <c r="HY15" s="378"/>
      <c r="HZ15" s="378"/>
      <c r="IA15" s="378"/>
      <c r="IB15" s="378"/>
      <c r="IC15" s="378"/>
      <c r="ID15" s="378"/>
      <c r="IE15" s="378"/>
      <c r="IF15" s="378"/>
      <c r="IG15" s="378"/>
      <c r="IH15" s="378"/>
      <c r="II15" s="378"/>
      <c r="IJ15" s="378"/>
      <c r="IK15" s="378"/>
      <c r="IL15" s="378"/>
      <c r="IM15" s="378"/>
      <c r="IN15" s="378"/>
      <c r="IO15" s="378"/>
      <c r="IP15" s="378"/>
      <c r="IQ15" s="378"/>
      <c r="IR15" s="378"/>
      <c r="IS15" s="378"/>
      <c r="IT15" s="378"/>
      <c r="IU15" s="378"/>
      <c r="IV15" s="378"/>
      <c r="IW15" s="378"/>
      <c r="IX15" s="378"/>
      <c r="IY15" s="378"/>
      <c r="IZ15" s="378"/>
      <c r="JA15" s="378"/>
    </row>
    <row r="16" spans="2:261" s="379" customFormat="1">
      <c r="B16" s="374"/>
      <c r="C16" s="375"/>
      <c r="D16" s="423"/>
      <c r="E16" s="389" t="s">
        <v>7</v>
      </c>
      <c r="F16" s="395"/>
      <c r="G16" s="424"/>
      <c r="H16" s="376"/>
      <c r="I16" s="377"/>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8"/>
      <c r="AY16" s="378"/>
      <c r="AZ16" s="378"/>
      <c r="BA16" s="378"/>
      <c r="BB16" s="378"/>
      <c r="BC16" s="378"/>
      <c r="BD16" s="378"/>
      <c r="BE16" s="378"/>
      <c r="BF16" s="378"/>
      <c r="BG16" s="378"/>
      <c r="BH16" s="378"/>
      <c r="BI16" s="378"/>
      <c r="BJ16" s="378"/>
      <c r="BK16" s="378"/>
      <c r="BL16" s="378"/>
      <c r="BM16" s="378"/>
      <c r="BN16" s="378"/>
      <c r="BO16" s="378"/>
      <c r="BP16" s="378"/>
      <c r="BQ16" s="378"/>
      <c r="BR16" s="378"/>
      <c r="BS16" s="378"/>
      <c r="BT16" s="378"/>
      <c r="BU16" s="378"/>
      <c r="BV16" s="378"/>
      <c r="BW16" s="378"/>
      <c r="BX16" s="378"/>
      <c r="BY16" s="378"/>
      <c r="BZ16" s="378"/>
      <c r="CA16" s="378"/>
      <c r="CB16" s="378"/>
      <c r="CC16" s="378"/>
      <c r="CD16" s="378"/>
      <c r="CE16" s="378"/>
      <c r="CF16" s="378"/>
      <c r="CG16" s="378"/>
      <c r="CH16" s="378"/>
      <c r="CI16" s="378"/>
      <c r="CJ16" s="378"/>
      <c r="CK16" s="378"/>
      <c r="CL16" s="378"/>
      <c r="CM16" s="378"/>
      <c r="CN16" s="378"/>
      <c r="CO16" s="378"/>
      <c r="CP16" s="378"/>
      <c r="CQ16" s="378"/>
      <c r="CR16" s="378"/>
      <c r="CS16" s="378"/>
      <c r="CT16" s="378"/>
      <c r="CU16" s="378"/>
      <c r="CV16" s="378"/>
      <c r="CW16" s="378"/>
      <c r="CX16" s="378"/>
      <c r="CY16" s="378"/>
      <c r="CZ16" s="378"/>
      <c r="DA16" s="378"/>
      <c r="DB16" s="378"/>
      <c r="DC16" s="378"/>
      <c r="DD16" s="378"/>
      <c r="DE16" s="378"/>
      <c r="DF16" s="378"/>
      <c r="DG16" s="378"/>
      <c r="DH16" s="378"/>
      <c r="DI16" s="378"/>
      <c r="DJ16" s="378"/>
      <c r="DK16" s="378"/>
      <c r="DL16" s="378"/>
      <c r="DM16" s="378"/>
      <c r="DN16" s="378"/>
      <c r="DO16" s="378"/>
      <c r="DP16" s="378"/>
      <c r="DQ16" s="378"/>
      <c r="DR16" s="378"/>
      <c r="DS16" s="378"/>
      <c r="DT16" s="378"/>
      <c r="DU16" s="378"/>
      <c r="DV16" s="378"/>
      <c r="DW16" s="378"/>
      <c r="DX16" s="378"/>
      <c r="DY16" s="378"/>
      <c r="DZ16" s="378"/>
      <c r="EA16" s="378"/>
      <c r="EB16" s="378"/>
      <c r="EC16" s="378"/>
      <c r="ED16" s="378"/>
      <c r="EE16" s="378"/>
      <c r="EF16" s="378"/>
      <c r="EG16" s="378"/>
      <c r="EH16" s="378"/>
      <c r="EI16" s="378"/>
      <c r="EJ16" s="378"/>
      <c r="EK16" s="378"/>
      <c r="EL16" s="378"/>
      <c r="EM16" s="378"/>
      <c r="EN16" s="378"/>
      <c r="EO16" s="378"/>
      <c r="EP16" s="378"/>
      <c r="EQ16" s="378"/>
      <c r="ER16" s="378"/>
      <c r="ES16" s="378"/>
      <c r="ET16" s="378"/>
      <c r="EU16" s="378"/>
      <c r="EV16" s="378"/>
      <c r="EW16" s="378"/>
      <c r="EX16" s="378"/>
      <c r="EY16" s="378"/>
      <c r="EZ16" s="378"/>
      <c r="FA16" s="378"/>
      <c r="FB16" s="378"/>
      <c r="FC16" s="378"/>
      <c r="FD16" s="378"/>
      <c r="FE16" s="378"/>
      <c r="FF16" s="378"/>
      <c r="FG16" s="378"/>
      <c r="FH16" s="378"/>
      <c r="FI16" s="378"/>
      <c r="FJ16" s="378"/>
      <c r="FK16" s="378"/>
      <c r="FL16" s="378"/>
      <c r="FM16" s="378"/>
      <c r="FN16" s="378"/>
      <c r="FO16" s="378"/>
      <c r="FP16" s="378"/>
      <c r="FQ16" s="378"/>
      <c r="FR16" s="378"/>
      <c r="FS16" s="378"/>
      <c r="FT16" s="378"/>
      <c r="FU16" s="378"/>
      <c r="FV16" s="378"/>
      <c r="FW16" s="378"/>
      <c r="FX16" s="378"/>
      <c r="FY16" s="378"/>
      <c r="FZ16" s="378"/>
      <c r="GA16" s="378"/>
      <c r="GB16" s="378"/>
      <c r="GC16" s="378"/>
      <c r="GD16" s="378"/>
      <c r="GE16" s="378"/>
      <c r="GF16" s="378"/>
      <c r="GG16" s="378"/>
      <c r="GH16" s="378"/>
      <c r="GI16" s="378"/>
      <c r="GJ16" s="378"/>
      <c r="GK16" s="378"/>
      <c r="GL16" s="378"/>
      <c r="GM16" s="378"/>
      <c r="GN16" s="378"/>
      <c r="GO16" s="378"/>
      <c r="GP16" s="378"/>
      <c r="GQ16" s="378"/>
      <c r="GR16" s="378"/>
      <c r="GS16" s="378"/>
      <c r="GT16" s="378"/>
      <c r="GU16" s="378"/>
      <c r="GV16" s="378"/>
      <c r="GW16" s="378"/>
      <c r="GX16" s="378"/>
      <c r="GY16" s="378"/>
      <c r="GZ16" s="378"/>
      <c r="HA16" s="378"/>
      <c r="HB16" s="378"/>
      <c r="HC16" s="378"/>
      <c r="HD16" s="378"/>
      <c r="HE16" s="378"/>
      <c r="HF16" s="378"/>
      <c r="HG16" s="378"/>
      <c r="HH16" s="378"/>
      <c r="HI16" s="378"/>
      <c r="HJ16" s="378"/>
      <c r="HK16" s="378"/>
      <c r="HL16" s="378"/>
      <c r="HM16" s="378"/>
      <c r="HN16" s="378"/>
      <c r="HO16" s="378"/>
      <c r="HP16" s="378"/>
      <c r="HQ16" s="378"/>
      <c r="HR16" s="378"/>
      <c r="HS16" s="378"/>
      <c r="HT16" s="378"/>
      <c r="HU16" s="378"/>
      <c r="HV16" s="378"/>
      <c r="HW16" s="378"/>
      <c r="HX16" s="378"/>
      <c r="HY16" s="378"/>
      <c r="HZ16" s="378"/>
      <c r="IA16" s="378"/>
      <c r="IB16" s="378"/>
      <c r="IC16" s="378"/>
      <c r="ID16" s="378"/>
      <c r="IE16" s="378"/>
      <c r="IF16" s="378"/>
      <c r="IG16" s="378"/>
      <c r="IH16" s="378"/>
      <c r="II16" s="378"/>
      <c r="IJ16" s="378"/>
      <c r="IK16" s="378"/>
      <c r="IL16" s="378"/>
      <c r="IM16" s="378"/>
      <c r="IN16" s="378"/>
      <c r="IO16" s="378"/>
      <c r="IP16" s="378"/>
      <c r="IQ16" s="378"/>
      <c r="IR16" s="378"/>
      <c r="IS16" s="378"/>
      <c r="IT16" s="378"/>
      <c r="IU16" s="378"/>
      <c r="IV16" s="378"/>
      <c r="IW16" s="378"/>
      <c r="IX16" s="378"/>
      <c r="IY16" s="378"/>
      <c r="IZ16" s="378"/>
      <c r="JA16" s="378"/>
    </row>
    <row r="17" spans="2:261" s="379" customFormat="1">
      <c r="B17" s="374"/>
      <c r="C17" s="375"/>
      <c r="D17" s="423"/>
      <c r="E17" s="389" t="s">
        <v>5052</v>
      </c>
      <c r="F17" s="397" t="str">
        <f>'Planning Template'!F77&amp;" (starting "&amp;'Planning Template'!F78&amp;")"</f>
        <v xml:space="preserve"> (starting )</v>
      </c>
      <c r="G17" s="424"/>
      <c r="H17" s="376"/>
      <c r="I17" s="377"/>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8"/>
      <c r="AZ17" s="378"/>
      <c r="BA17" s="378"/>
      <c r="BB17" s="378"/>
      <c r="BC17" s="378"/>
      <c r="BD17" s="378"/>
      <c r="BE17" s="378"/>
      <c r="BF17" s="378"/>
      <c r="BG17" s="378"/>
      <c r="BH17" s="378"/>
      <c r="BI17" s="378"/>
      <c r="BJ17" s="378"/>
      <c r="BK17" s="378"/>
      <c r="BL17" s="378"/>
      <c r="BM17" s="378"/>
      <c r="BN17" s="378"/>
      <c r="BO17" s="378"/>
      <c r="BP17" s="378"/>
      <c r="BQ17" s="378"/>
      <c r="BR17" s="378"/>
      <c r="BS17" s="378"/>
      <c r="BT17" s="378"/>
      <c r="BU17" s="378"/>
      <c r="BV17" s="378"/>
      <c r="BW17" s="378"/>
      <c r="BX17" s="378"/>
      <c r="BY17" s="378"/>
      <c r="BZ17" s="378"/>
      <c r="CA17" s="378"/>
      <c r="CB17" s="378"/>
      <c r="CC17" s="378"/>
      <c r="CD17" s="378"/>
      <c r="CE17" s="378"/>
      <c r="CF17" s="378"/>
      <c r="CG17" s="378"/>
      <c r="CH17" s="378"/>
      <c r="CI17" s="378"/>
      <c r="CJ17" s="378"/>
      <c r="CK17" s="378"/>
      <c r="CL17" s="378"/>
      <c r="CM17" s="378"/>
      <c r="CN17" s="378"/>
      <c r="CO17" s="378"/>
      <c r="CP17" s="378"/>
      <c r="CQ17" s="378"/>
      <c r="CR17" s="378"/>
      <c r="CS17" s="378"/>
      <c r="CT17" s="378"/>
      <c r="CU17" s="378"/>
      <c r="CV17" s="378"/>
      <c r="CW17" s="378"/>
      <c r="CX17" s="378"/>
      <c r="CY17" s="378"/>
      <c r="CZ17" s="378"/>
      <c r="DA17" s="378"/>
      <c r="DB17" s="378"/>
      <c r="DC17" s="378"/>
      <c r="DD17" s="378"/>
      <c r="DE17" s="378"/>
      <c r="DF17" s="378"/>
      <c r="DG17" s="378"/>
      <c r="DH17" s="378"/>
      <c r="DI17" s="378"/>
      <c r="DJ17" s="378"/>
      <c r="DK17" s="378"/>
      <c r="DL17" s="378"/>
      <c r="DM17" s="378"/>
      <c r="DN17" s="378"/>
      <c r="DO17" s="378"/>
      <c r="DP17" s="378"/>
      <c r="DQ17" s="378"/>
      <c r="DR17" s="378"/>
      <c r="DS17" s="378"/>
      <c r="DT17" s="378"/>
      <c r="DU17" s="378"/>
      <c r="DV17" s="378"/>
      <c r="DW17" s="378"/>
      <c r="DX17" s="378"/>
      <c r="DY17" s="378"/>
      <c r="DZ17" s="378"/>
      <c r="EA17" s="378"/>
      <c r="EB17" s="378"/>
      <c r="EC17" s="378"/>
      <c r="ED17" s="378"/>
      <c r="EE17" s="378"/>
      <c r="EF17" s="378"/>
      <c r="EG17" s="378"/>
      <c r="EH17" s="378"/>
      <c r="EI17" s="378"/>
      <c r="EJ17" s="378"/>
      <c r="EK17" s="378"/>
      <c r="EL17" s="378"/>
      <c r="EM17" s="378"/>
      <c r="EN17" s="378"/>
      <c r="EO17" s="378"/>
      <c r="EP17" s="378"/>
      <c r="EQ17" s="378"/>
      <c r="ER17" s="378"/>
      <c r="ES17" s="378"/>
      <c r="ET17" s="378"/>
      <c r="EU17" s="378"/>
      <c r="EV17" s="378"/>
      <c r="EW17" s="378"/>
      <c r="EX17" s="378"/>
      <c r="EY17" s="378"/>
      <c r="EZ17" s="378"/>
      <c r="FA17" s="378"/>
      <c r="FB17" s="378"/>
      <c r="FC17" s="378"/>
      <c r="FD17" s="378"/>
      <c r="FE17" s="378"/>
      <c r="FF17" s="378"/>
      <c r="FG17" s="378"/>
      <c r="FH17" s="378"/>
      <c r="FI17" s="378"/>
      <c r="FJ17" s="378"/>
      <c r="FK17" s="378"/>
      <c r="FL17" s="378"/>
      <c r="FM17" s="378"/>
      <c r="FN17" s="378"/>
      <c r="FO17" s="378"/>
      <c r="FP17" s="378"/>
      <c r="FQ17" s="378"/>
      <c r="FR17" s="378"/>
      <c r="FS17" s="378"/>
      <c r="FT17" s="378"/>
      <c r="FU17" s="378"/>
      <c r="FV17" s="378"/>
      <c r="FW17" s="378"/>
      <c r="FX17" s="378"/>
      <c r="FY17" s="378"/>
      <c r="FZ17" s="378"/>
      <c r="GA17" s="378"/>
      <c r="GB17" s="378"/>
      <c r="GC17" s="378"/>
      <c r="GD17" s="378"/>
      <c r="GE17" s="378"/>
      <c r="GF17" s="378"/>
      <c r="GG17" s="378"/>
      <c r="GH17" s="378"/>
      <c r="GI17" s="378"/>
      <c r="GJ17" s="378"/>
      <c r="GK17" s="378"/>
      <c r="GL17" s="378"/>
      <c r="GM17" s="378"/>
      <c r="GN17" s="378"/>
      <c r="GO17" s="378"/>
      <c r="GP17" s="378"/>
      <c r="GQ17" s="378"/>
      <c r="GR17" s="378"/>
      <c r="GS17" s="378"/>
      <c r="GT17" s="378"/>
      <c r="GU17" s="378"/>
      <c r="GV17" s="378"/>
      <c r="GW17" s="378"/>
      <c r="GX17" s="378"/>
      <c r="GY17" s="378"/>
      <c r="GZ17" s="378"/>
      <c r="HA17" s="378"/>
      <c r="HB17" s="378"/>
      <c r="HC17" s="378"/>
      <c r="HD17" s="378"/>
      <c r="HE17" s="378"/>
      <c r="HF17" s="378"/>
      <c r="HG17" s="378"/>
      <c r="HH17" s="378"/>
      <c r="HI17" s="378"/>
      <c r="HJ17" s="378"/>
      <c r="HK17" s="378"/>
      <c r="HL17" s="378"/>
      <c r="HM17" s="378"/>
      <c r="HN17" s="378"/>
      <c r="HO17" s="378"/>
      <c r="HP17" s="378"/>
      <c r="HQ17" s="378"/>
      <c r="HR17" s="378"/>
      <c r="HS17" s="378"/>
      <c r="HT17" s="378"/>
      <c r="HU17" s="378"/>
      <c r="HV17" s="378"/>
      <c r="HW17" s="378"/>
      <c r="HX17" s="378"/>
      <c r="HY17" s="378"/>
      <c r="HZ17" s="378"/>
      <c r="IA17" s="378"/>
      <c r="IB17" s="378"/>
      <c r="IC17" s="378"/>
      <c r="ID17" s="378"/>
      <c r="IE17" s="378"/>
      <c r="IF17" s="378"/>
      <c r="IG17" s="378"/>
      <c r="IH17" s="378"/>
      <c r="II17" s="378"/>
      <c r="IJ17" s="378"/>
      <c r="IK17" s="378"/>
      <c r="IL17" s="378"/>
      <c r="IM17" s="378"/>
      <c r="IN17" s="378"/>
      <c r="IO17" s="378"/>
      <c r="IP17" s="378"/>
      <c r="IQ17" s="378"/>
      <c r="IR17" s="378"/>
      <c r="IS17" s="378"/>
      <c r="IT17" s="378"/>
      <c r="IU17" s="378"/>
      <c r="IV17" s="378"/>
      <c r="IW17" s="378"/>
      <c r="IX17" s="378"/>
      <c r="IY17" s="378"/>
      <c r="IZ17" s="378"/>
      <c r="JA17" s="378"/>
    </row>
    <row r="18" spans="2:261" s="379" customFormat="1">
      <c r="B18" s="374"/>
      <c r="C18" s="375"/>
      <c r="D18" s="423"/>
      <c r="E18" s="389" t="s">
        <v>7</v>
      </c>
      <c r="F18" s="395"/>
      <c r="G18" s="424"/>
      <c r="H18" s="376"/>
      <c r="I18" s="377"/>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378"/>
      <c r="BG18" s="378"/>
      <c r="BH18" s="378"/>
      <c r="BI18" s="378"/>
      <c r="BJ18" s="378"/>
      <c r="BK18" s="378"/>
      <c r="BL18" s="378"/>
      <c r="BM18" s="378"/>
      <c r="BN18" s="378"/>
      <c r="BO18" s="378"/>
      <c r="BP18" s="378"/>
      <c r="BQ18" s="378"/>
      <c r="BR18" s="378"/>
      <c r="BS18" s="378"/>
      <c r="BT18" s="378"/>
      <c r="BU18" s="378"/>
      <c r="BV18" s="378"/>
      <c r="BW18" s="378"/>
      <c r="BX18" s="378"/>
      <c r="BY18" s="378"/>
      <c r="BZ18" s="378"/>
      <c r="CA18" s="378"/>
      <c r="CB18" s="378"/>
      <c r="CC18" s="378"/>
      <c r="CD18" s="378"/>
      <c r="CE18" s="378"/>
      <c r="CF18" s="378"/>
      <c r="CG18" s="378"/>
      <c r="CH18" s="378"/>
      <c r="CI18" s="378"/>
      <c r="CJ18" s="378"/>
      <c r="CK18" s="378"/>
      <c r="CL18" s="378"/>
      <c r="CM18" s="378"/>
      <c r="CN18" s="378"/>
      <c r="CO18" s="378"/>
      <c r="CP18" s="378"/>
      <c r="CQ18" s="378"/>
      <c r="CR18" s="378"/>
      <c r="CS18" s="378"/>
      <c r="CT18" s="378"/>
      <c r="CU18" s="378"/>
      <c r="CV18" s="378"/>
      <c r="CW18" s="378"/>
      <c r="CX18" s="378"/>
      <c r="CY18" s="378"/>
      <c r="CZ18" s="378"/>
      <c r="DA18" s="378"/>
      <c r="DB18" s="378"/>
      <c r="DC18" s="378"/>
      <c r="DD18" s="378"/>
      <c r="DE18" s="378"/>
      <c r="DF18" s="378"/>
      <c r="DG18" s="378"/>
      <c r="DH18" s="378"/>
      <c r="DI18" s="378"/>
      <c r="DJ18" s="378"/>
      <c r="DK18" s="378"/>
      <c r="DL18" s="378"/>
      <c r="DM18" s="378"/>
      <c r="DN18" s="378"/>
      <c r="DO18" s="378"/>
      <c r="DP18" s="378"/>
      <c r="DQ18" s="378"/>
      <c r="DR18" s="378"/>
      <c r="DS18" s="378"/>
      <c r="DT18" s="378"/>
      <c r="DU18" s="378"/>
      <c r="DV18" s="378"/>
      <c r="DW18" s="378"/>
      <c r="DX18" s="378"/>
      <c r="DY18" s="378"/>
      <c r="DZ18" s="378"/>
      <c r="EA18" s="378"/>
      <c r="EB18" s="378"/>
      <c r="EC18" s="378"/>
      <c r="ED18" s="378"/>
      <c r="EE18" s="378"/>
      <c r="EF18" s="378"/>
      <c r="EG18" s="378"/>
      <c r="EH18" s="378"/>
      <c r="EI18" s="378"/>
      <c r="EJ18" s="378"/>
      <c r="EK18" s="378"/>
      <c r="EL18" s="378"/>
      <c r="EM18" s="378"/>
      <c r="EN18" s="378"/>
      <c r="EO18" s="378"/>
      <c r="EP18" s="378"/>
      <c r="EQ18" s="378"/>
      <c r="ER18" s="378"/>
      <c r="ES18" s="378"/>
      <c r="ET18" s="378"/>
      <c r="EU18" s="378"/>
      <c r="EV18" s="378"/>
      <c r="EW18" s="378"/>
      <c r="EX18" s="378"/>
      <c r="EY18" s="378"/>
      <c r="EZ18" s="378"/>
      <c r="FA18" s="378"/>
      <c r="FB18" s="378"/>
      <c r="FC18" s="378"/>
      <c r="FD18" s="378"/>
      <c r="FE18" s="378"/>
      <c r="FF18" s="378"/>
      <c r="FG18" s="378"/>
      <c r="FH18" s="378"/>
      <c r="FI18" s="378"/>
      <c r="FJ18" s="378"/>
      <c r="FK18" s="378"/>
      <c r="FL18" s="378"/>
      <c r="FM18" s="378"/>
      <c r="FN18" s="378"/>
      <c r="FO18" s="378"/>
      <c r="FP18" s="378"/>
      <c r="FQ18" s="378"/>
      <c r="FR18" s="378"/>
      <c r="FS18" s="378"/>
      <c r="FT18" s="378"/>
      <c r="FU18" s="378"/>
      <c r="FV18" s="378"/>
      <c r="FW18" s="378"/>
      <c r="FX18" s="378"/>
      <c r="FY18" s="378"/>
      <c r="FZ18" s="378"/>
      <c r="GA18" s="378"/>
      <c r="GB18" s="378"/>
      <c r="GC18" s="378"/>
      <c r="GD18" s="378"/>
      <c r="GE18" s="378"/>
      <c r="GF18" s="378"/>
      <c r="GG18" s="378"/>
      <c r="GH18" s="378"/>
      <c r="GI18" s="378"/>
      <c r="GJ18" s="378"/>
      <c r="GK18" s="378"/>
      <c r="GL18" s="378"/>
      <c r="GM18" s="378"/>
      <c r="GN18" s="378"/>
      <c r="GO18" s="378"/>
      <c r="GP18" s="378"/>
      <c r="GQ18" s="378"/>
      <c r="GR18" s="378"/>
      <c r="GS18" s="378"/>
      <c r="GT18" s="378"/>
      <c r="GU18" s="378"/>
      <c r="GV18" s="378"/>
      <c r="GW18" s="378"/>
      <c r="GX18" s="378"/>
      <c r="GY18" s="378"/>
      <c r="GZ18" s="378"/>
      <c r="HA18" s="378"/>
      <c r="HB18" s="378"/>
      <c r="HC18" s="378"/>
      <c r="HD18" s="378"/>
      <c r="HE18" s="378"/>
      <c r="HF18" s="378"/>
      <c r="HG18" s="378"/>
      <c r="HH18" s="378"/>
      <c r="HI18" s="378"/>
      <c r="HJ18" s="378"/>
      <c r="HK18" s="378"/>
      <c r="HL18" s="378"/>
      <c r="HM18" s="378"/>
      <c r="HN18" s="378"/>
      <c r="HO18" s="378"/>
      <c r="HP18" s="378"/>
      <c r="HQ18" s="378"/>
      <c r="HR18" s="378"/>
      <c r="HS18" s="378"/>
      <c r="HT18" s="378"/>
      <c r="HU18" s="378"/>
      <c r="HV18" s="378"/>
      <c r="HW18" s="378"/>
      <c r="HX18" s="378"/>
      <c r="HY18" s="378"/>
      <c r="HZ18" s="378"/>
      <c r="IA18" s="378"/>
      <c r="IB18" s="378"/>
      <c r="IC18" s="378"/>
      <c r="ID18" s="378"/>
      <c r="IE18" s="378"/>
      <c r="IF18" s="378"/>
      <c r="IG18" s="378"/>
      <c r="IH18" s="378"/>
      <c r="II18" s="378"/>
      <c r="IJ18" s="378"/>
      <c r="IK18" s="378"/>
      <c r="IL18" s="378"/>
      <c r="IM18" s="378"/>
      <c r="IN18" s="378"/>
      <c r="IO18" s="378"/>
      <c r="IP18" s="378"/>
      <c r="IQ18" s="378"/>
      <c r="IR18" s="378"/>
      <c r="IS18" s="378"/>
      <c r="IT18" s="378"/>
      <c r="IU18" s="378"/>
      <c r="IV18" s="378"/>
      <c r="IW18" s="378"/>
      <c r="IX18" s="378"/>
      <c r="IY18" s="378"/>
      <c r="IZ18" s="378"/>
      <c r="JA18" s="378"/>
    </row>
    <row r="19" spans="2:261" s="379" customFormat="1">
      <c r="B19" s="374"/>
      <c r="C19" s="375"/>
      <c r="D19" s="423"/>
      <c r="E19" s="389" t="s">
        <v>5053</v>
      </c>
      <c r="F19" s="397" t="str">
        <f>'Planning Template'!F79&amp;" (starting "&amp;'Planning Template'!F80&amp;")"</f>
        <v xml:space="preserve"> (starting )</v>
      </c>
      <c r="G19" s="424"/>
      <c r="H19" s="376"/>
      <c r="I19" s="377"/>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8"/>
      <c r="AZ19" s="378"/>
      <c r="BA19" s="378"/>
      <c r="BB19" s="378"/>
      <c r="BC19" s="378"/>
      <c r="BD19" s="378"/>
      <c r="BE19" s="378"/>
      <c r="BF19" s="378"/>
      <c r="BG19" s="378"/>
      <c r="BH19" s="378"/>
      <c r="BI19" s="378"/>
      <c r="BJ19" s="378"/>
      <c r="BK19" s="378"/>
      <c r="BL19" s="378"/>
      <c r="BM19" s="378"/>
      <c r="BN19" s="378"/>
      <c r="BO19" s="378"/>
      <c r="BP19" s="378"/>
      <c r="BQ19" s="378"/>
      <c r="BR19" s="378"/>
      <c r="BS19" s="378"/>
      <c r="BT19" s="378"/>
      <c r="BU19" s="378"/>
      <c r="BV19" s="378"/>
      <c r="BW19" s="378"/>
      <c r="BX19" s="378"/>
      <c r="BY19" s="378"/>
      <c r="BZ19" s="378"/>
      <c r="CA19" s="378"/>
      <c r="CB19" s="378"/>
      <c r="CC19" s="378"/>
      <c r="CD19" s="378"/>
      <c r="CE19" s="378"/>
      <c r="CF19" s="378"/>
      <c r="CG19" s="378"/>
      <c r="CH19" s="378"/>
      <c r="CI19" s="378"/>
      <c r="CJ19" s="378"/>
      <c r="CK19" s="378"/>
      <c r="CL19" s="378"/>
      <c r="CM19" s="378"/>
      <c r="CN19" s="378"/>
      <c r="CO19" s="378"/>
      <c r="CP19" s="378"/>
      <c r="CQ19" s="378"/>
      <c r="CR19" s="378"/>
      <c r="CS19" s="378"/>
      <c r="CT19" s="378"/>
      <c r="CU19" s="378"/>
      <c r="CV19" s="378"/>
      <c r="CW19" s="378"/>
      <c r="CX19" s="378"/>
      <c r="CY19" s="378"/>
      <c r="CZ19" s="378"/>
      <c r="DA19" s="378"/>
      <c r="DB19" s="378"/>
      <c r="DC19" s="378"/>
      <c r="DD19" s="378"/>
      <c r="DE19" s="378"/>
      <c r="DF19" s="378"/>
      <c r="DG19" s="378"/>
      <c r="DH19" s="378"/>
      <c r="DI19" s="378"/>
      <c r="DJ19" s="378"/>
      <c r="DK19" s="378"/>
      <c r="DL19" s="378"/>
      <c r="DM19" s="378"/>
      <c r="DN19" s="378"/>
      <c r="DO19" s="378"/>
      <c r="DP19" s="378"/>
      <c r="DQ19" s="378"/>
      <c r="DR19" s="378"/>
      <c r="DS19" s="378"/>
      <c r="DT19" s="378"/>
      <c r="DU19" s="378"/>
      <c r="DV19" s="378"/>
      <c r="DW19" s="378"/>
      <c r="DX19" s="378"/>
      <c r="DY19" s="378"/>
      <c r="DZ19" s="378"/>
      <c r="EA19" s="378"/>
      <c r="EB19" s="378"/>
      <c r="EC19" s="378"/>
      <c r="ED19" s="378"/>
      <c r="EE19" s="378"/>
      <c r="EF19" s="378"/>
      <c r="EG19" s="378"/>
      <c r="EH19" s="378"/>
      <c r="EI19" s="378"/>
      <c r="EJ19" s="378"/>
      <c r="EK19" s="378"/>
      <c r="EL19" s="378"/>
      <c r="EM19" s="378"/>
      <c r="EN19" s="378"/>
      <c r="EO19" s="378"/>
      <c r="EP19" s="378"/>
      <c r="EQ19" s="378"/>
      <c r="ER19" s="378"/>
      <c r="ES19" s="378"/>
      <c r="ET19" s="378"/>
      <c r="EU19" s="378"/>
      <c r="EV19" s="378"/>
      <c r="EW19" s="378"/>
      <c r="EX19" s="378"/>
      <c r="EY19" s="378"/>
      <c r="EZ19" s="378"/>
      <c r="FA19" s="378"/>
      <c r="FB19" s="378"/>
      <c r="FC19" s="378"/>
      <c r="FD19" s="378"/>
      <c r="FE19" s="378"/>
      <c r="FF19" s="378"/>
      <c r="FG19" s="378"/>
      <c r="FH19" s="378"/>
      <c r="FI19" s="378"/>
      <c r="FJ19" s="378"/>
      <c r="FK19" s="378"/>
      <c r="FL19" s="378"/>
      <c r="FM19" s="378"/>
      <c r="FN19" s="378"/>
      <c r="FO19" s="378"/>
      <c r="FP19" s="378"/>
      <c r="FQ19" s="378"/>
      <c r="FR19" s="378"/>
      <c r="FS19" s="378"/>
      <c r="FT19" s="378"/>
      <c r="FU19" s="378"/>
      <c r="FV19" s="378"/>
      <c r="FW19" s="378"/>
      <c r="FX19" s="378"/>
      <c r="FY19" s="378"/>
      <c r="FZ19" s="378"/>
      <c r="GA19" s="378"/>
      <c r="GB19" s="378"/>
      <c r="GC19" s="378"/>
      <c r="GD19" s="378"/>
      <c r="GE19" s="378"/>
      <c r="GF19" s="378"/>
      <c r="GG19" s="378"/>
      <c r="GH19" s="378"/>
      <c r="GI19" s="378"/>
      <c r="GJ19" s="378"/>
      <c r="GK19" s="378"/>
      <c r="GL19" s="378"/>
      <c r="GM19" s="378"/>
      <c r="GN19" s="378"/>
      <c r="GO19" s="378"/>
      <c r="GP19" s="378"/>
      <c r="GQ19" s="378"/>
      <c r="GR19" s="378"/>
      <c r="GS19" s="378"/>
      <c r="GT19" s="378"/>
      <c r="GU19" s="378"/>
      <c r="GV19" s="378"/>
      <c r="GW19" s="378"/>
      <c r="GX19" s="378"/>
      <c r="GY19" s="378"/>
      <c r="GZ19" s="378"/>
      <c r="HA19" s="378"/>
      <c r="HB19" s="378"/>
      <c r="HC19" s="378"/>
      <c r="HD19" s="378"/>
      <c r="HE19" s="378"/>
      <c r="HF19" s="378"/>
      <c r="HG19" s="378"/>
      <c r="HH19" s="378"/>
      <c r="HI19" s="378"/>
      <c r="HJ19" s="378"/>
      <c r="HK19" s="378"/>
      <c r="HL19" s="378"/>
      <c r="HM19" s="378"/>
      <c r="HN19" s="378"/>
      <c r="HO19" s="378"/>
      <c r="HP19" s="378"/>
      <c r="HQ19" s="378"/>
      <c r="HR19" s="378"/>
      <c r="HS19" s="378"/>
      <c r="HT19" s="378"/>
      <c r="HU19" s="378"/>
      <c r="HV19" s="378"/>
      <c r="HW19" s="378"/>
      <c r="HX19" s="378"/>
      <c r="HY19" s="378"/>
      <c r="HZ19" s="378"/>
      <c r="IA19" s="378"/>
      <c r="IB19" s="378"/>
      <c r="IC19" s="378"/>
      <c r="ID19" s="378"/>
      <c r="IE19" s="378"/>
      <c r="IF19" s="378"/>
      <c r="IG19" s="378"/>
      <c r="IH19" s="378"/>
      <c r="II19" s="378"/>
      <c r="IJ19" s="378"/>
      <c r="IK19" s="378"/>
      <c r="IL19" s="378"/>
      <c r="IM19" s="378"/>
      <c r="IN19" s="378"/>
      <c r="IO19" s="378"/>
      <c r="IP19" s="378"/>
      <c r="IQ19" s="378"/>
      <c r="IR19" s="378"/>
      <c r="IS19" s="378"/>
      <c r="IT19" s="378"/>
      <c r="IU19" s="378"/>
      <c r="IV19" s="378"/>
      <c r="IW19" s="378"/>
      <c r="IX19" s="378"/>
      <c r="IY19" s="378"/>
      <c r="IZ19" s="378"/>
      <c r="JA19" s="378"/>
    </row>
    <row r="20" spans="2:261" s="379" customFormat="1">
      <c r="B20" s="374"/>
      <c r="C20" s="375"/>
      <c r="D20" s="423"/>
      <c r="E20" s="389" t="s">
        <v>7</v>
      </c>
      <c r="F20" s="395"/>
      <c r="G20" s="424"/>
      <c r="H20" s="376"/>
      <c r="I20" s="377"/>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8"/>
      <c r="AZ20" s="378"/>
      <c r="BA20" s="378"/>
      <c r="BB20" s="378"/>
      <c r="BC20" s="378"/>
      <c r="BD20" s="378"/>
      <c r="BE20" s="378"/>
      <c r="BF20" s="378"/>
      <c r="BG20" s="378"/>
      <c r="BH20" s="378"/>
      <c r="BI20" s="378"/>
      <c r="BJ20" s="378"/>
      <c r="BK20" s="378"/>
      <c r="BL20" s="378"/>
      <c r="BM20" s="378"/>
      <c r="BN20" s="378"/>
      <c r="BO20" s="378"/>
      <c r="BP20" s="378"/>
      <c r="BQ20" s="378"/>
      <c r="BR20" s="378"/>
      <c r="BS20" s="378"/>
      <c r="BT20" s="378"/>
      <c r="BU20" s="378"/>
      <c r="BV20" s="378"/>
      <c r="BW20" s="378"/>
      <c r="BX20" s="378"/>
      <c r="BY20" s="378"/>
      <c r="BZ20" s="378"/>
      <c r="CA20" s="378"/>
      <c r="CB20" s="378"/>
      <c r="CC20" s="378"/>
      <c r="CD20" s="378"/>
      <c r="CE20" s="378"/>
      <c r="CF20" s="378"/>
      <c r="CG20" s="378"/>
      <c r="CH20" s="378"/>
      <c r="CI20" s="378"/>
      <c r="CJ20" s="378"/>
      <c r="CK20" s="378"/>
      <c r="CL20" s="378"/>
      <c r="CM20" s="378"/>
      <c r="CN20" s="378"/>
      <c r="CO20" s="378"/>
      <c r="CP20" s="378"/>
      <c r="CQ20" s="378"/>
      <c r="CR20" s="378"/>
      <c r="CS20" s="378"/>
      <c r="CT20" s="378"/>
      <c r="CU20" s="378"/>
      <c r="CV20" s="378"/>
      <c r="CW20" s="378"/>
      <c r="CX20" s="378"/>
      <c r="CY20" s="378"/>
      <c r="CZ20" s="378"/>
      <c r="DA20" s="378"/>
      <c r="DB20" s="378"/>
      <c r="DC20" s="378"/>
      <c r="DD20" s="378"/>
      <c r="DE20" s="378"/>
      <c r="DF20" s="378"/>
      <c r="DG20" s="378"/>
      <c r="DH20" s="378"/>
      <c r="DI20" s="378"/>
      <c r="DJ20" s="378"/>
      <c r="DK20" s="378"/>
      <c r="DL20" s="378"/>
      <c r="DM20" s="378"/>
      <c r="DN20" s="378"/>
      <c r="DO20" s="378"/>
      <c r="DP20" s="378"/>
      <c r="DQ20" s="378"/>
      <c r="DR20" s="378"/>
      <c r="DS20" s="378"/>
      <c r="DT20" s="378"/>
      <c r="DU20" s="378"/>
      <c r="DV20" s="378"/>
      <c r="DW20" s="378"/>
      <c r="DX20" s="378"/>
      <c r="DY20" s="378"/>
      <c r="DZ20" s="378"/>
      <c r="EA20" s="378"/>
      <c r="EB20" s="378"/>
      <c r="EC20" s="378"/>
      <c r="ED20" s="378"/>
      <c r="EE20" s="378"/>
      <c r="EF20" s="378"/>
      <c r="EG20" s="378"/>
      <c r="EH20" s="378"/>
      <c r="EI20" s="378"/>
      <c r="EJ20" s="378"/>
      <c r="EK20" s="378"/>
      <c r="EL20" s="378"/>
      <c r="EM20" s="378"/>
      <c r="EN20" s="378"/>
      <c r="EO20" s="378"/>
      <c r="EP20" s="378"/>
      <c r="EQ20" s="378"/>
      <c r="ER20" s="378"/>
      <c r="ES20" s="378"/>
      <c r="ET20" s="378"/>
      <c r="EU20" s="378"/>
      <c r="EV20" s="378"/>
      <c r="EW20" s="378"/>
      <c r="EX20" s="378"/>
      <c r="EY20" s="378"/>
      <c r="EZ20" s="378"/>
      <c r="FA20" s="378"/>
      <c r="FB20" s="378"/>
      <c r="FC20" s="378"/>
      <c r="FD20" s="378"/>
      <c r="FE20" s="378"/>
      <c r="FF20" s="378"/>
      <c r="FG20" s="378"/>
      <c r="FH20" s="378"/>
      <c r="FI20" s="378"/>
      <c r="FJ20" s="378"/>
      <c r="FK20" s="378"/>
      <c r="FL20" s="378"/>
      <c r="FM20" s="378"/>
      <c r="FN20" s="378"/>
      <c r="FO20" s="378"/>
      <c r="FP20" s="378"/>
      <c r="FQ20" s="378"/>
      <c r="FR20" s="378"/>
      <c r="FS20" s="378"/>
      <c r="FT20" s="378"/>
      <c r="FU20" s="378"/>
      <c r="FV20" s="378"/>
      <c r="FW20" s="378"/>
      <c r="FX20" s="378"/>
      <c r="FY20" s="378"/>
      <c r="FZ20" s="378"/>
      <c r="GA20" s="378"/>
      <c r="GB20" s="378"/>
      <c r="GC20" s="378"/>
      <c r="GD20" s="378"/>
      <c r="GE20" s="378"/>
      <c r="GF20" s="378"/>
      <c r="GG20" s="378"/>
      <c r="GH20" s="378"/>
      <c r="GI20" s="378"/>
      <c r="GJ20" s="378"/>
      <c r="GK20" s="378"/>
      <c r="GL20" s="378"/>
      <c r="GM20" s="378"/>
      <c r="GN20" s="378"/>
      <c r="GO20" s="378"/>
      <c r="GP20" s="378"/>
      <c r="GQ20" s="378"/>
      <c r="GR20" s="378"/>
      <c r="GS20" s="378"/>
      <c r="GT20" s="378"/>
      <c r="GU20" s="378"/>
      <c r="GV20" s="378"/>
      <c r="GW20" s="378"/>
      <c r="GX20" s="378"/>
      <c r="GY20" s="378"/>
      <c r="GZ20" s="378"/>
      <c r="HA20" s="378"/>
      <c r="HB20" s="378"/>
      <c r="HC20" s="378"/>
      <c r="HD20" s="378"/>
      <c r="HE20" s="378"/>
      <c r="HF20" s="378"/>
      <c r="HG20" s="378"/>
      <c r="HH20" s="378"/>
      <c r="HI20" s="378"/>
      <c r="HJ20" s="378"/>
      <c r="HK20" s="378"/>
      <c r="HL20" s="378"/>
      <c r="HM20" s="378"/>
      <c r="HN20" s="378"/>
      <c r="HO20" s="378"/>
      <c r="HP20" s="378"/>
      <c r="HQ20" s="378"/>
      <c r="HR20" s="378"/>
      <c r="HS20" s="378"/>
      <c r="HT20" s="378"/>
      <c r="HU20" s="378"/>
      <c r="HV20" s="378"/>
      <c r="HW20" s="378"/>
      <c r="HX20" s="378"/>
      <c r="HY20" s="378"/>
      <c r="HZ20" s="378"/>
      <c r="IA20" s="378"/>
      <c r="IB20" s="378"/>
      <c r="IC20" s="378"/>
      <c r="ID20" s="378"/>
      <c r="IE20" s="378"/>
      <c r="IF20" s="378"/>
      <c r="IG20" s="378"/>
      <c r="IH20" s="378"/>
      <c r="II20" s="378"/>
      <c r="IJ20" s="378"/>
      <c r="IK20" s="378"/>
      <c r="IL20" s="378"/>
      <c r="IM20" s="378"/>
      <c r="IN20" s="378"/>
      <c r="IO20" s="378"/>
      <c r="IP20" s="378"/>
      <c r="IQ20" s="378"/>
      <c r="IR20" s="378"/>
      <c r="IS20" s="378"/>
      <c r="IT20" s="378"/>
      <c r="IU20" s="378"/>
      <c r="IV20" s="378"/>
      <c r="IW20" s="378"/>
      <c r="IX20" s="378"/>
      <c r="IY20" s="378"/>
      <c r="IZ20" s="378"/>
      <c r="JA20" s="378"/>
    </row>
    <row r="21" spans="2:261" s="379" customFormat="1">
      <c r="B21" s="374"/>
      <c r="C21" s="375"/>
      <c r="D21" s="423">
        <f>D14+1</f>
        <v>3</v>
      </c>
      <c r="E21" s="396" t="s">
        <v>5060</v>
      </c>
      <c r="F21" s="390"/>
      <c r="G21" s="433"/>
      <c r="H21" s="376"/>
      <c r="I21" s="377"/>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8"/>
      <c r="BN21" s="378"/>
      <c r="BO21" s="378"/>
      <c r="BP21" s="378"/>
      <c r="BQ21" s="378"/>
      <c r="BR21" s="378"/>
      <c r="BS21" s="378"/>
      <c r="BT21" s="378"/>
      <c r="BU21" s="378"/>
      <c r="BV21" s="378"/>
      <c r="BW21" s="378"/>
      <c r="BX21" s="378"/>
      <c r="BY21" s="378"/>
      <c r="BZ21" s="378"/>
      <c r="CA21" s="378"/>
      <c r="CB21" s="378"/>
      <c r="CC21" s="378"/>
      <c r="CD21" s="378"/>
      <c r="CE21" s="378"/>
      <c r="CF21" s="378"/>
      <c r="CG21" s="378"/>
      <c r="CH21" s="378"/>
      <c r="CI21" s="378"/>
      <c r="CJ21" s="378"/>
      <c r="CK21" s="378"/>
      <c r="CL21" s="378"/>
      <c r="CM21" s="378"/>
      <c r="CN21" s="378"/>
      <c r="CO21" s="378"/>
      <c r="CP21" s="378"/>
      <c r="CQ21" s="378"/>
      <c r="CR21" s="378"/>
      <c r="CS21" s="378"/>
      <c r="CT21" s="378"/>
      <c r="CU21" s="378"/>
      <c r="CV21" s="378"/>
      <c r="CW21" s="378"/>
      <c r="CX21" s="378"/>
      <c r="CY21" s="378"/>
      <c r="CZ21" s="378"/>
      <c r="DA21" s="378"/>
      <c r="DB21" s="378"/>
      <c r="DC21" s="378"/>
      <c r="DD21" s="378"/>
      <c r="DE21" s="378"/>
      <c r="DF21" s="378"/>
      <c r="DG21" s="378"/>
      <c r="DH21" s="378"/>
      <c r="DI21" s="378"/>
      <c r="DJ21" s="378"/>
      <c r="DK21" s="378"/>
      <c r="DL21" s="378"/>
      <c r="DM21" s="378"/>
      <c r="DN21" s="378"/>
      <c r="DO21" s="378"/>
      <c r="DP21" s="378"/>
      <c r="DQ21" s="378"/>
      <c r="DR21" s="378"/>
      <c r="DS21" s="378"/>
      <c r="DT21" s="378"/>
      <c r="DU21" s="378"/>
      <c r="DV21" s="378"/>
      <c r="DW21" s="378"/>
      <c r="DX21" s="378"/>
      <c r="DY21" s="378"/>
      <c r="DZ21" s="378"/>
      <c r="EA21" s="378"/>
      <c r="EB21" s="378"/>
      <c r="EC21" s="378"/>
      <c r="ED21" s="378"/>
      <c r="EE21" s="378"/>
      <c r="EF21" s="378"/>
      <c r="EG21" s="378"/>
      <c r="EH21" s="378"/>
      <c r="EI21" s="378"/>
      <c r="EJ21" s="378"/>
      <c r="EK21" s="378"/>
      <c r="EL21" s="378"/>
      <c r="EM21" s="378"/>
      <c r="EN21" s="378"/>
      <c r="EO21" s="378"/>
      <c r="EP21" s="378"/>
      <c r="EQ21" s="378"/>
      <c r="ER21" s="378"/>
      <c r="ES21" s="378"/>
      <c r="ET21" s="378"/>
      <c r="EU21" s="378"/>
      <c r="EV21" s="378"/>
      <c r="EW21" s="378"/>
      <c r="EX21" s="378"/>
      <c r="EY21" s="378"/>
      <c r="EZ21" s="378"/>
      <c r="FA21" s="378"/>
      <c r="FB21" s="378"/>
      <c r="FC21" s="378"/>
      <c r="FD21" s="378"/>
      <c r="FE21" s="378"/>
      <c r="FF21" s="378"/>
      <c r="FG21" s="378"/>
      <c r="FH21" s="378"/>
      <c r="FI21" s="378"/>
      <c r="FJ21" s="378"/>
      <c r="FK21" s="378"/>
      <c r="FL21" s="378"/>
      <c r="FM21" s="378"/>
      <c r="FN21" s="378"/>
      <c r="FO21" s="378"/>
      <c r="FP21" s="378"/>
      <c r="FQ21" s="378"/>
      <c r="FR21" s="378"/>
      <c r="FS21" s="378"/>
      <c r="FT21" s="378"/>
      <c r="FU21" s="378"/>
      <c r="FV21" s="378"/>
      <c r="FW21" s="378"/>
      <c r="FX21" s="378"/>
      <c r="FY21" s="378"/>
      <c r="FZ21" s="378"/>
      <c r="GA21" s="378"/>
      <c r="GB21" s="378"/>
      <c r="GC21" s="378"/>
      <c r="GD21" s="378"/>
      <c r="GE21" s="378"/>
      <c r="GF21" s="378"/>
      <c r="GG21" s="378"/>
      <c r="GH21" s="378"/>
      <c r="GI21" s="378"/>
      <c r="GJ21" s="378"/>
      <c r="GK21" s="378"/>
      <c r="GL21" s="378"/>
      <c r="GM21" s="378"/>
      <c r="GN21" s="378"/>
      <c r="GO21" s="378"/>
      <c r="GP21" s="378"/>
      <c r="GQ21" s="378"/>
      <c r="GR21" s="378"/>
      <c r="GS21" s="378"/>
      <c r="GT21" s="378"/>
      <c r="GU21" s="378"/>
      <c r="GV21" s="378"/>
      <c r="GW21" s="378"/>
      <c r="GX21" s="378"/>
      <c r="GY21" s="378"/>
      <c r="GZ21" s="378"/>
      <c r="HA21" s="378"/>
      <c r="HB21" s="378"/>
      <c r="HC21" s="378"/>
      <c r="HD21" s="378"/>
      <c r="HE21" s="378"/>
      <c r="HF21" s="378"/>
      <c r="HG21" s="378"/>
      <c r="HH21" s="378"/>
      <c r="HI21" s="378"/>
      <c r="HJ21" s="378"/>
      <c r="HK21" s="378"/>
      <c r="HL21" s="378"/>
      <c r="HM21" s="378"/>
      <c r="HN21" s="378"/>
      <c r="HO21" s="378"/>
      <c r="HP21" s="378"/>
      <c r="HQ21" s="378"/>
      <c r="HR21" s="378"/>
      <c r="HS21" s="378"/>
      <c r="HT21" s="378"/>
      <c r="HU21" s="378"/>
      <c r="HV21" s="378"/>
      <c r="HW21" s="378"/>
      <c r="HX21" s="378"/>
      <c r="HY21" s="378"/>
      <c r="HZ21" s="378"/>
      <c r="IA21" s="378"/>
      <c r="IB21" s="378"/>
      <c r="IC21" s="378"/>
      <c r="ID21" s="378"/>
      <c r="IE21" s="378"/>
      <c r="IF21" s="378"/>
      <c r="IG21" s="378"/>
      <c r="IH21" s="378"/>
      <c r="II21" s="378"/>
      <c r="IJ21" s="378"/>
      <c r="IK21" s="378"/>
      <c r="IL21" s="378"/>
      <c r="IM21" s="378"/>
      <c r="IN21" s="378"/>
      <c r="IO21" s="378"/>
      <c r="IP21" s="378"/>
      <c r="IQ21" s="378"/>
      <c r="IR21" s="378"/>
      <c r="IS21" s="378"/>
      <c r="IT21" s="378"/>
      <c r="IU21" s="378"/>
      <c r="IV21" s="378"/>
      <c r="IW21" s="378"/>
      <c r="IX21" s="378"/>
      <c r="IY21" s="378"/>
      <c r="IZ21" s="378"/>
      <c r="JA21" s="378"/>
    </row>
    <row r="22" spans="2:261" s="379" customFormat="1">
      <c r="B22" s="374"/>
      <c r="C22" s="375"/>
      <c r="D22" s="423"/>
      <c r="E22" s="395"/>
      <c r="F22" s="391" t="str">
        <f>"     "&amp;'Planning Template'!$F$81</f>
        <v xml:space="preserve">     </v>
      </c>
      <c r="G22" s="433"/>
      <c r="H22" s="376"/>
      <c r="I22" s="377"/>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378"/>
      <c r="BG22" s="378"/>
      <c r="BH22" s="378"/>
      <c r="BI22" s="378"/>
      <c r="BJ22" s="378"/>
      <c r="BK22" s="378"/>
      <c r="BL22" s="378"/>
      <c r="BM22" s="378"/>
      <c r="BN22" s="378"/>
      <c r="BO22" s="378"/>
      <c r="BP22" s="378"/>
      <c r="BQ22" s="378"/>
      <c r="BR22" s="378"/>
      <c r="BS22" s="378"/>
      <c r="BT22" s="378"/>
      <c r="BU22" s="378"/>
      <c r="BV22" s="378"/>
      <c r="BW22" s="378"/>
      <c r="BX22" s="378"/>
      <c r="BY22" s="378"/>
      <c r="BZ22" s="378"/>
      <c r="CA22" s="378"/>
      <c r="CB22" s="378"/>
      <c r="CC22" s="378"/>
      <c r="CD22" s="378"/>
      <c r="CE22" s="378"/>
      <c r="CF22" s="378"/>
      <c r="CG22" s="378"/>
      <c r="CH22" s="378"/>
      <c r="CI22" s="378"/>
      <c r="CJ22" s="378"/>
      <c r="CK22" s="378"/>
      <c r="CL22" s="378"/>
      <c r="CM22" s="378"/>
      <c r="CN22" s="378"/>
      <c r="CO22" s="378"/>
      <c r="CP22" s="378"/>
      <c r="CQ22" s="378"/>
      <c r="CR22" s="378"/>
      <c r="CS22" s="378"/>
      <c r="CT22" s="378"/>
      <c r="CU22" s="378"/>
      <c r="CV22" s="378"/>
      <c r="CW22" s="378"/>
      <c r="CX22" s="378"/>
      <c r="CY22" s="378"/>
      <c r="CZ22" s="378"/>
      <c r="DA22" s="378"/>
      <c r="DB22" s="378"/>
      <c r="DC22" s="378"/>
      <c r="DD22" s="378"/>
      <c r="DE22" s="378"/>
      <c r="DF22" s="378"/>
      <c r="DG22" s="378"/>
      <c r="DH22" s="378"/>
      <c r="DI22" s="378"/>
      <c r="DJ22" s="378"/>
      <c r="DK22" s="378"/>
      <c r="DL22" s="378"/>
      <c r="DM22" s="378"/>
      <c r="DN22" s="378"/>
      <c r="DO22" s="378"/>
      <c r="DP22" s="378"/>
      <c r="DQ22" s="378"/>
      <c r="DR22" s="378"/>
      <c r="DS22" s="378"/>
      <c r="DT22" s="378"/>
      <c r="DU22" s="378"/>
      <c r="DV22" s="378"/>
      <c r="DW22" s="378"/>
      <c r="DX22" s="378"/>
      <c r="DY22" s="378"/>
      <c r="DZ22" s="378"/>
      <c r="EA22" s="378"/>
      <c r="EB22" s="378"/>
      <c r="EC22" s="378"/>
      <c r="ED22" s="378"/>
      <c r="EE22" s="378"/>
      <c r="EF22" s="378"/>
      <c r="EG22" s="378"/>
      <c r="EH22" s="378"/>
      <c r="EI22" s="378"/>
      <c r="EJ22" s="378"/>
      <c r="EK22" s="378"/>
      <c r="EL22" s="378"/>
      <c r="EM22" s="378"/>
      <c r="EN22" s="378"/>
      <c r="EO22" s="378"/>
      <c r="EP22" s="378"/>
      <c r="EQ22" s="378"/>
      <c r="ER22" s="378"/>
      <c r="ES22" s="378"/>
      <c r="ET22" s="378"/>
      <c r="EU22" s="378"/>
      <c r="EV22" s="378"/>
      <c r="EW22" s="378"/>
      <c r="EX22" s="378"/>
      <c r="EY22" s="378"/>
      <c r="EZ22" s="378"/>
      <c r="FA22" s="378"/>
      <c r="FB22" s="378"/>
      <c r="FC22" s="378"/>
      <c r="FD22" s="378"/>
      <c r="FE22" s="378"/>
      <c r="FF22" s="378"/>
      <c r="FG22" s="378"/>
      <c r="FH22" s="378"/>
      <c r="FI22" s="378"/>
      <c r="FJ22" s="378"/>
      <c r="FK22" s="378"/>
      <c r="FL22" s="378"/>
      <c r="FM22" s="378"/>
      <c r="FN22" s="378"/>
      <c r="FO22" s="378"/>
      <c r="FP22" s="378"/>
      <c r="FQ22" s="378"/>
      <c r="FR22" s="378"/>
      <c r="FS22" s="378"/>
      <c r="FT22" s="378"/>
      <c r="FU22" s="378"/>
      <c r="FV22" s="378"/>
      <c r="FW22" s="378"/>
      <c r="FX22" s="378"/>
      <c r="FY22" s="378"/>
      <c r="FZ22" s="378"/>
      <c r="GA22" s="378"/>
      <c r="GB22" s="378"/>
      <c r="GC22" s="378"/>
      <c r="GD22" s="378"/>
      <c r="GE22" s="378"/>
      <c r="GF22" s="378"/>
      <c r="GG22" s="378"/>
      <c r="GH22" s="378"/>
      <c r="GI22" s="378"/>
      <c r="GJ22" s="378"/>
      <c r="GK22" s="378"/>
      <c r="GL22" s="378"/>
      <c r="GM22" s="378"/>
      <c r="GN22" s="378"/>
      <c r="GO22" s="378"/>
      <c r="GP22" s="378"/>
      <c r="GQ22" s="378"/>
      <c r="GR22" s="378"/>
      <c r="GS22" s="378"/>
      <c r="GT22" s="378"/>
      <c r="GU22" s="378"/>
      <c r="GV22" s="378"/>
      <c r="GW22" s="378"/>
      <c r="GX22" s="378"/>
      <c r="GY22" s="378"/>
      <c r="GZ22" s="378"/>
      <c r="HA22" s="378"/>
      <c r="HB22" s="378"/>
      <c r="HC22" s="378"/>
      <c r="HD22" s="378"/>
      <c r="HE22" s="378"/>
      <c r="HF22" s="378"/>
      <c r="HG22" s="378"/>
      <c r="HH22" s="378"/>
      <c r="HI22" s="378"/>
      <c r="HJ22" s="378"/>
      <c r="HK22" s="378"/>
      <c r="HL22" s="378"/>
      <c r="HM22" s="378"/>
      <c r="HN22" s="378"/>
      <c r="HO22" s="378"/>
      <c r="HP22" s="378"/>
      <c r="HQ22" s="378"/>
      <c r="HR22" s="378"/>
      <c r="HS22" s="378"/>
      <c r="HT22" s="378"/>
      <c r="HU22" s="378"/>
      <c r="HV22" s="378"/>
      <c r="HW22" s="378"/>
      <c r="HX22" s="378"/>
      <c r="HY22" s="378"/>
      <c r="HZ22" s="378"/>
      <c r="IA22" s="378"/>
      <c r="IB22" s="378"/>
      <c r="IC22" s="378"/>
      <c r="ID22" s="378"/>
      <c r="IE22" s="378"/>
      <c r="IF22" s="378"/>
      <c r="IG22" s="378"/>
      <c r="IH22" s="378"/>
      <c r="II22" s="378"/>
      <c r="IJ22" s="378"/>
      <c r="IK22" s="378"/>
      <c r="IL22" s="378"/>
      <c r="IM22" s="378"/>
      <c r="IN22" s="378"/>
      <c r="IO22" s="378"/>
      <c r="IP22" s="378"/>
      <c r="IQ22" s="378"/>
      <c r="IR22" s="378"/>
      <c r="IS22" s="378"/>
      <c r="IT22" s="378"/>
      <c r="IU22" s="378"/>
      <c r="IV22" s="378"/>
      <c r="IW22" s="378"/>
      <c r="IX22" s="378"/>
      <c r="IY22" s="378"/>
      <c r="IZ22" s="378"/>
      <c r="JA22" s="378"/>
    </row>
    <row r="23" spans="2:261" s="379" customFormat="1" ht="17" thickBot="1">
      <c r="B23" s="374"/>
      <c r="C23" s="375"/>
      <c r="D23" s="426"/>
      <c r="E23" s="442"/>
      <c r="F23" s="443"/>
      <c r="G23" s="444"/>
      <c r="H23" s="376"/>
      <c r="I23" s="377"/>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8"/>
      <c r="BE23" s="378"/>
      <c r="BF23" s="378"/>
      <c r="BG23" s="378"/>
      <c r="BH23" s="378"/>
      <c r="BI23" s="378"/>
      <c r="BJ23" s="378"/>
      <c r="BK23" s="378"/>
      <c r="BL23" s="378"/>
      <c r="BM23" s="378"/>
      <c r="BN23" s="378"/>
      <c r="BO23" s="378"/>
      <c r="BP23" s="378"/>
      <c r="BQ23" s="378"/>
      <c r="BR23" s="378"/>
      <c r="BS23" s="378"/>
      <c r="BT23" s="378"/>
      <c r="BU23" s="378"/>
      <c r="BV23" s="378"/>
      <c r="BW23" s="378"/>
      <c r="BX23" s="378"/>
      <c r="BY23" s="378"/>
      <c r="BZ23" s="378"/>
      <c r="CA23" s="378"/>
      <c r="CB23" s="378"/>
      <c r="CC23" s="378"/>
      <c r="CD23" s="378"/>
      <c r="CE23" s="378"/>
      <c r="CF23" s="378"/>
      <c r="CG23" s="378"/>
      <c r="CH23" s="378"/>
      <c r="CI23" s="378"/>
      <c r="CJ23" s="378"/>
      <c r="CK23" s="378"/>
      <c r="CL23" s="378"/>
      <c r="CM23" s="378"/>
      <c r="CN23" s="378"/>
      <c r="CO23" s="378"/>
      <c r="CP23" s="378"/>
      <c r="CQ23" s="378"/>
      <c r="CR23" s="378"/>
      <c r="CS23" s="378"/>
      <c r="CT23" s="378"/>
      <c r="CU23" s="378"/>
      <c r="CV23" s="378"/>
      <c r="CW23" s="378"/>
      <c r="CX23" s="378"/>
      <c r="CY23" s="378"/>
      <c r="CZ23" s="378"/>
      <c r="DA23" s="378"/>
      <c r="DB23" s="378"/>
      <c r="DC23" s="378"/>
      <c r="DD23" s="378"/>
      <c r="DE23" s="378"/>
      <c r="DF23" s="378"/>
      <c r="DG23" s="378"/>
      <c r="DH23" s="378"/>
      <c r="DI23" s="378"/>
      <c r="DJ23" s="378"/>
      <c r="DK23" s="378"/>
      <c r="DL23" s="378"/>
      <c r="DM23" s="378"/>
      <c r="DN23" s="378"/>
      <c r="DO23" s="378"/>
      <c r="DP23" s="378"/>
      <c r="DQ23" s="378"/>
      <c r="DR23" s="378"/>
      <c r="DS23" s="378"/>
      <c r="DT23" s="378"/>
      <c r="DU23" s="378"/>
      <c r="DV23" s="378"/>
      <c r="DW23" s="378"/>
      <c r="DX23" s="378"/>
      <c r="DY23" s="378"/>
      <c r="DZ23" s="378"/>
      <c r="EA23" s="378"/>
      <c r="EB23" s="378"/>
      <c r="EC23" s="378"/>
      <c r="ED23" s="378"/>
      <c r="EE23" s="378"/>
      <c r="EF23" s="378"/>
      <c r="EG23" s="378"/>
      <c r="EH23" s="378"/>
      <c r="EI23" s="378"/>
      <c r="EJ23" s="378"/>
      <c r="EK23" s="378"/>
      <c r="EL23" s="378"/>
      <c r="EM23" s="378"/>
      <c r="EN23" s="378"/>
      <c r="EO23" s="378"/>
      <c r="EP23" s="378"/>
      <c r="EQ23" s="378"/>
      <c r="ER23" s="378"/>
      <c r="ES23" s="378"/>
      <c r="ET23" s="378"/>
      <c r="EU23" s="378"/>
      <c r="EV23" s="378"/>
      <c r="EW23" s="378"/>
      <c r="EX23" s="378"/>
      <c r="EY23" s="378"/>
      <c r="EZ23" s="378"/>
      <c r="FA23" s="378"/>
      <c r="FB23" s="378"/>
      <c r="FC23" s="378"/>
      <c r="FD23" s="378"/>
      <c r="FE23" s="378"/>
      <c r="FF23" s="378"/>
      <c r="FG23" s="378"/>
      <c r="FH23" s="378"/>
      <c r="FI23" s="378"/>
      <c r="FJ23" s="378"/>
      <c r="FK23" s="378"/>
      <c r="FL23" s="378"/>
      <c r="FM23" s="378"/>
      <c r="FN23" s="378"/>
      <c r="FO23" s="378"/>
      <c r="FP23" s="378"/>
      <c r="FQ23" s="378"/>
      <c r="FR23" s="378"/>
      <c r="FS23" s="378"/>
      <c r="FT23" s="378"/>
      <c r="FU23" s="378"/>
      <c r="FV23" s="378"/>
      <c r="FW23" s="378"/>
      <c r="FX23" s="378"/>
      <c r="FY23" s="378"/>
      <c r="FZ23" s="378"/>
      <c r="GA23" s="378"/>
      <c r="GB23" s="378"/>
      <c r="GC23" s="378"/>
      <c r="GD23" s="378"/>
      <c r="GE23" s="378"/>
      <c r="GF23" s="378"/>
      <c r="GG23" s="378"/>
      <c r="GH23" s="378"/>
      <c r="GI23" s="378"/>
      <c r="GJ23" s="378"/>
      <c r="GK23" s="378"/>
      <c r="GL23" s="378"/>
      <c r="GM23" s="378"/>
      <c r="GN23" s="378"/>
      <c r="GO23" s="378"/>
      <c r="GP23" s="378"/>
      <c r="GQ23" s="378"/>
      <c r="GR23" s="378"/>
      <c r="GS23" s="378"/>
      <c r="GT23" s="378"/>
      <c r="GU23" s="378"/>
      <c r="GV23" s="378"/>
      <c r="GW23" s="378"/>
      <c r="GX23" s="378"/>
      <c r="GY23" s="378"/>
      <c r="GZ23" s="378"/>
      <c r="HA23" s="378"/>
      <c r="HB23" s="378"/>
      <c r="HC23" s="378"/>
      <c r="HD23" s="378"/>
      <c r="HE23" s="378"/>
      <c r="HF23" s="378"/>
      <c r="HG23" s="378"/>
      <c r="HH23" s="378"/>
      <c r="HI23" s="378"/>
      <c r="HJ23" s="378"/>
      <c r="HK23" s="378"/>
      <c r="HL23" s="378"/>
      <c r="HM23" s="378"/>
      <c r="HN23" s="378"/>
      <c r="HO23" s="378"/>
      <c r="HP23" s="378"/>
      <c r="HQ23" s="378"/>
      <c r="HR23" s="378"/>
      <c r="HS23" s="378"/>
      <c r="HT23" s="378"/>
      <c r="HU23" s="378"/>
      <c r="HV23" s="378"/>
      <c r="HW23" s="378"/>
      <c r="HX23" s="378"/>
      <c r="HY23" s="378"/>
      <c r="HZ23" s="378"/>
      <c r="IA23" s="378"/>
      <c r="IB23" s="378"/>
      <c r="IC23" s="378"/>
      <c r="ID23" s="378"/>
      <c r="IE23" s="378"/>
      <c r="IF23" s="378"/>
      <c r="IG23" s="378"/>
      <c r="IH23" s="378"/>
      <c r="II23" s="378"/>
      <c r="IJ23" s="378"/>
      <c r="IK23" s="378"/>
      <c r="IL23" s="378"/>
      <c r="IM23" s="378"/>
      <c r="IN23" s="378"/>
      <c r="IO23" s="378"/>
      <c r="IP23" s="378"/>
      <c r="IQ23" s="378"/>
      <c r="IR23" s="378"/>
      <c r="IS23" s="378"/>
      <c r="IT23" s="378"/>
      <c r="IU23" s="378"/>
      <c r="IV23" s="378"/>
      <c r="IW23" s="378"/>
      <c r="IX23" s="378"/>
      <c r="IY23" s="378"/>
      <c r="IZ23" s="378"/>
      <c r="JA23" s="378"/>
    </row>
    <row r="24" spans="2:261" s="379" customFormat="1">
      <c r="B24" s="374"/>
      <c r="C24" s="375"/>
      <c r="D24" s="403"/>
      <c r="E24" s="445"/>
      <c r="F24" s="394"/>
      <c r="G24" s="394"/>
      <c r="H24" s="376"/>
      <c r="I24" s="377"/>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78"/>
      <c r="BJ24" s="378"/>
      <c r="BK24" s="378"/>
      <c r="BL24" s="378"/>
      <c r="BM24" s="378"/>
      <c r="BN24" s="378"/>
      <c r="BO24" s="378"/>
      <c r="BP24" s="378"/>
      <c r="BQ24" s="378"/>
      <c r="BR24" s="378"/>
      <c r="BS24" s="378"/>
      <c r="BT24" s="378"/>
      <c r="BU24" s="378"/>
      <c r="BV24" s="378"/>
      <c r="BW24" s="378"/>
      <c r="BX24" s="378"/>
      <c r="BY24" s="378"/>
      <c r="BZ24" s="378"/>
      <c r="CA24" s="378"/>
      <c r="CB24" s="378"/>
      <c r="CC24" s="378"/>
      <c r="CD24" s="378"/>
      <c r="CE24" s="378"/>
      <c r="CF24" s="378"/>
      <c r="CG24" s="378"/>
      <c r="CH24" s="378"/>
      <c r="CI24" s="378"/>
      <c r="CJ24" s="378"/>
      <c r="CK24" s="378"/>
      <c r="CL24" s="378"/>
      <c r="CM24" s="378"/>
      <c r="CN24" s="378"/>
      <c r="CO24" s="378"/>
      <c r="CP24" s="378"/>
      <c r="CQ24" s="378"/>
      <c r="CR24" s="378"/>
      <c r="CS24" s="378"/>
      <c r="CT24" s="378"/>
      <c r="CU24" s="378"/>
      <c r="CV24" s="378"/>
      <c r="CW24" s="378"/>
      <c r="CX24" s="378"/>
      <c r="CY24" s="378"/>
      <c r="CZ24" s="378"/>
      <c r="DA24" s="378"/>
      <c r="DB24" s="378"/>
      <c r="DC24" s="378"/>
      <c r="DD24" s="378"/>
      <c r="DE24" s="378"/>
      <c r="DF24" s="378"/>
      <c r="DG24" s="378"/>
      <c r="DH24" s="378"/>
      <c r="DI24" s="378"/>
      <c r="DJ24" s="378"/>
      <c r="DK24" s="378"/>
      <c r="DL24" s="378"/>
      <c r="DM24" s="378"/>
      <c r="DN24" s="378"/>
      <c r="DO24" s="378"/>
      <c r="DP24" s="378"/>
      <c r="DQ24" s="378"/>
      <c r="DR24" s="378"/>
      <c r="DS24" s="378"/>
      <c r="DT24" s="378"/>
      <c r="DU24" s="378"/>
      <c r="DV24" s="378"/>
      <c r="DW24" s="378"/>
      <c r="DX24" s="378"/>
      <c r="DY24" s="378"/>
      <c r="DZ24" s="378"/>
      <c r="EA24" s="378"/>
      <c r="EB24" s="378"/>
      <c r="EC24" s="378"/>
      <c r="ED24" s="378"/>
      <c r="EE24" s="378"/>
      <c r="EF24" s="378"/>
      <c r="EG24" s="378"/>
      <c r="EH24" s="378"/>
      <c r="EI24" s="378"/>
      <c r="EJ24" s="378"/>
      <c r="EK24" s="378"/>
      <c r="EL24" s="378"/>
      <c r="EM24" s="378"/>
      <c r="EN24" s="378"/>
      <c r="EO24" s="378"/>
      <c r="EP24" s="378"/>
      <c r="EQ24" s="378"/>
      <c r="ER24" s="378"/>
      <c r="ES24" s="378"/>
      <c r="ET24" s="378"/>
      <c r="EU24" s="378"/>
      <c r="EV24" s="378"/>
      <c r="EW24" s="378"/>
      <c r="EX24" s="378"/>
      <c r="EY24" s="378"/>
      <c r="EZ24" s="378"/>
      <c r="FA24" s="378"/>
      <c r="FB24" s="378"/>
      <c r="FC24" s="378"/>
      <c r="FD24" s="378"/>
      <c r="FE24" s="378"/>
      <c r="FF24" s="378"/>
      <c r="FG24" s="378"/>
      <c r="FH24" s="378"/>
      <c r="FI24" s="378"/>
      <c r="FJ24" s="378"/>
      <c r="FK24" s="378"/>
      <c r="FL24" s="378"/>
      <c r="FM24" s="378"/>
      <c r="FN24" s="378"/>
      <c r="FO24" s="378"/>
      <c r="FP24" s="378"/>
      <c r="FQ24" s="378"/>
      <c r="FR24" s="378"/>
      <c r="FS24" s="378"/>
      <c r="FT24" s="378"/>
      <c r="FU24" s="378"/>
      <c r="FV24" s="378"/>
      <c r="FW24" s="378"/>
      <c r="FX24" s="378"/>
      <c r="FY24" s="378"/>
      <c r="FZ24" s="378"/>
      <c r="GA24" s="378"/>
      <c r="GB24" s="378"/>
      <c r="GC24" s="378"/>
      <c r="GD24" s="378"/>
      <c r="GE24" s="378"/>
      <c r="GF24" s="378"/>
      <c r="GG24" s="378"/>
      <c r="GH24" s="378"/>
      <c r="GI24" s="378"/>
      <c r="GJ24" s="378"/>
      <c r="GK24" s="378"/>
      <c r="GL24" s="378"/>
      <c r="GM24" s="378"/>
      <c r="GN24" s="378"/>
      <c r="GO24" s="378"/>
      <c r="GP24" s="378"/>
      <c r="GQ24" s="378"/>
      <c r="GR24" s="378"/>
      <c r="GS24" s="378"/>
      <c r="GT24" s="378"/>
      <c r="GU24" s="378"/>
      <c r="GV24" s="378"/>
      <c r="GW24" s="378"/>
      <c r="GX24" s="378"/>
      <c r="GY24" s="378"/>
      <c r="GZ24" s="378"/>
      <c r="HA24" s="378"/>
      <c r="HB24" s="378"/>
      <c r="HC24" s="378"/>
      <c r="HD24" s="378"/>
      <c r="HE24" s="378"/>
      <c r="HF24" s="378"/>
      <c r="HG24" s="378"/>
      <c r="HH24" s="378"/>
      <c r="HI24" s="378"/>
      <c r="HJ24" s="378"/>
      <c r="HK24" s="378"/>
      <c r="HL24" s="378"/>
      <c r="HM24" s="378"/>
      <c r="HN24" s="378"/>
      <c r="HO24" s="378"/>
      <c r="HP24" s="378"/>
      <c r="HQ24" s="378"/>
      <c r="HR24" s="378"/>
      <c r="HS24" s="378"/>
      <c r="HT24" s="378"/>
      <c r="HU24" s="378"/>
      <c r="HV24" s="378"/>
      <c r="HW24" s="378"/>
      <c r="HX24" s="378"/>
      <c r="HY24" s="378"/>
      <c r="HZ24" s="378"/>
      <c r="IA24" s="378"/>
      <c r="IB24" s="378"/>
      <c r="IC24" s="378"/>
      <c r="ID24" s="378"/>
      <c r="IE24" s="378"/>
      <c r="IF24" s="378"/>
      <c r="IG24" s="378"/>
      <c r="IH24" s="378"/>
      <c r="II24" s="378"/>
      <c r="IJ24" s="378"/>
      <c r="IK24" s="378"/>
      <c r="IL24" s="378"/>
      <c r="IM24" s="378"/>
      <c r="IN24" s="378"/>
      <c r="IO24" s="378"/>
      <c r="IP24" s="378"/>
      <c r="IQ24" s="378"/>
      <c r="IR24" s="378"/>
      <c r="IS24" s="378"/>
      <c r="IT24" s="378"/>
      <c r="IU24" s="378"/>
      <c r="IV24" s="378"/>
      <c r="IW24" s="378"/>
      <c r="IX24" s="378"/>
      <c r="IY24" s="378"/>
      <c r="IZ24" s="378"/>
      <c r="JA24" s="378"/>
    </row>
    <row r="25" spans="2:261" s="379" customFormat="1" ht="17" thickBot="1">
      <c r="B25" s="374"/>
      <c r="C25" s="375"/>
      <c r="D25" s="403"/>
      <c r="E25" s="347" t="str">
        <f>'Planning Template'!$F$11&amp;" Objective"</f>
        <v xml:space="preserve"> Objective</v>
      </c>
      <c r="F25" s="347" t="str">
        <f>'Planning Template'!F83</f>
        <v/>
      </c>
      <c r="G25" s="438"/>
      <c r="H25" s="376"/>
      <c r="I25" s="377"/>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378"/>
      <c r="BG25" s="378"/>
      <c r="BH25" s="378"/>
      <c r="BI25" s="378"/>
      <c r="BJ25" s="378"/>
      <c r="BK25" s="378"/>
      <c r="BL25" s="378"/>
      <c r="BM25" s="378"/>
      <c r="BN25" s="378"/>
      <c r="BO25" s="378"/>
      <c r="BP25" s="378"/>
      <c r="BQ25" s="378"/>
      <c r="BR25" s="378"/>
      <c r="BS25" s="378"/>
      <c r="BT25" s="378"/>
      <c r="BU25" s="378"/>
      <c r="BV25" s="378"/>
      <c r="BW25" s="378"/>
      <c r="BX25" s="378"/>
      <c r="BY25" s="378"/>
      <c r="BZ25" s="378"/>
      <c r="CA25" s="378"/>
      <c r="CB25" s="378"/>
      <c r="CC25" s="378"/>
      <c r="CD25" s="378"/>
      <c r="CE25" s="378"/>
      <c r="CF25" s="378"/>
      <c r="CG25" s="378"/>
      <c r="CH25" s="378"/>
      <c r="CI25" s="378"/>
      <c r="CJ25" s="378"/>
      <c r="CK25" s="378"/>
      <c r="CL25" s="378"/>
      <c r="CM25" s="378"/>
      <c r="CN25" s="378"/>
      <c r="CO25" s="378"/>
      <c r="CP25" s="378"/>
      <c r="CQ25" s="378"/>
      <c r="CR25" s="378"/>
      <c r="CS25" s="378"/>
      <c r="CT25" s="378"/>
      <c r="CU25" s="378"/>
      <c r="CV25" s="378"/>
      <c r="CW25" s="378"/>
      <c r="CX25" s="378"/>
      <c r="CY25" s="378"/>
      <c r="CZ25" s="378"/>
      <c r="DA25" s="378"/>
      <c r="DB25" s="378"/>
      <c r="DC25" s="378"/>
      <c r="DD25" s="378"/>
      <c r="DE25" s="378"/>
      <c r="DF25" s="378"/>
      <c r="DG25" s="378"/>
      <c r="DH25" s="378"/>
      <c r="DI25" s="378"/>
      <c r="DJ25" s="378"/>
      <c r="DK25" s="378"/>
      <c r="DL25" s="378"/>
      <c r="DM25" s="378"/>
      <c r="DN25" s="378"/>
      <c r="DO25" s="378"/>
      <c r="DP25" s="378"/>
      <c r="DQ25" s="378"/>
      <c r="DR25" s="378"/>
      <c r="DS25" s="378"/>
      <c r="DT25" s="378"/>
      <c r="DU25" s="378"/>
      <c r="DV25" s="378"/>
      <c r="DW25" s="378"/>
      <c r="DX25" s="378"/>
      <c r="DY25" s="378"/>
      <c r="DZ25" s="378"/>
      <c r="EA25" s="378"/>
      <c r="EB25" s="378"/>
      <c r="EC25" s="378"/>
      <c r="ED25" s="378"/>
      <c r="EE25" s="378"/>
      <c r="EF25" s="378"/>
      <c r="EG25" s="378"/>
      <c r="EH25" s="378"/>
      <c r="EI25" s="378"/>
      <c r="EJ25" s="378"/>
      <c r="EK25" s="378"/>
      <c r="EL25" s="378"/>
      <c r="EM25" s="378"/>
      <c r="EN25" s="378"/>
      <c r="EO25" s="378"/>
      <c r="EP25" s="378"/>
      <c r="EQ25" s="378"/>
      <c r="ER25" s="378"/>
      <c r="ES25" s="378"/>
      <c r="ET25" s="378"/>
      <c r="EU25" s="378"/>
      <c r="EV25" s="378"/>
      <c r="EW25" s="378"/>
      <c r="EX25" s="378"/>
      <c r="EY25" s="378"/>
      <c r="EZ25" s="378"/>
      <c r="FA25" s="378"/>
      <c r="FB25" s="378"/>
      <c r="FC25" s="378"/>
      <c r="FD25" s="378"/>
      <c r="FE25" s="378"/>
      <c r="FF25" s="378"/>
      <c r="FG25" s="378"/>
      <c r="FH25" s="378"/>
      <c r="FI25" s="378"/>
      <c r="FJ25" s="378"/>
      <c r="FK25" s="378"/>
      <c r="FL25" s="378"/>
      <c r="FM25" s="378"/>
      <c r="FN25" s="378"/>
      <c r="FO25" s="378"/>
      <c r="FP25" s="378"/>
      <c r="FQ25" s="378"/>
      <c r="FR25" s="378"/>
      <c r="FS25" s="378"/>
      <c r="FT25" s="378"/>
      <c r="FU25" s="378"/>
      <c r="FV25" s="378"/>
      <c r="FW25" s="378"/>
      <c r="FX25" s="378"/>
      <c r="FY25" s="378"/>
      <c r="FZ25" s="378"/>
      <c r="GA25" s="378"/>
      <c r="GB25" s="378"/>
      <c r="GC25" s="378"/>
      <c r="GD25" s="378"/>
      <c r="GE25" s="378"/>
      <c r="GF25" s="378"/>
      <c r="GG25" s="378"/>
      <c r="GH25" s="378"/>
      <c r="GI25" s="378"/>
      <c r="GJ25" s="378"/>
      <c r="GK25" s="378"/>
      <c r="GL25" s="378"/>
      <c r="GM25" s="378"/>
      <c r="GN25" s="378"/>
      <c r="GO25" s="378"/>
      <c r="GP25" s="378"/>
      <c r="GQ25" s="378"/>
      <c r="GR25" s="378"/>
      <c r="GS25" s="378"/>
      <c r="GT25" s="378"/>
      <c r="GU25" s="378"/>
      <c r="GV25" s="378"/>
      <c r="GW25" s="378"/>
      <c r="GX25" s="378"/>
      <c r="GY25" s="378"/>
      <c r="GZ25" s="378"/>
      <c r="HA25" s="378"/>
      <c r="HB25" s="378"/>
      <c r="HC25" s="378"/>
      <c r="HD25" s="378"/>
      <c r="HE25" s="378"/>
      <c r="HF25" s="378"/>
      <c r="HG25" s="378"/>
      <c r="HH25" s="378"/>
      <c r="HI25" s="378"/>
      <c r="HJ25" s="378"/>
      <c r="HK25" s="378"/>
      <c r="HL25" s="378"/>
      <c r="HM25" s="378"/>
      <c r="HN25" s="378"/>
      <c r="HO25" s="378"/>
      <c r="HP25" s="378"/>
      <c r="HQ25" s="378"/>
      <c r="HR25" s="378"/>
      <c r="HS25" s="378"/>
      <c r="HT25" s="378"/>
      <c r="HU25" s="378"/>
      <c r="HV25" s="378"/>
      <c r="HW25" s="378"/>
      <c r="HX25" s="378"/>
      <c r="HY25" s="378"/>
      <c r="HZ25" s="378"/>
      <c r="IA25" s="378"/>
      <c r="IB25" s="378"/>
      <c r="IC25" s="378"/>
      <c r="ID25" s="378"/>
      <c r="IE25" s="378"/>
      <c r="IF25" s="378"/>
      <c r="IG25" s="378"/>
      <c r="IH25" s="378"/>
      <c r="II25" s="378"/>
      <c r="IJ25" s="378"/>
      <c r="IK25" s="378"/>
      <c r="IL25" s="378"/>
      <c r="IM25" s="378"/>
      <c r="IN25" s="378"/>
      <c r="IO25" s="378"/>
      <c r="IP25" s="378"/>
      <c r="IQ25" s="378"/>
      <c r="IR25" s="378"/>
      <c r="IS25" s="378"/>
      <c r="IT25" s="378"/>
      <c r="IU25" s="378"/>
      <c r="IV25" s="378"/>
      <c r="IW25" s="378"/>
      <c r="IX25" s="378"/>
      <c r="IY25" s="378"/>
      <c r="IZ25" s="378"/>
      <c r="JA25" s="378"/>
    </row>
    <row r="26" spans="2:261" s="379" customFormat="1">
      <c r="B26" s="374"/>
      <c r="C26" s="375"/>
      <c r="D26" s="419">
        <f>D21+1</f>
        <v>4</v>
      </c>
      <c r="E26" s="439" t="str">
        <f>"What is the actual action taken from the beginning of the year until the end of "&amp;$F$10&amp;" for objective 2?"</f>
        <v>What is the actual action taken from the beginning of the year until the end of  for objective 2?</v>
      </c>
      <c r="F26" s="440"/>
      <c r="G26" s="441"/>
      <c r="H26" s="376"/>
      <c r="I26" s="377"/>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378"/>
      <c r="BA26" s="378"/>
      <c r="BB26" s="378"/>
      <c r="BC26" s="378"/>
      <c r="BD26" s="378"/>
      <c r="BE26" s="378"/>
      <c r="BF26" s="378"/>
      <c r="BG26" s="378"/>
      <c r="BH26" s="378"/>
      <c r="BI26" s="378"/>
      <c r="BJ26" s="378"/>
      <c r="BK26" s="378"/>
      <c r="BL26" s="378"/>
      <c r="BM26" s="378"/>
      <c r="BN26" s="378"/>
      <c r="BO26" s="378"/>
      <c r="BP26" s="378"/>
      <c r="BQ26" s="378"/>
      <c r="BR26" s="378"/>
      <c r="BS26" s="378"/>
      <c r="BT26" s="378"/>
      <c r="BU26" s="378"/>
      <c r="BV26" s="378"/>
      <c r="BW26" s="378"/>
      <c r="BX26" s="378"/>
      <c r="BY26" s="378"/>
      <c r="BZ26" s="378"/>
      <c r="CA26" s="378"/>
      <c r="CB26" s="378"/>
      <c r="CC26" s="378"/>
      <c r="CD26" s="378"/>
      <c r="CE26" s="378"/>
      <c r="CF26" s="378"/>
      <c r="CG26" s="378"/>
      <c r="CH26" s="378"/>
      <c r="CI26" s="378"/>
      <c r="CJ26" s="378"/>
      <c r="CK26" s="378"/>
      <c r="CL26" s="378"/>
      <c r="CM26" s="378"/>
      <c r="CN26" s="378"/>
      <c r="CO26" s="378"/>
      <c r="CP26" s="378"/>
      <c r="CQ26" s="378"/>
      <c r="CR26" s="378"/>
      <c r="CS26" s="378"/>
      <c r="CT26" s="378"/>
      <c r="CU26" s="378"/>
      <c r="CV26" s="378"/>
      <c r="CW26" s="378"/>
      <c r="CX26" s="378"/>
      <c r="CY26" s="378"/>
      <c r="CZ26" s="378"/>
      <c r="DA26" s="378"/>
      <c r="DB26" s="378"/>
      <c r="DC26" s="378"/>
      <c r="DD26" s="378"/>
      <c r="DE26" s="378"/>
      <c r="DF26" s="378"/>
      <c r="DG26" s="378"/>
      <c r="DH26" s="378"/>
      <c r="DI26" s="378"/>
      <c r="DJ26" s="378"/>
      <c r="DK26" s="378"/>
      <c r="DL26" s="378"/>
      <c r="DM26" s="378"/>
      <c r="DN26" s="378"/>
      <c r="DO26" s="378"/>
      <c r="DP26" s="378"/>
      <c r="DQ26" s="378"/>
      <c r="DR26" s="378"/>
      <c r="DS26" s="378"/>
      <c r="DT26" s="378"/>
      <c r="DU26" s="378"/>
      <c r="DV26" s="378"/>
      <c r="DW26" s="378"/>
      <c r="DX26" s="378"/>
      <c r="DY26" s="378"/>
      <c r="DZ26" s="378"/>
      <c r="EA26" s="378"/>
      <c r="EB26" s="378"/>
      <c r="EC26" s="378"/>
      <c r="ED26" s="378"/>
      <c r="EE26" s="378"/>
      <c r="EF26" s="378"/>
      <c r="EG26" s="378"/>
      <c r="EH26" s="378"/>
      <c r="EI26" s="378"/>
      <c r="EJ26" s="378"/>
      <c r="EK26" s="378"/>
      <c r="EL26" s="378"/>
      <c r="EM26" s="378"/>
      <c r="EN26" s="378"/>
      <c r="EO26" s="378"/>
      <c r="EP26" s="378"/>
      <c r="EQ26" s="378"/>
      <c r="ER26" s="378"/>
      <c r="ES26" s="378"/>
      <c r="ET26" s="378"/>
      <c r="EU26" s="378"/>
      <c r="EV26" s="378"/>
      <c r="EW26" s="378"/>
      <c r="EX26" s="378"/>
      <c r="EY26" s="378"/>
      <c r="EZ26" s="378"/>
      <c r="FA26" s="378"/>
      <c r="FB26" s="378"/>
      <c r="FC26" s="378"/>
      <c r="FD26" s="378"/>
      <c r="FE26" s="378"/>
      <c r="FF26" s="378"/>
      <c r="FG26" s="378"/>
      <c r="FH26" s="378"/>
      <c r="FI26" s="378"/>
      <c r="FJ26" s="378"/>
      <c r="FK26" s="378"/>
      <c r="FL26" s="378"/>
      <c r="FM26" s="378"/>
      <c r="FN26" s="378"/>
      <c r="FO26" s="378"/>
      <c r="FP26" s="378"/>
      <c r="FQ26" s="378"/>
      <c r="FR26" s="378"/>
      <c r="FS26" s="378"/>
      <c r="FT26" s="378"/>
      <c r="FU26" s="378"/>
      <c r="FV26" s="378"/>
      <c r="FW26" s="378"/>
      <c r="FX26" s="378"/>
      <c r="FY26" s="378"/>
      <c r="FZ26" s="378"/>
      <c r="GA26" s="378"/>
      <c r="GB26" s="378"/>
      <c r="GC26" s="378"/>
      <c r="GD26" s="378"/>
      <c r="GE26" s="378"/>
      <c r="GF26" s="378"/>
      <c r="GG26" s="378"/>
      <c r="GH26" s="378"/>
      <c r="GI26" s="378"/>
      <c r="GJ26" s="378"/>
      <c r="GK26" s="378"/>
      <c r="GL26" s="378"/>
      <c r="GM26" s="378"/>
      <c r="GN26" s="378"/>
      <c r="GO26" s="378"/>
      <c r="GP26" s="378"/>
      <c r="GQ26" s="378"/>
      <c r="GR26" s="378"/>
      <c r="GS26" s="378"/>
      <c r="GT26" s="378"/>
      <c r="GU26" s="378"/>
      <c r="GV26" s="378"/>
      <c r="GW26" s="378"/>
      <c r="GX26" s="378"/>
      <c r="GY26" s="378"/>
      <c r="GZ26" s="378"/>
      <c r="HA26" s="378"/>
      <c r="HB26" s="378"/>
      <c r="HC26" s="378"/>
      <c r="HD26" s="378"/>
      <c r="HE26" s="378"/>
      <c r="HF26" s="378"/>
      <c r="HG26" s="378"/>
      <c r="HH26" s="378"/>
      <c r="HI26" s="378"/>
      <c r="HJ26" s="378"/>
      <c r="HK26" s="378"/>
      <c r="HL26" s="378"/>
      <c r="HM26" s="378"/>
      <c r="HN26" s="378"/>
      <c r="HO26" s="378"/>
      <c r="HP26" s="378"/>
      <c r="HQ26" s="378"/>
      <c r="HR26" s="378"/>
      <c r="HS26" s="378"/>
      <c r="HT26" s="378"/>
      <c r="HU26" s="378"/>
      <c r="HV26" s="378"/>
      <c r="HW26" s="378"/>
      <c r="HX26" s="378"/>
      <c r="HY26" s="378"/>
      <c r="HZ26" s="378"/>
      <c r="IA26" s="378"/>
      <c r="IB26" s="378"/>
      <c r="IC26" s="378"/>
      <c r="ID26" s="378"/>
      <c r="IE26" s="378"/>
      <c r="IF26" s="378"/>
      <c r="IG26" s="378"/>
      <c r="IH26" s="378"/>
      <c r="II26" s="378"/>
      <c r="IJ26" s="378"/>
      <c r="IK26" s="378"/>
      <c r="IL26" s="378"/>
      <c r="IM26" s="378"/>
      <c r="IN26" s="378"/>
      <c r="IO26" s="378"/>
      <c r="IP26" s="378"/>
      <c r="IQ26" s="378"/>
      <c r="IR26" s="378"/>
      <c r="IS26" s="378"/>
      <c r="IT26" s="378"/>
      <c r="IU26" s="378"/>
      <c r="IV26" s="378"/>
      <c r="IW26" s="378"/>
      <c r="IX26" s="378"/>
      <c r="IY26" s="378"/>
      <c r="IZ26" s="378"/>
      <c r="JA26" s="378"/>
    </row>
    <row r="27" spans="2:261" s="379" customFormat="1">
      <c r="B27" s="374"/>
      <c r="C27" s="375"/>
      <c r="D27" s="423"/>
      <c r="E27" s="392" t="s">
        <v>5054</v>
      </c>
      <c r="F27" s="397" t="str">
        <f>'Planning Template'!F85&amp;" (starting "&amp;'Planning Template'!F86&amp;")"</f>
        <v xml:space="preserve"> (starting )</v>
      </c>
      <c r="G27" s="432"/>
      <c r="H27" s="376"/>
      <c r="I27" s="377"/>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378"/>
      <c r="BG27" s="378"/>
      <c r="BH27" s="378"/>
      <c r="BI27" s="378"/>
      <c r="BJ27" s="378"/>
      <c r="BK27" s="378"/>
      <c r="BL27" s="378"/>
      <c r="BM27" s="378"/>
      <c r="BN27" s="378"/>
      <c r="BO27" s="378"/>
      <c r="BP27" s="378"/>
      <c r="BQ27" s="378"/>
      <c r="BR27" s="378"/>
      <c r="BS27" s="378"/>
      <c r="BT27" s="378"/>
      <c r="BU27" s="378"/>
      <c r="BV27" s="378"/>
      <c r="BW27" s="378"/>
      <c r="BX27" s="378"/>
      <c r="BY27" s="378"/>
      <c r="BZ27" s="378"/>
      <c r="CA27" s="378"/>
      <c r="CB27" s="378"/>
      <c r="CC27" s="378"/>
      <c r="CD27" s="378"/>
      <c r="CE27" s="378"/>
      <c r="CF27" s="378"/>
      <c r="CG27" s="378"/>
      <c r="CH27" s="378"/>
      <c r="CI27" s="378"/>
      <c r="CJ27" s="378"/>
      <c r="CK27" s="378"/>
      <c r="CL27" s="378"/>
      <c r="CM27" s="378"/>
      <c r="CN27" s="378"/>
      <c r="CO27" s="378"/>
      <c r="CP27" s="378"/>
      <c r="CQ27" s="378"/>
      <c r="CR27" s="378"/>
      <c r="CS27" s="378"/>
      <c r="CT27" s="378"/>
      <c r="CU27" s="378"/>
      <c r="CV27" s="378"/>
      <c r="CW27" s="378"/>
      <c r="CX27" s="378"/>
      <c r="CY27" s="378"/>
      <c r="CZ27" s="378"/>
      <c r="DA27" s="378"/>
      <c r="DB27" s="378"/>
      <c r="DC27" s="378"/>
      <c r="DD27" s="378"/>
      <c r="DE27" s="378"/>
      <c r="DF27" s="378"/>
      <c r="DG27" s="378"/>
      <c r="DH27" s="378"/>
      <c r="DI27" s="378"/>
      <c r="DJ27" s="378"/>
      <c r="DK27" s="378"/>
      <c r="DL27" s="378"/>
      <c r="DM27" s="378"/>
      <c r="DN27" s="378"/>
      <c r="DO27" s="378"/>
      <c r="DP27" s="378"/>
      <c r="DQ27" s="378"/>
      <c r="DR27" s="378"/>
      <c r="DS27" s="378"/>
      <c r="DT27" s="378"/>
      <c r="DU27" s="378"/>
      <c r="DV27" s="378"/>
      <c r="DW27" s="378"/>
      <c r="DX27" s="378"/>
      <c r="DY27" s="378"/>
      <c r="DZ27" s="378"/>
      <c r="EA27" s="378"/>
      <c r="EB27" s="378"/>
      <c r="EC27" s="378"/>
      <c r="ED27" s="378"/>
      <c r="EE27" s="378"/>
      <c r="EF27" s="378"/>
      <c r="EG27" s="378"/>
      <c r="EH27" s="378"/>
      <c r="EI27" s="378"/>
      <c r="EJ27" s="378"/>
      <c r="EK27" s="378"/>
      <c r="EL27" s="378"/>
      <c r="EM27" s="378"/>
      <c r="EN27" s="378"/>
      <c r="EO27" s="378"/>
      <c r="EP27" s="378"/>
      <c r="EQ27" s="378"/>
      <c r="ER27" s="378"/>
      <c r="ES27" s="378"/>
      <c r="ET27" s="378"/>
      <c r="EU27" s="378"/>
      <c r="EV27" s="378"/>
      <c r="EW27" s="378"/>
      <c r="EX27" s="378"/>
      <c r="EY27" s="378"/>
      <c r="EZ27" s="378"/>
      <c r="FA27" s="378"/>
      <c r="FB27" s="378"/>
      <c r="FC27" s="378"/>
      <c r="FD27" s="378"/>
      <c r="FE27" s="378"/>
      <c r="FF27" s="378"/>
      <c r="FG27" s="378"/>
      <c r="FH27" s="378"/>
      <c r="FI27" s="378"/>
      <c r="FJ27" s="378"/>
      <c r="FK27" s="378"/>
      <c r="FL27" s="378"/>
      <c r="FM27" s="378"/>
      <c r="FN27" s="378"/>
      <c r="FO27" s="378"/>
      <c r="FP27" s="378"/>
      <c r="FQ27" s="378"/>
      <c r="FR27" s="378"/>
      <c r="FS27" s="378"/>
      <c r="FT27" s="378"/>
      <c r="FU27" s="378"/>
      <c r="FV27" s="378"/>
      <c r="FW27" s="378"/>
      <c r="FX27" s="378"/>
      <c r="FY27" s="378"/>
      <c r="FZ27" s="378"/>
      <c r="GA27" s="378"/>
      <c r="GB27" s="378"/>
      <c r="GC27" s="378"/>
      <c r="GD27" s="378"/>
      <c r="GE27" s="378"/>
      <c r="GF27" s="378"/>
      <c r="GG27" s="378"/>
      <c r="GH27" s="378"/>
      <c r="GI27" s="378"/>
      <c r="GJ27" s="378"/>
      <c r="GK27" s="378"/>
      <c r="GL27" s="378"/>
      <c r="GM27" s="378"/>
      <c r="GN27" s="378"/>
      <c r="GO27" s="378"/>
      <c r="GP27" s="378"/>
      <c r="GQ27" s="378"/>
      <c r="GR27" s="378"/>
      <c r="GS27" s="378"/>
      <c r="GT27" s="378"/>
      <c r="GU27" s="378"/>
      <c r="GV27" s="378"/>
      <c r="GW27" s="378"/>
      <c r="GX27" s="378"/>
      <c r="GY27" s="378"/>
      <c r="GZ27" s="378"/>
      <c r="HA27" s="378"/>
      <c r="HB27" s="378"/>
      <c r="HC27" s="378"/>
      <c r="HD27" s="378"/>
      <c r="HE27" s="378"/>
      <c r="HF27" s="378"/>
      <c r="HG27" s="378"/>
      <c r="HH27" s="378"/>
      <c r="HI27" s="378"/>
      <c r="HJ27" s="378"/>
      <c r="HK27" s="378"/>
      <c r="HL27" s="378"/>
      <c r="HM27" s="378"/>
      <c r="HN27" s="378"/>
      <c r="HO27" s="378"/>
      <c r="HP27" s="378"/>
      <c r="HQ27" s="378"/>
      <c r="HR27" s="378"/>
      <c r="HS27" s="378"/>
      <c r="HT27" s="378"/>
      <c r="HU27" s="378"/>
      <c r="HV27" s="378"/>
      <c r="HW27" s="378"/>
      <c r="HX27" s="378"/>
      <c r="HY27" s="378"/>
      <c r="HZ27" s="378"/>
      <c r="IA27" s="378"/>
      <c r="IB27" s="378"/>
      <c r="IC27" s="378"/>
      <c r="ID27" s="378"/>
      <c r="IE27" s="378"/>
      <c r="IF27" s="378"/>
      <c r="IG27" s="378"/>
      <c r="IH27" s="378"/>
      <c r="II27" s="378"/>
      <c r="IJ27" s="378"/>
      <c r="IK27" s="378"/>
      <c r="IL27" s="378"/>
      <c r="IM27" s="378"/>
      <c r="IN27" s="378"/>
      <c r="IO27" s="378"/>
      <c r="IP27" s="378"/>
      <c r="IQ27" s="378"/>
      <c r="IR27" s="378"/>
      <c r="IS27" s="378"/>
      <c r="IT27" s="378"/>
      <c r="IU27" s="378"/>
      <c r="IV27" s="378"/>
      <c r="IW27" s="378"/>
      <c r="IX27" s="378"/>
      <c r="IY27" s="378"/>
      <c r="IZ27" s="378"/>
      <c r="JA27" s="378"/>
    </row>
    <row r="28" spans="2:261" s="379" customFormat="1">
      <c r="B28" s="374"/>
      <c r="C28" s="375"/>
      <c r="D28" s="423"/>
      <c r="E28" s="389" t="s">
        <v>7</v>
      </c>
      <c r="F28" s="395"/>
      <c r="G28" s="424"/>
      <c r="H28" s="376"/>
      <c r="I28" s="377"/>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8"/>
      <c r="BC28" s="378"/>
      <c r="BD28" s="378"/>
      <c r="BE28" s="378"/>
      <c r="BF28" s="378"/>
      <c r="BG28" s="378"/>
      <c r="BH28" s="378"/>
      <c r="BI28" s="378"/>
      <c r="BJ28" s="378"/>
      <c r="BK28" s="378"/>
      <c r="BL28" s="378"/>
      <c r="BM28" s="378"/>
      <c r="BN28" s="378"/>
      <c r="BO28" s="378"/>
      <c r="BP28" s="378"/>
      <c r="BQ28" s="378"/>
      <c r="BR28" s="378"/>
      <c r="BS28" s="378"/>
      <c r="BT28" s="378"/>
      <c r="BU28" s="378"/>
      <c r="BV28" s="378"/>
      <c r="BW28" s="378"/>
      <c r="BX28" s="378"/>
      <c r="BY28" s="378"/>
      <c r="BZ28" s="378"/>
      <c r="CA28" s="378"/>
      <c r="CB28" s="378"/>
      <c r="CC28" s="378"/>
      <c r="CD28" s="378"/>
      <c r="CE28" s="378"/>
      <c r="CF28" s="378"/>
      <c r="CG28" s="378"/>
      <c r="CH28" s="378"/>
      <c r="CI28" s="378"/>
      <c r="CJ28" s="378"/>
      <c r="CK28" s="378"/>
      <c r="CL28" s="378"/>
      <c r="CM28" s="378"/>
      <c r="CN28" s="378"/>
      <c r="CO28" s="378"/>
      <c r="CP28" s="378"/>
      <c r="CQ28" s="378"/>
      <c r="CR28" s="378"/>
      <c r="CS28" s="378"/>
      <c r="CT28" s="378"/>
      <c r="CU28" s="378"/>
      <c r="CV28" s="378"/>
      <c r="CW28" s="378"/>
      <c r="CX28" s="378"/>
      <c r="CY28" s="378"/>
      <c r="CZ28" s="378"/>
      <c r="DA28" s="378"/>
      <c r="DB28" s="378"/>
      <c r="DC28" s="378"/>
      <c r="DD28" s="378"/>
      <c r="DE28" s="378"/>
      <c r="DF28" s="378"/>
      <c r="DG28" s="378"/>
      <c r="DH28" s="378"/>
      <c r="DI28" s="378"/>
      <c r="DJ28" s="378"/>
      <c r="DK28" s="378"/>
      <c r="DL28" s="378"/>
      <c r="DM28" s="378"/>
      <c r="DN28" s="378"/>
      <c r="DO28" s="378"/>
      <c r="DP28" s="378"/>
      <c r="DQ28" s="378"/>
      <c r="DR28" s="378"/>
      <c r="DS28" s="378"/>
      <c r="DT28" s="378"/>
      <c r="DU28" s="378"/>
      <c r="DV28" s="378"/>
      <c r="DW28" s="378"/>
      <c r="DX28" s="378"/>
      <c r="DY28" s="378"/>
      <c r="DZ28" s="378"/>
      <c r="EA28" s="378"/>
      <c r="EB28" s="378"/>
      <c r="EC28" s="378"/>
      <c r="ED28" s="378"/>
      <c r="EE28" s="378"/>
      <c r="EF28" s="378"/>
      <c r="EG28" s="378"/>
      <c r="EH28" s="378"/>
      <c r="EI28" s="378"/>
      <c r="EJ28" s="378"/>
      <c r="EK28" s="378"/>
      <c r="EL28" s="378"/>
      <c r="EM28" s="378"/>
      <c r="EN28" s="378"/>
      <c r="EO28" s="378"/>
      <c r="EP28" s="378"/>
      <c r="EQ28" s="378"/>
      <c r="ER28" s="378"/>
      <c r="ES28" s="378"/>
      <c r="ET28" s="378"/>
      <c r="EU28" s="378"/>
      <c r="EV28" s="378"/>
      <c r="EW28" s="378"/>
      <c r="EX28" s="378"/>
      <c r="EY28" s="378"/>
      <c r="EZ28" s="378"/>
      <c r="FA28" s="378"/>
      <c r="FB28" s="378"/>
      <c r="FC28" s="378"/>
      <c r="FD28" s="378"/>
      <c r="FE28" s="378"/>
      <c r="FF28" s="378"/>
      <c r="FG28" s="378"/>
      <c r="FH28" s="378"/>
      <c r="FI28" s="378"/>
      <c r="FJ28" s="378"/>
      <c r="FK28" s="378"/>
      <c r="FL28" s="378"/>
      <c r="FM28" s="378"/>
      <c r="FN28" s="378"/>
      <c r="FO28" s="378"/>
      <c r="FP28" s="378"/>
      <c r="FQ28" s="378"/>
      <c r="FR28" s="378"/>
      <c r="FS28" s="378"/>
      <c r="FT28" s="378"/>
      <c r="FU28" s="378"/>
      <c r="FV28" s="378"/>
      <c r="FW28" s="378"/>
      <c r="FX28" s="378"/>
      <c r="FY28" s="378"/>
      <c r="FZ28" s="378"/>
      <c r="GA28" s="378"/>
      <c r="GB28" s="378"/>
      <c r="GC28" s="378"/>
      <c r="GD28" s="378"/>
      <c r="GE28" s="378"/>
      <c r="GF28" s="378"/>
      <c r="GG28" s="378"/>
      <c r="GH28" s="378"/>
      <c r="GI28" s="378"/>
      <c r="GJ28" s="378"/>
      <c r="GK28" s="378"/>
      <c r="GL28" s="378"/>
      <c r="GM28" s="378"/>
      <c r="GN28" s="378"/>
      <c r="GO28" s="378"/>
      <c r="GP28" s="378"/>
      <c r="GQ28" s="378"/>
      <c r="GR28" s="378"/>
      <c r="GS28" s="378"/>
      <c r="GT28" s="378"/>
      <c r="GU28" s="378"/>
      <c r="GV28" s="378"/>
      <c r="GW28" s="378"/>
      <c r="GX28" s="378"/>
      <c r="GY28" s="378"/>
      <c r="GZ28" s="378"/>
      <c r="HA28" s="378"/>
      <c r="HB28" s="378"/>
      <c r="HC28" s="378"/>
      <c r="HD28" s="378"/>
      <c r="HE28" s="378"/>
      <c r="HF28" s="378"/>
      <c r="HG28" s="378"/>
      <c r="HH28" s="378"/>
      <c r="HI28" s="378"/>
      <c r="HJ28" s="378"/>
      <c r="HK28" s="378"/>
      <c r="HL28" s="378"/>
      <c r="HM28" s="378"/>
      <c r="HN28" s="378"/>
      <c r="HO28" s="378"/>
      <c r="HP28" s="378"/>
      <c r="HQ28" s="378"/>
      <c r="HR28" s="378"/>
      <c r="HS28" s="378"/>
      <c r="HT28" s="378"/>
      <c r="HU28" s="378"/>
      <c r="HV28" s="378"/>
      <c r="HW28" s="378"/>
      <c r="HX28" s="378"/>
      <c r="HY28" s="378"/>
      <c r="HZ28" s="378"/>
      <c r="IA28" s="378"/>
      <c r="IB28" s="378"/>
      <c r="IC28" s="378"/>
      <c r="ID28" s="378"/>
      <c r="IE28" s="378"/>
      <c r="IF28" s="378"/>
      <c r="IG28" s="378"/>
      <c r="IH28" s="378"/>
      <c r="II28" s="378"/>
      <c r="IJ28" s="378"/>
      <c r="IK28" s="378"/>
      <c r="IL28" s="378"/>
      <c r="IM28" s="378"/>
      <c r="IN28" s="378"/>
      <c r="IO28" s="378"/>
      <c r="IP28" s="378"/>
      <c r="IQ28" s="378"/>
      <c r="IR28" s="378"/>
      <c r="IS28" s="378"/>
      <c r="IT28" s="378"/>
      <c r="IU28" s="378"/>
      <c r="IV28" s="378"/>
      <c r="IW28" s="378"/>
      <c r="IX28" s="378"/>
      <c r="IY28" s="378"/>
      <c r="IZ28" s="378"/>
      <c r="JA28" s="378"/>
    </row>
    <row r="29" spans="2:261" s="379" customFormat="1">
      <c r="B29" s="374"/>
      <c r="C29" s="375"/>
      <c r="D29" s="423"/>
      <c r="E29" s="389" t="s">
        <v>5055</v>
      </c>
      <c r="F29" s="397" t="str">
        <f>'Planning Template'!F87&amp;" (starting "&amp;'Planning Template'!F88&amp;")"</f>
        <v xml:space="preserve"> (starting )</v>
      </c>
      <c r="G29" s="424"/>
      <c r="H29" s="376"/>
      <c r="I29" s="377"/>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8"/>
      <c r="BE29" s="378"/>
      <c r="BF29" s="378"/>
      <c r="BG29" s="378"/>
      <c r="BH29" s="378"/>
      <c r="BI29" s="378"/>
      <c r="BJ29" s="378"/>
      <c r="BK29" s="378"/>
      <c r="BL29" s="378"/>
      <c r="BM29" s="378"/>
      <c r="BN29" s="378"/>
      <c r="BO29" s="378"/>
      <c r="BP29" s="378"/>
      <c r="BQ29" s="378"/>
      <c r="BR29" s="378"/>
      <c r="BS29" s="378"/>
      <c r="BT29" s="378"/>
      <c r="BU29" s="378"/>
      <c r="BV29" s="378"/>
      <c r="BW29" s="378"/>
      <c r="BX29" s="378"/>
      <c r="BY29" s="378"/>
      <c r="BZ29" s="378"/>
      <c r="CA29" s="378"/>
      <c r="CB29" s="378"/>
      <c r="CC29" s="378"/>
      <c r="CD29" s="378"/>
      <c r="CE29" s="378"/>
      <c r="CF29" s="378"/>
      <c r="CG29" s="378"/>
      <c r="CH29" s="378"/>
      <c r="CI29" s="378"/>
      <c r="CJ29" s="378"/>
      <c r="CK29" s="378"/>
      <c r="CL29" s="378"/>
      <c r="CM29" s="378"/>
      <c r="CN29" s="378"/>
      <c r="CO29" s="378"/>
      <c r="CP29" s="378"/>
      <c r="CQ29" s="378"/>
      <c r="CR29" s="378"/>
      <c r="CS29" s="378"/>
      <c r="CT29" s="378"/>
      <c r="CU29" s="378"/>
      <c r="CV29" s="378"/>
      <c r="CW29" s="378"/>
      <c r="CX29" s="378"/>
      <c r="CY29" s="378"/>
      <c r="CZ29" s="378"/>
      <c r="DA29" s="378"/>
      <c r="DB29" s="378"/>
      <c r="DC29" s="378"/>
      <c r="DD29" s="378"/>
      <c r="DE29" s="378"/>
      <c r="DF29" s="378"/>
      <c r="DG29" s="378"/>
      <c r="DH29" s="378"/>
      <c r="DI29" s="378"/>
      <c r="DJ29" s="378"/>
      <c r="DK29" s="378"/>
      <c r="DL29" s="378"/>
      <c r="DM29" s="378"/>
      <c r="DN29" s="378"/>
      <c r="DO29" s="378"/>
      <c r="DP29" s="378"/>
      <c r="DQ29" s="378"/>
      <c r="DR29" s="378"/>
      <c r="DS29" s="378"/>
      <c r="DT29" s="378"/>
      <c r="DU29" s="378"/>
      <c r="DV29" s="378"/>
      <c r="DW29" s="378"/>
      <c r="DX29" s="378"/>
      <c r="DY29" s="378"/>
      <c r="DZ29" s="378"/>
      <c r="EA29" s="378"/>
      <c r="EB29" s="378"/>
      <c r="EC29" s="378"/>
      <c r="ED29" s="378"/>
      <c r="EE29" s="378"/>
      <c r="EF29" s="378"/>
      <c r="EG29" s="378"/>
      <c r="EH29" s="378"/>
      <c r="EI29" s="378"/>
      <c r="EJ29" s="378"/>
      <c r="EK29" s="378"/>
      <c r="EL29" s="378"/>
      <c r="EM29" s="378"/>
      <c r="EN29" s="378"/>
      <c r="EO29" s="378"/>
      <c r="EP29" s="378"/>
      <c r="EQ29" s="378"/>
      <c r="ER29" s="378"/>
      <c r="ES29" s="378"/>
      <c r="ET29" s="378"/>
      <c r="EU29" s="378"/>
      <c r="EV29" s="378"/>
      <c r="EW29" s="378"/>
      <c r="EX29" s="378"/>
      <c r="EY29" s="378"/>
      <c r="EZ29" s="378"/>
      <c r="FA29" s="378"/>
      <c r="FB29" s="378"/>
      <c r="FC29" s="378"/>
      <c r="FD29" s="378"/>
      <c r="FE29" s="378"/>
      <c r="FF29" s="378"/>
      <c r="FG29" s="378"/>
      <c r="FH29" s="378"/>
      <c r="FI29" s="378"/>
      <c r="FJ29" s="378"/>
      <c r="FK29" s="378"/>
      <c r="FL29" s="378"/>
      <c r="FM29" s="378"/>
      <c r="FN29" s="378"/>
      <c r="FO29" s="378"/>
      <c r="FP29" s="378"/>
      <c r="FQ29" s="378"/>
      <c r="FR29" s="378"/>
      <c r="FS29" s="378"/>
      <c r="FT29" s="378"/>
      <c r="FU29" s="378"/>
      <c r="FV29" s="378"/>
      <c r="FW29" s="378"/>
      <c r="FX29" s="378"/>
      <c r="FY29" s="378"/>
      <c r="FZ29" s="378"/>
      <c r="GA29" s="378"/>
      <c r="GB29" s="378"/>
      <c r="GC29" s="378"/>
      <c r="GD29" s="378"/>
      <c r="GE29" s="378"/>
      <c r="GF29" s="378"/>
      <c r="GG29" s="378"/>
      <c r="GH29" s="378"/>
      <c r="GI29" s="378"/>
      <c r="GJ29" s="378"/>
      <c r="GK29" s="378"/>
      <c r="GL29" s="378"/>
      <c r="GM29" s="378"/>
      <c r="GN29" s="378"/>
      <c r="GO29" s="378"/>
      <c r="GP29" s="378"/>
      <c r="GQ29" s="378"/>
      <c r="GR29" s="378"/>
      <c r="GS29" s="378"/>
      <c r="GT29" s="378"/>
      <c r="GU29" s="378"/>
      <c r="GV29" s="378"/>
      <c r="GW29" s="378"/>
      <c r="GX29" s="378"/>
      <c r="GY29" s="378"/>
      <c r="GZ29" s="378"/>
      <c r="HA29" s="378"/>
      <c r="HB29" s="378"/>
      <c r="HC29" s="378"/>
      <c r="HD29" s="378"/>
      <c r="HE29" s="378"/>
      <c r="HF29" s="378"/>
      <c r="HG29" s="378"/>
      <c r="HH29" s="378"/>
      <c r="HI29" s="378"/>
      <c r="HJ29" s="378"/>
      <c r="HK29" s="378"/>
      <c r="HL29" s="378"/>
      <c r="HM29" s="378"/>
      <c r="HN29" s="378"/>
      <c r="HO29" s="378"/>
      <c r="HP29" s="378"/>
      <c r="HQ29" s="378"/>
      <c r="HR29" s="378"/>
      <c r="HS29" s="378"/>
      <c r="HT29" s="378"/>
      <c r="HU29" s="378"/>
      <c r="HV29" s="378"/>
      <c r="HW29" s="378"/>
      <c r="HX29" s="378"/>
      <c r="HY29" s="378"/>
      <c r="HZ29" s="378"/>
      <c r="IA29" s="378"/>
      <c r="IB29" s="378"/>
      <c r="IC29" s="378"/>
      <c r="ID29" s="378"/>
      <c r="IE29" s="378"/>
      <c r="IF29" s="378"/>
      <c r="IG29" s="378"/>
      <c r="IH29" s="378"/>
      <c r="II29" s="378"/>
      <c r="IJ29" s="378"/>
      <c r="IK29" s="378"/>
      <c r="IL29" s="378"/>
      <c r="IM29" s="378"/>
      <c r="IN29" s="378"/>
      <c r="IO29" s="378"/>
      <c r="IP29" s="378"/>
      <c r="IQ29" s="378"/>
      <c r="IR29" s="378"/>
      <c r="IS29" s="378"/>
      <c r="IT29" s="378"/>
      <c r="IU29" s="378"/>
      <c r="IV29" s="378"/>
      <c r="IW29" s="378"/>
      <c r="IX29" s="378"/>
      <c r="IY29" s="378"/>
      <c r="IZ29" s="378"/>
      <c r="JA29" s="378"/>
    </row>
    <row r="30" spans="2:261" s="379" customFormat="1">
      <c r="B30" s="374"/>
      <c r="C30" s="375"/>
      <c r="D30" s="423"/>
      <c r="E30" s="389" t="s">
        <v>7</v>
      </c>
      <c r="F30" s="395"/>
      <c r="G30" s="424"/>
      <c r="H30" s="376"/>
      <c r="I30" s="377"/>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8"/>
      <c r="BC30" s="378"/>
      <c r="BD30" s="378"/>
      <c r="BE30" s="378"/>
      <c r="BF30" s="378"/>
      <c r="BG30" s="378"/>
      <c r="BH30" s="378"/>
      <c r="BI30" s="378"/>
      <c r="BJ30" s="378"/>
      <c r="BK30" s="378"/>
      <c r="BL30" s="378"/>
      <c r="BM30" s="378"/>
      <c r="BN30" s="378"/>
      <c r="BO30" s="378"/>
      <c r="BP30" s="378"/>
      <c r="BQ30" s="378"/>
      <c r="BR30" s="378"/>
      <c r="BS30" s="378"/>
      <c r="BT30" s="378"/>
      <c r="BU30" s="378"/>
      <c r="BV30" s="378"/>
      <c r="BW30" s="378"/>
      <c r="BX30" s="378"/>
      <c r="BY30" s="378"/>
      <c r="BZ30" s="378"/>
      <c r="CA30" s="378"/>
      <c r="CB30" s="378"/>
      <c r="CC30" s="378"/>
      <c r="CD30" s="378"/>
      <c r="CE30" s="378"/>
      <c r="CF30" s="378"/>
      <c r="CG30" s="378"/>
      <c r="CH30" s="378"/>
      <c r="CI30" s="378"/>
      <c r="CJ30" s="378"/>
      <c r="CK30" s="378"/>
      <c r="CL30" s="378"/>
      <c r="CM30" s="378"/>
      <c r="CN30" s="378"/>
      <c r="CO30" s="378"/>
      <c r="CP30" s="378"/>
      <c r="CQ30" s="378"/>
      <c r="CR30" s="378"/>
      <c r="CS30" s="378"/>
      <c r="CT30" s="378"/>
      <c r="CU30" s="378"/>
      <c r="CV30" s="378"/>
      <c r="CW30" s="378"/>
      <c r="CX30" s="378"/>
      <c r="CY30" s="378"/>
      <c r="CZ30" s="378"/>
      <c r="DA30" s="378"/>
      <c r="DB30" s="378"/>
      <c r="DC30" s="378"/>
      <c r="DD30" s="378"/>
      <c r="DE30" s="378"/>
      <c r="DF30" s="378"/>
      <c r="DG30" s="378"/>
      <c r="DH30" s="378"/>
      <c r="DI30" s="378"/>
      <c r="DJ30" s="378"/>
      <c r="DK30" s="378"/>
      <c r="DL30" s="378"/>
      <c r="DM30" s="378"/>
      <c r="DN30" s="378"/>
      <c r="DO30" s="378"/>
      <c r="DP30" s="378"/>
      <c r="DQ30" s="378"/>
      <c r="DR30" s="378"/>
      <c r="DS30" s="378"/>
      <c r="DT30" s="378"/>
      <c r="DU30" s="378"/>
      <c r="DV30" s="378"/>
      <c r="DW30" s="378"/>
      <c r="DX30" s="378"/>
      <c r="DY30" s="378"/>
      <c r="DZ30" s="378"/>
      <c r="EA30" s="378"/>
      <c r="EB30" s="378"/>
      <c r="EC30" s="378"/>
      <c r="ED30" s="378"/>
      <c r="EE30" s="378"/>
      <c r="EF30" s="378"/>
      <c r="EG30" s="378"/>
      <c r="EH30" s="378"/>
      <c r="EI30" s="378"/>
      <c r="EJ30" s="378"/>
      <c r="EK30" s="378"/>
      <c r="EL30" s="378"/>
      <c r="EM30" s="378"/>
      <c r="EN30" s="378"/>
      <c r="EO30" s="378"/>
      <c r="EP30" s="378"/>
      <c r="EQ30" s="378"/>
      <c r="ER30" s="378"/>
      <c r="ES30" s="378"/>
      <c r="ET30" s="378"/>
      <c r="EU30" s="378"/>
      <c r="EV30" s="378"/>
      <c r="EW30" s="378"/>
      <c r="EX30" s="378"/>
      <c r="EY30" s="378"/>
      <c r="EZ30" s="378"/>
      <c r="FA30" s="378"/>
      <c r="FB30" s="378"/>
      <c r="FC30" s="378"/>
      <c r="FD30" s="378"/>
      <c r="FE30" s="378"/>
      <c r="FF30" s="378"/>
      <c r="FG30" s="378"/>
      <c r="FH30" s="378"/>
      <c r="FI30" s="378"/>
      <c r="FJ30" s="378"/>
      <c r="FK30" s="378"/>
      <c r="FL30" s="378"/>
      <c r="FM30" s="378"/>
      <c r="FN30" s="378"/>
      <c r="FO30" s="378"/>
      <c r="FP30" s="378"/>
      <c r="FQ30" s="378"/>
      <c r="FR30" s="378"/>
      <c r="FS30" s="378"/>
      <c r="FT30" s="378"/>
      <c r="FU30" s="378"/>
      <c r="FV30" s="378"/>
      <c r="FW30" s="378"/>
      <c r="FX30" s="378"/>
      <c r="FY30" s="378"/>
      <c r="FZ30" s="378"/>
      <c r="GA30" s="378"/>
      <c r="GB30" s="378"/>
      <c r="GC30" s="378"/>
      <c r="GD30" s="378"/>
      <c r="GE30" s="378"/>
      <c r="GF30" s="378"/>
      <c r="GG30" s="378"/>
      <c r="GH30" s="378"/>
      <c r="GI30" s="378"/>
      <c r="GJ30" s="378"/>
      <c r="GK30" s="378"/>
      <c r="GL30" s="378"/>
      <c r="GM30" s="378"/>
      <c r="GN30" s="378"/>
      <c r="GO30" s="378"/>
      <c r="GP30" s="378"/>
      <c r="GQ30" s="378"/>
      <c r="GR30" s="378"/>
      <c r="GS30" s="378"/>
      <c r="GT30" s="378"/>
      <c r="GU30" s="378"/>
      <c r="GV30" s="378"/>
      <c r="GW30" s="378"/>
      <c r="GX30" s="378"/>
      <c r="GY30" s="378"/>
      <c r="GZ30" s="378"/>
      <c r="HA30" s="378"/>
      <c r="HB30" s="378"/>
      <c r="HC30" s="378"/>
      <c r="HD30" s="378"/>
      <c r="HE30" s="378"/>
      <c r="HF30" s="378"/>
      <c r="HG30" s="378"/>
      <c r="HH30" s="378"/>
      <c r="HI30" s="378"/>
      <c r="HJ30" s="378"/>
      <c r="HK30" s="378"/>
      <c r="HL30" s="378"/>
      <c r="HM30" s="378"/>
      <c r="HN30" s="378"/>
      <c r="HO30" s="378"/>
      <c r="HP30" s="378"/>
      <c r="HQ30" s="378"/>
      <c r="HR30" s="378"/>
      <c r="HS30" s="378"/>
      <c r="HT30" s="378"/>
      <c r="HU30" s="378"/>
      <c r="HV30" s="378"/>
      <c r="HW30" s="378"/>
      <c r="HX30" s="378"/>
      <c r="HY30" s="378"/>
      <c r="HZ30" s="378"/>
      <c r="IA30" s="378"/>
      <c r="IB30" s="378"/>
      <c r="IC30" s="378"/>
      <c r="ID30" s="378"/>
      <c r="IE30" s="378"/>
      <c r="IF30" s="378"/>
      <c r="IG30" s="378"/>
      <c r="IH30" s="378"/>
      <c r="II30" s="378"/>
      <c r="IJ30" s="378"/>
      <c r="IK30" s="378"/>
      <c r="IL30" s="378"/>
      <c r="IM30" s="378"/>
      <c r="IN30" s="378"/>
      <c r="IO30" s="378"/>
      <c r="IP30" s="378"/>
      <c r="IQ30" s="378"/>
      <c r="IR30" s="378"/>
      <c r="IS30" s="378"/>
      <c r="IT30" s="378"/>
      <c r="IU30" s="378"/>
      <c r="IV30" s="378"/>
      <c r="IW30" s="378"/>
      <c r="IX30" s="378"/>
      <c r="IY30" s="378"/>
      <c r="IZ30" s="378"/>
      <c r="JA30" s="378"/>
    </row>
    <row r="31" spans="2:261" s="379" customFormat="1">
      <c r="B31" s="374"/>
      <c r="C31" s="375"/>
      <c r="D31" s="423"/>
      <c r="E31" s="389" t="s">
        <v>5056</v>
      </c>
      <c r="F31" s="397" t="str">
        <f>'Planning Template'!F89&amp;" (starting "&amp;'Planning Template'!F90&amp;")"</f>
        <v xml:space="preserve"> (starting )</v>
      </c>
      <c r="G31" s="424"/>
      <c r="H31" s="376"/>
      <c r="I31" s="377"/>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378"/>
      <c r="BG31" s="378"/>
      <c r="BH31" s="378"/>
      <c r="BI31" s="378"/>
      <c r="BJ31" s="378"/>
      <c r="BK31" s="378"/>
      <c r="BL31" s="378"/>
      <c r="BM31" s="378"/>
      <c r="BN31" s="378"/>
      <c r="BO31" s="378"/>
      <c r="BP31" s="378"/>
      <c r="BQ31" s="378"/>
      <c r="BR31" s="378"/>
      <c r="BS31" s="378"/>
      <c r="BT31" s="378"/>
      <c r="BU31" s="378"/>
      <c r="BV31" s="378"/>
      <c r="BW31" s="378"/>
      <c r="BX31" s="378"/>
      <c r="BY31" s="378"/>
      <c r="BZ31" s="378"/>
      <c r="CA31" s="378"/>
      <c r="CB31" s="378"/>
      <c r="CC31" s="378"/>
      <c r="CD31" s="378"/>
      <c r="CE31" s="378"/>
      <c r="CF31" s="378"/>
      <c r="CG31" s="378"/>
      <c r="CH31" s="378"/>
      <c r="CI31" s="378"/>
      <c r="CJ31" s="378"/>
      <c r="CK31" s="378"/>
      <c r="CL31" s="378"/>
      <c r="CM31" s="378"/>
      <c r="CN31" s="378"/>
      <c r="CO31" s="378"/>
      <c r="CP31" s="378"/>
      <c r="CQ31" s="378"/>
      <c r="CR31" s="378"/>
      <c r="CS31" s="378"/>
      <c r="CT31" s="378"/>
      <c r="CU31" s="378"/>
      <c r="CV31" s="378"/>
      <c r="CW31" s="378"/>
      <c r="CX31" s="378"/>
      <c r="CY31" s="378"/>
      <c r="CZ31" s="378"/>
      <c r="DA31" s="378"/>
      <c r="DB31" s="378"/>
      <c r="DC31" s="378"/>
      <c r="DD31" s="378"/>
      <c r="DE31" s="378"/>
      <c r="DF31" s="378"/>
      <c r="DG31" s="378"/>
      <c r="DH31" s="378"/>
      <c r="DI31" s="378"/>
      <c r="DJ31" s="378"/>
      <c r="DK31" s="378"/>
      <c r="DL31" s="378"/>
      <c r="DM31" s="378"/>
      <c r="DN31" s="378"/>
      <c r="DO31" s="378"/>
      <c r="DP31" s="378"/>
      <c r="DQ31" s="378"/>
      <c r="DR31" s="378"/>
      <c r="DS31" s="378"/>
      <c r="DT31" s="378"/>
      <c r="DU31" s="378"/>
      <c r="DV31" s="378"/>
      <c r="DW31" s="378"/>
      <c r="DX31" s="378"/>
      <c r="DY31" s="378"/>
      <c r="DZ31" s="378"/>
      <c r="EA31" s="378"/>
      <c r="EB31" s="378"/>
      <c r="EC31" s="378"/>
      <c r="ED31" s="378"/>
      <c r="EE31" s="378"/>
      <c r="EF31" s="378"/>
      <c r="EG31" s="378"/>
      <c r="EH31" s="378"/>
      <c r="EI31" s="378"/>
      <c r="EJ31" s="378"/>
      <c r="EK31" s="378"/>
      <c r="EL31" s="378"/>
      <c r="EM31" s="378"/>
      <c r="EN31" s="378"/>
      <c r="EO31" s="378"/>
      <c r="EP31" s="378"/>
      <c r="EQ31" s="378"/>
      <c r="ER31" s="378"/>
      <c r="ES31" s="378"/>
      <c r="ET31" s="378"/>
      <c r="EU31" s="378"/>
      <c r="EV31" s="378"/>
      <c r="EW31" s="378"/>
      <c r="EX31" s="378"/>
      <c r="EY31" s="378"/>
      <c r="EZ31" s="378"/>
      <c r="FA31" s="378"/>
      <c r="FB31" s="378"/>
      <c r="FC31" s="378"/>
      <c r="FD31" s="378"/>
      <c r="FE31" s="378"/>
      <c r="FF31" s="378"/>
      <c r="FG31" s="378"/>
      <c r="FH31" s="378"/>
      <c r="FI31" s="378"/>
      <c r="FJ31" s="378"/>
      <c r="FK31" s="378"/>
      <c r="FL31" s="378"/>
      <c r="FM31" s="378"/>
      <c r="FN31" s="378"/>
      <c r="FO31" s="378"/>
      <c r="FP31" s="378"/>
      <c r="FQ31" s="378"/>
      <c r="FR31" s="378"/>
      <c r="FS31" s="378"/>
      <c r="FT31" s="378"/>
      <c r="FU31" s="378"/>
      <c r="FV31" s="378"/>
      <c r="FW31" s="378"/>
      <c r="FX31" s="378"/>
      <c r="FY31" s="378"/>
      <c r="FZ31" s="378"/>
      <c r="GA31" s="378"/>
      <c r="GB31" s="378"/>
      <c r="GC31" s="378"/>
      <c r="GD31" s="378"/>
      <c r="GE31" s="378"/>
      <c r="GF31" s="378"/>
      <c r="GG31" s="378"/>
      <c r="GH31" s="378"/>
      <c r="GI31" s="378"/>
      <c r="GJ31" s="378"/>
      <c r="GK31" s="378"/>
      <c r="GL31" s="378"/>
      <c r="GM31" s="378"/>
      <c r="GN31" s="378"/>
      <c r="GO31" s="378"/>
      <c r="GP31" s="378"/>
      <c r="GQ31" s="378"/>
      <c r="GR31" s="378"/>
      <c r="GS31" s="378"/>
      <c r="GT31" s="378"/>
      <c r="GU31" s="378"/>
      <c r="GV31" s="378"/>
      <c r="GW31" s="378"/>
      <c r="GX31" s="378"/>
      <c r="GY31" s="378"/>
      <c r="GZ31" s="378"/>
      <c r="HA31" s="378"/>
      <c r="HB31" s="378"/>
      <c r="HC31" s="378"/>
      <c r="HD31" s="378"/>
      <c r="HE31" s="378"/>
      <c r="HF31" s="378"/>
      <c r="HG31" s="378"/>
      <c r="HH31" s="378"/>
      <c r="HI31" s="378"/>
      <c r="HJ31" s="378"/>
      <c r="HK31" s="378"/>
      <c r="HL31" s="378"/>
      <c r="HM31" s="378"/>
      <c r="HN31" s="378"/>
      <c r="HO31" s="378"/>
      <c r="HP31" s="378"/>
      <c r="HQ31" s="378"/>
      <c r="HR31" s="378"/>
      <c r="HS31" s="378"/>
      <c r="HT31" s="378"/>
      <c r="HU31" s="378"/>
      <c r="HV31" s="378"/>
      <c r="HW31" s="378"/>
      <c r="HX31" s="378"/>
      <c r="HY31" s="378"/>
      <c r="HZ31" s="378"/>
      <c r="IA31" s="378"/>
      <c r="IB31" s="378"/>
      <c r="IC31" s="378"/>
      <c r="ID31" s="378"/>
      <c r="IE31" s="378"/>
      <c r="IF31" s="378"/>
      <c r="IG31" s="378"/>
      <c r="IH31" s="378"/>
      <c r="II31" s="378"/>
      <c r="IJ31" s="378"/>
      <c r="IK31" s="378"/>
      <c r="IL31" s="378"/>
      <c r="IM31" s="378"/>
      <c r="IN31" s="378"/>
      <c r="IO31" s="378"/>
      <c r="IP31" s="378"/>
      <c r="IQ31" s="378"/>
      <c r="IR31" s="378"/>
      <c r="IS31" s="378"/>
      <c r="IT31" s="378"/>
      <c r="IU31" s="378"/>
      <c r="IV31" s="378"/>
      <c r="IW31" s="378"/>
      <c r="IX31" s="378"/>
      <c r="IY31" s="378"/>
      <c r="IZ31" s="378"/>
      <c r="JA31" s="378"/>
    </row>
    <row r="32" spans="2:261" s="379" customFormat="1">
      <c r="B32" s="374"/>
      <c r="C32" s="375"/>
      <c r="D32" s="423"/>
      <c r="E32" s="389" t="s">
        <v>7</v>
      </c>
      <c r="F32" s="395"/>
      <c r="G32" s="424"/>
      <c r="H32" s="376"/>
      <c r="I32" s="377"/>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378"/>
      <c r="BG32" s="378"/>
      <c r="BH32" s="378"/>
      <c r="BI32" s="378"/>
      <c r="BJ32" s="378"/>
      <c r="BK32" s="378"/>
      <c r="BL32" s="378"/>
      <c r="BM32" s="378"/>
      <c r="BN32" s="378"/>
      <c r="BO32" s="378"/>
      <c r="BP32" s="378"/>
      <c r="BQ32" s="378"/>
      <c r="BR32" s="378"/>
      <c r="BS32" s="378"/>
      <c r="BT32" s="378"/>
      <c r="BU32" s="378"/>
      <c r="BV32" s="378"/>
      <c r="BW32" s="378"/>
      <c r="BX32" s="378"/>
      <c r="BY32" s="378"/>
      <c r="BZ32" s="378"/>
      <c r="CA32" s="378"/>
      <c r="CB32" s="378"/>
      <c r="CC32" s="378"/>
      <c r="CD32" s="378"/>
      <c r="CE32" s="378"/>
      <c r="CF32" s="378"/>
      <c r="CG32" s="378"/>
      <c r="CH32" s="378"/>
      <c r="CI32" s="378"/>
      <c r="CJ32" s="378"/>
      <c r="CK32" s="378"/>
      <c r="CL32" s="378"/>
      <c r="CM32" s="378"/>
      <c r="CN32" s="378"/>
      <c r="CO32" s="378"/>
      <c r="CP32" s="378"/>
      <c r="CQ32" s="378"/>
      <c r="CR32" s="378"/>
      <c r="CS32" s="378"/>
      <c r="CT32" s="378"/>
      <c r="CU32" s="378"/>
      <c r="CV32" s="378"/>
      <c r="CW32" s="378"/>
      <c r="CX32" s="378"/>
      <c r="CY32" s="378"/>
      <c r="CZ32" s="378"/>
      <c r="DA32" s="378"/>
      <c r="DB32" s="378"/>
      <c r="DC32" s="378"/>
      <c r="DD32" s="378"/>
      <c r="DE32" s="378"/>
      <c r="DF32" s="378"/>
      <c r="DG32" s="378"/>
      <c r="DH32" s="378"/>
      <c r="DI32" s="378"/>
      <c r="DJ32" s="378"/>
      <c r="DK32" s="378"/>
      <c r="DL32" s="378"/>
      <c r="DM32" s="378"/>
      <c r="DN32" s="378"/>
      <c r="DO32" s="378"/>
      <c r="DP32" s="378"/>
      <c r="DQ32" s="378"/>
      <c r="DR32" s="378"/>
      <c r="DS32" s="378"/>
      <c r="DT32" s="378"/>
      <c r="DU32" s="378"/>
      <c r="DV32" s="378"/>
      <c r="DW32" s="378"/>
      <c r="DX32" s="378"/>
      <c r="DY32" s="378"/>
      <c r="DZ32" s="378"/>
      <c r="EA32" s="378"/>
      <c r="EB32" s="378"/>
      <c r="EC32" s="378"/>
      <c r="ED32" s="378"/>
      <c r="EE32" s="378"/>
      <c r="EF32" s="378"/>
      <c r="EG32" s="378"/>
      <c r="EH32" s="378"/>
      <c r="EI32" s="378"/>
      <c r="EJ32" s="378"/>
      <c r="EK32" s="378"/>
      <c r="EL32" s="378"/>
      <c r="EM32" s="378"/>
      <c r="EN32" s="378"/>
      <c r="EO32" s="378"/>
      <c r="EP32" s="378"/>
      <c r="EQ32" s="378"/>
      <c r="ER32" s="378"/>
      <c r="ES32" s="378"/>
      <c r="ET32" s="378"/>
      <c r="EU32" s="378"/>
      <c r="EV32" s="378"/>
      <c r="EW32" s="378"/>
      <c r="EX32" s="378"/>
      <c r="EY32" s="378"/>
      <c r="EZ32" s="378"/>
      <c r="FA32" s="378"/>
      <c r="FB32" s="378"/>
      <c r="FC32" s="378"/>
      <c r="FD32" s="378"/>
      <c r="FE32" s="378"/>
      <c r="FF32" s="378"/>
      <c r="FG32" s="378"/>
      <c r="FH32" s="378"/>
      <c r="FI32" s="378"/>
      <c r="FJ32" s="378"/>
      <c r="FK32" s="378"/>
      <c r="FL32" s="378"/>
      <c r="FM32" s="378"/>
      <c r="FN32" s="378"/>
      <c r="FO32" s="378"/>
      <c r="FP32" s="378"/>
      <c r="FQ32" s="378"/>
      <c r="FR32" s="378"/>
      <c r="FS32" s="378"/>
      <c r="FT32" s="378"/>
      <c r="FU32" s="378"/>
      <c r="FV32" s="378"/>
      <c r="FW32" s="378"/>
      <c r="FX32" s="378"/>
      <c r="FY32" s="378"/>
      <c r="FZ32" s="378"/>
      <c r="GA32" s="378"/>
      <c r="GB32" s="378"/>
      <c r="GC32" s="378"/>
      <c r="GD32" s="378"/>
      <c r="GE32" s="378"/>
      <c r="GF32" s="378"/>
      <c r="GG32" s="378"/>
      <c r="GH32" s="378"/>
      <c r="GI32" s="378"/>
      <c r="GJ32" s="378"/>
      <c r="GK32" s="378"/>
      <c r="GL32" s="378"/>
      <c r="GM32" s="378"/>
      <c r="GN32" s="378"/>
      <c r="GO32" s="378"/>
      <c r="GP32" s="378"/>
      <c r="GQ32" s="378"/>
      <c r="GR32" s="378"/>
      <c r="GS32" s="378"/>
      <c r="GT32" s="378"/>
      <c r="GU32" s="378"/>
      <c r="GV32" s="378"/>
      <c r="GW32" s="378"/>
      <c r="GX32" s="378"/>
      <c r="GY32" s="378"/>
      <c r="GZ32" s="378"/>
      <c r="HA32" s="378"/>
      <c r="HB32" s="378"/>
      <c r="HC32" s="378"/>
      <c r="HD32" s="378"/>
      <c r="HE32" s="378"/>
      <c r="HF32" s="378"/>
      <c r="HG32" s="378"/>
      <c r="HH32" s="378"/>
      <c r="HI32" s="378"/>
      <c r="HJ32" s="378"/>
      <c r="HK32" s="378"/>
      <c r="HL32" s="378"/>
      <c r="HM32" s="378"/>
      <c r="HN32" s="378"/>
      <c r="HO32" s="378"/>
      <c r="HP32" s="378"/>
      <c r="HQ32" s="378"/>
      <c r="HR32" s="378"/>
      <c r="HS32" s="378"/>
      <c r="HT32" s="378"/>
      <c r="HU32" s="378"/>
      <c r="HV32" s="378"/>
      <c r="HW32" s="378"/>
      <c r="HX32" s="378"/>
      <c r="HY32" s="378"/>
      <c r="HZ32" s="378"/>
      <c r="IA32" s="378"/>
      <c r="IB32" s="378"/>
      <c r="IC32" s="378"/>
      <c r="ID32" s="378"/>
      <c r="IE32" s="378"/>
      <c r="IF32" s="378"/>
      <c r="IG32" s="378"/>
      <c r="IH32" s="378"/>
      <c r="II32" s="378"/>
      <c r="IJ32" s="378"/>
      <c r="IK32" s="378"/>
      <c r="IL32" s="378"/>
      <c r="IM32" s="378"/>
      <c r="IN32" s="378"/>
      <c r="IO32" s="378"/>
      <c r="IP32" s="378"/>
      <c r="IQ32" s="378"/>
      <c r="IR32" s="378"/>
      <c r="IS32" s="378"/>
      <c r="IT32" s="378"/>
      <c r="IU32" s="378"/>
      <c r="IV32" s="378"/>
      <c r="IW32" s="378"/>
      <c r="IX32" s="378"/>
      <c r="IY32" s="378"/>
      <c r="IZ32" s="378"/>
      <c r="JA32" s="378"/>
    </row>
    <row r="33" spans="2:261" s="379" customFormat="1">
      <c r="B33" s="374"/>
      <c r="C33" s="375"/>
      <c r="D33" s="423">
        <f>D26+1</f>
        <v>5</v>
      </c>
      <c r="E33" s="396" t="s">
        <v>5062</v>
      </c>
      <c r="F33" s="390"/>
      <c r="G33" s="433"/>
      <c r="H33" s="376"/>
      <c r="I33" s="377"/>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8"/>
      <c r="BC33" s="378"/>
      <c r="BD33" s="378"/>
      <c r="BE33" s="378"/>
      <c r="BF33" s="378"/>
      <c r="BG33" s="378"/>
      <c r="BH33" s="378"/>
      <c r="BI33" s="378"/>
      <c r="BJ33" s="378"/>
      <c r="BK33" s="378"/>
      <c r="BL33" s="378"/>
      <c r="BM33" s="378"/>
      <c r="BN33" s="378"/>
      <c r="BO33" s="378"/>
      <c r="BP33" s="378"/>
      <c r="BQ33" s="378"/>
      <c r="BR33" s="378"/>
      <c r="BS33" s="378"/>
      <c r="BT33" s="378"/>
      <c r="BU33" s="378"/>
      <c r="BV33" s="378"/>
      <c r="BW33" s="378"/>
      <c r="BX33" s="378"/>
      <c r="BY33" s="378"/>
      <c r="BZ33" s="378"/>
      <c r="CA33" s="378"/>
      <c r="CB33" s="378"/>
      <c r="CC33" s="378"/>
      <c r="CD33" s="378"/>
      <c r="CE33" s="378"/>
      <c r="CF33" s="378"/>
      <c r="CG33" s="378"/>
      <c r="CH33" s="378"/>
      <c r="CI33" s="378"/>
      <c r="CJ33" s="378"/>
      <c r="CK33" s="378"/>
      <c r="CL33" s="378"/>
      <c r="CM33" s="378"/>
      <c r="CN33" s="378"/>
      <c r="CO33" s="378"/>
      <c r="CP33" s="378"/>
      <c r="CQ33" s="378"/>
      <c r="CR33" s="378"/>
      <c r="CS33" s="378"/>
      <c r="CT33" s="378"/>
      <c r="CU33" s="378"/>
      <c r="CV33" s="378"/>
      <c r="CW33" s="378"/>
      <c r="CX33" s="378"/>
      <c r="CY33" s="378"/>
      <c r="CZ33" s="378"/>
      <c r="DA33" s="378"/>
      <c r="DB33" s="378"/>
      <c r="DC33" s="378"/>
      <c r="DD33" s="378"/>
      <c r="DE33" s="378"/>
      <c r="DF33" s="378"/>
      <c r="DG33" s="378"/>
      <c r="DH33" s="378"/>
      <c r="DI33" s="378"/>
      <c r="DJ33" s="378"/>
      <c r="DK33" s="378"/>
      <c r="DL33" s="378"/>
      <c r="DM33" s="378"/>
      <c r="DN33" s="378"/>
      <c r="DO33" s="378"/>
      <c r="DP33" s="378"/>
      <c r="DQ33" s="378"/>
      <c r="DR33" s="378"/>
      <c r="DS33" s="378"/>
      <c r="DT33" s="378"/>
      <c r="DU33" s="378"/>
      <c r="DV33" s="378"/>
      <c r="DW33" s="378"/>
      <c r="DX33" s="378"/>
      <c r="DY33" s="378"/>
      <c r="DZ33" s="378"/>
      <c r="EA33" s="378"/>
      <c r="EB33" s="378"/>
      <c r="EC33" s="378"/>
      <c r="ED33" s="378"/>
      <c r="EE33" s="378"/>
      <c r="EF33" s="378"/>
      <c r="EG33" s="378"/>
      <c r="EH33" s="378"/>
      <c r="EI33" s="378"/>
      <c r="EJ33" s="378"/>
      <c r="EK33" s="378"/>
      <c r="EL33" s="378"/>
      <c r="EM33" s="378"/>
      <c r="EN33" s="378"/>
      <c r="EO33" s="378"/>
      <c r="EP33" s="378"/>
      <c r="EQ33" s="378"/>
      <c r="ER33" s="378"/>
      <c r="ES33" s="378"/>
      <c r="ET33" s="378"/>
      <c r="EU33" s="378"/>
      <c r="EV33" s="378"/>
      <c r="EW33" s="378"/>
      <c r="EX33" s="378"/>
      <c r="EY33" s="378"/>
      <c r="EZ33" s="378"/>
      <c r="FA33" s="378"/>
      <c r="FB33" s="378"/>
      <c r="FC33" s="378"/>
      <c r="FD33" s="378"/>
      <c r="FE33" s="378"/>
      <c r="FF33" s="378"/>
      <c r="FG33" s="378"/>
      <c r="FH33" s="378"/>
      <c r="FI33" s="378"/>
      <c r="FJ33" s="378"/>
      <c r="FK33" s="378"/>
      <c r="FL33" s="378"/>
      <c r="FM33" s="378"/>
      <c r="FN33" s="378"/>
      <c r="FO33" s="378"/>
      <c r="FP33" s="378"/>
      <c r="FQ33" s="378"/>
      <c r="FR33" s="378"/>
      <c r="FS33" s="378"/>
      <c r="FT33" s="378"/>
      <c r="FU33" s="378"/>
      <c r="FV33" s="378"/>
      <c r="FW33" s="378"/>
      <c r="FX33" s="378"/>
      <c r="FY33" s="378"/>
      <c r="FZ33" s="378"/>
      <c r="GA33" s="378"/>
      <c r="GB33" s="378"/>
      <c r="GC33" s="378"/>
      <c r="GD33" s="378"/>
      <c r="GE33" s="378"/>
      <c r="GF33" s="378"/>
      <c r="GG33" s="378"/>
      <c r="GH33" s="378"/>
      <c r="GI33" s="378"/>
      <c r="GJ33" s="378"/>
      <c r="GK33" s="378"/>
      <c r="GL33" s="378"/>
      <c r="GM33" s="378"/>
      <c r="GN33" s="378"/>
      <c r="GO33" s="378"/>
      <c r="GP33" s="378"/>
      <c r="GQ33" s="378"/>
      <c r="GR33" s="378"/>
      <c r="GS33" s="378"/>
      <c r="GT33" s="378"/>
      <c r="GU33" s="378"/>
      <c r="GV33" s="378"/>
      <c r="GW33" s="378"/>
      <c r="GX33" s="378"/>
      <c r="GY33" s="378"/>
      <c r="GZ33" s="378"/>
      <c r="HA33" s="378"/>
      <c r="HB33" s="378"/>
      <c r="HC33" s="378"/>
      <c r="HD33" s="378"/>
      <c r="HE33" s="378"/>
      <c r="HF33" s="378"/>
      <c r="HG33" s="378"/>
      <c r="HH33" s="378"/>
      <c r="HI33" s="378"/>
      <c r="HJ33" s="378"/>
      <c r="HK33" s="378"/>
      <c r="HL33" s="378"/>
      <c r="HM33" s="378"/>
      <c r="HN33" s="378"/>
      <c r="HO33" s="378"/>
      <c r="HP33" s="378"/>
      <c r="HQ33" s="378"/>
      <c r="HR33" s="378"/>
      <c r="HS33" s="378"/>
      <c r="HT33" s="378"/>
      <c r="HU33" s="378"/>
      <c r="HV33" s="378"/>
      <c r="HW33" s="378"/>
      <c r="HX33" s="378"/>
      <c r="HY33" s="378"/>
      <c r="HZ33" s="378"/>
      <c r="IA33" s="378"/>
      <c r="IB33" s="378"/>
      <c r="IC33" s="378"/>
      <c r="ID33" s="378"/>
      <c r="IE33" s="378"/>
      <c r="IF33" s="378"/>
      <c r="IG33" s="378"/>
      <c r="IH33" s="378"/>
      <c r="II33" s="378"/>
      <c r="IJ33" s="378"/>
      <c r="IK33" s="378"/>
      <c r="IL33" s="378"/>
      <c r="IM33" s="378"/>
      <c r="IN33" s="378"/>
      <c r="IO33" s="378"/>
      <c r="IP33" s="378"/>
      <c r="IQ33" s="378"/>
      <c r="IR33" s="378"/>
      <c r="IS33" s="378"/>
      <c r="IT33" s="378"/>
      <c r="IU33" s="378"/>
      <c r="IV33" s="378"/>
      <c r="IW33" s="378"/>
      <c r="IX33" s="378"/>
      <c r="IY33" s="378"/>
      <c r="IZ33" s="378"/>
      <c r="JA33" s="378"/>
    </row>
    <row r="34" spans="2:261" s="379" customFormat="1">
      <c r="B34" s="374"/>
      <c r="C34" s="375"/>
      <c r="D34" s="423"/>
      <c r="E34" s="395"/>
      <c r="F34" s="391" t="str">
        <f>"    "&amp;'Planning Template'!F91</f>
        <v xml:space="preserve">    </v>
      </c>
      <c r="G34" s="433"/>
      <c r="H34" s="376"/>
      <c r="I34" s="377"/>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78"/>
      <c r="DC34" s="378"/>
      <c r="DD34" s="378"/>
      <c r="DE34" s="378"/>
      <c r="DF34" s="378"/>
      <c r="DG34" s="378"/>
      <c r="DH34" s="378"/>
      <c r="DI34" s="378"/>
      <c r="DJ34" s="378"/>
      <c r="DK34" s="378"/>
      <c r="DL34" s="378"/>
      <c r="DM34" s="378"/>
      <c r="DN34" s="378"/>
      <c r="DO34" s="378"/>
      <c r="DP34" s="378"/>
      <c r="DQ34" s="378"/>
      <c r="DR34" s="378"/>
      <c r="DS34" s="378"/>
      <c r="DT34" s="378"/>
      <c r="DU34" s="378"/>
      <c r="DV34" s="378"/>
      <c r="DW34" s="378"/>
      <c r="DX34" s="378"/>
      <c r="DY34" s="378"/>
      <c r="DZ34" s="378"/>
      <c r="EA34" s="378"/>
      <c r="EB34" s="378"/>
      <c r="EC34" s="378"/>
      <c r="ED34" s="378"/>
      <c r="EE34" s="378"/>
      <c r="EF34" s="378"/>
      <c r="EG34" s="378"/>
      <c r="EH34" s="378"/>
      <c r="EI34" s="378"/>
      <c r="EJ34" s="378"/>
      <c r="EK34" s="378"/>
      <c r="EL34" s="378"/>
      <c r="EM34" s="378"/>
      <c r="EN34" s="378"/>
      <c r="EO34" s="378"/>
      <c r="EP34" s="378"/>
      <c r="EQ34" s="378"/>
      <c r="ER34" s="378"/>
      <c r="ES34" s="378"/>
      <c r="ET34" s="378"/>
      <c r="EU34" s="378"/>
      <c r="EV34" s="378"/>
      <c r="EW34" s="378"/>
      <c r="EX34" s="378"/>
      <c r="EY34" s="378"/>
      <c r="EZ34" s="378"/>
      <c r="FA34" s="378"/>
      <c r="FB34" s="378"/>
      <c r="FC34" s="378"/>
      <c r="FD34" s="378"/>
      <c r="FE34" s="378"/>
      <c r="FF34" s="378"/>
      <c r="FG34" s="378"/>
      <c r="FH34" s="378"/>
      <c r="FI34" s="378"/>
      <c r="FJ34" s="378"/>
      <c r="FK34" s="378"/>
      <c r="FL34" s="378"/>
      <c r="FM34" s="378"/>
      <c r="FN34" s="378"/>
      <c r="FO34" s="378"/>
      <c r="FP34" s="378"/>
      <c r="FQ34" s="378"/>
      <c r="FR34" s="378"/>
      <c r="FS34" s="378"/>
      <c r="FT34" s="378"/>
      <c r="FU34" s="378"/>
      <c r="FV34" s="378"/>
      <c r="FW34" s="378"/>
      <c r="FX34" s="378"/>
      <c r="FY34" s="378"/>
      <c r="FZ34" s="378"/>
      <c r="GA34" s="378"/>
      <c r="GB34" s="378"/>
      <c r="GC34" s="378"/>
      <c r="GD34" s="378"/>
      <c r="GE34" s="378"/>
      <c r="GF34" s="378"/>
      <c r="GG34" s="378"/>
      <c r="GH34" s="378"/>
      <c r="GI34" s="378"/>
      <c r="GJ34" s="378"/>
      <c r="GK34" s="378"/>
      <c r="GL34" s="378"/>
      <c r="GM34" s="378"/>
      <c r="GN34" s="378"/>
      <c r="GO34" s="378"/>
      <c r="GP34" s="378"/>
      <c r="GQ34" s="378"/>
      <c r="GR34" s="378"/>
      <c r="GS34" s="378"/>
      <c r="GT34" s="378"/>
      <c r="GU34" s="378"/>
      <c r="GV34" s="378"/>
      <c r="GW34" s="378"/>
      <c r="GX34" s="378"/>
      <c r="GY34" s="378"/>
      <c r="GZ34" s="378"/>
      <c r="HA34" s="378"/>
      <c r="HB34" s="378"/>
      <c r="HC34" s="378"/>
      <c r="HD34" s="378"/>
      <c r="HE34" s="378"/>
      <c r="HF34" s="378"/>
      <c r="HG34" s="378"/>
      <c r="HH34" s="378"/>
      <c r="HI34" s="378"/>
      <c r="HJ34" s="378"/>
      <c r="HK34" s="378"/>
      <c r="HL34" s="378"/>
      <c r="HM34" s="378"/>
      <c r="HN34" s="378"/>
      <c r="HO34" s="378"/>
      <c r="HP34" s="378"/>
      <c r="HQ34" s="378"/>
      <c r="HR34" s="378"/>
      <c r="HS34" s="378"/>
      <c r="HT34" s="378"/>
      <c r="HU34" s="378"/>
      <c r="HV34" s="378"/>
      <c r="HW34" s="378"/>
      <c r="HX34" s="378"/>
      <c r="HY34" s="378"/>
      <c r="HZ34" s="378"/>
      <c r="IA34" s="378"/>
      <c r="IB34" s="378"/>
      <c r="IC34" s="378"/>
      <c r="ID34" s="378"/>
      <c r="IE34" s="378"/>
      <c r="IF34" s="378"/>
      <c r="IG34" s="378"/>
      <c r="IH34" s="378"/>
      <c r="II34" s="378"/>
      <c r="IJ34" s="378"/>
      <c r="IK34" s="378"/>
      <c r="IL34" s="378"/>
      <c r="IM34" s="378"/>
      <c r="IN34" s="378"/>
      <c r="IO34" s="378"/>
      <c r="IP34" s="378"/>
      <c r="IQ34" s="378"/>
      <c r="IR34" s="378"/>
      <c r="IS34" s="378"/>
      <c r="IT34" s="378"/>
      <c r="IU34" s="378"/>
      <c r="IV34" s="378"/>
      <c r="IW34" s="378"/>
      <c r="IX34" s="378"/>
      <c r="IY34" s="378"/>
      <c r="IZ34" s="378"/>
      <c r="JA34" s="378"/>
    </row>
    <row r="35" spans="2:261" s="379" customFormat="1" ht="17" thickBot="1">
      <c r="B35" s="374"/>
      <c r="C35" s="375"/>
      <c r="D35" s="426"/>
      <c r="E35" s="434"/>
      <c r="F35" s="434"/>
      <c r="G35" s="435"/>
      <c r="H35" s="376"/>
      <c r="I35" s="377"/>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c r="BW35" s="378"/>
      <c r="BX35" s="378"/>
      <c r="BY35" s="378"/>
      <c r="BZ35" s="378"/>
      <c r="CA35" s="378"/>
      <c r="CB35" s="378"/>
      <c r="CC35" s="378"/>
      <c r="CD35" s="378"/>
      <c r="CE35" s="378"/>
      <c r="CF35" s="378"/>
      <c r="CG35" s="378"/>
      <c r="CH35" s="378"/>
      <c r="CI35" s="378"/>
      <c r="CJ35" s="378"/>
      <c r="CK35" s="378"/>
      <c r="CL35" s="378"/>
      <c r="CM35" s="378"/>
      <c r="CN35" s="378"/>
      <c r="CO35" s="378"/>
      <c r="CP35" s="378"/>
      <c r="CQ35" s="378"/>
      <c r="CR35" s="378"/>
      <c r="CS35" s="378"/>
      <c r="CT35" s="378"/>
      <c r="CU35" s="378"/>
      <c r="CV35" s="378"/>
      <c r="CW35" s="378"/>
      <c r="CX35" s="378"/>
      <c r="CY35" s="378"/>
      <c r="CZ35" s="378"/>
      <c r="DA35" s="378"/>
      <c r="DB35" s="378"/>
      <c r="DC35" s="378"/>
      <c r="DD35" s="378"/>
      <c r="DE35" s="378"/>
      <c r="DF35" s="378"/>
      <c r="DG35" s="378"/>
      <c r="DH35" s="378"/>
      <c r="DI35" s="378"/>
      <c r="DJ35" s="378"/>
      <c r="DK35" s="378"/>
      <c r="DL35" s="378"/>
      <c r="DM35" s="378"/>
      <c r="DN35" s="378"/>
      <c r="DO35" s="378"/>
      <c r="DP35" s="378"/>
      <c r="DQ35" s="378"/>
      <c r="DR35" s="378"/>
      <c r="DS35" s="378"/>
      <c r="DT35" s="378"/>
      <c r="DU35" s="378"/>
      <c r="DV35" s="378"/>
      <c r="DW35" s="378"/>
      <c r="DX35" s="378"/>
      <c r="DY35" s="378"/>
      <c r="DZ35" s="378"/>
      <c r="EA35" s="378"/>
      <c r="EB35" s="378"/>
      <c r="EC35" s="378"/>
      <c r="ED35" s="378"/>
      <c r="EE35" s="378"/>
      <c r="EF35" s="378"/>
      <c r="EG35" s="378"/>
      <c r="EH35" s="378"/>
      <c r="EI35" s="378"/>
      <c r="EJ35" s="378"/>
      <c r="EK35" s="378"/>
      <c r="EL35" s="378"/>
      <c r="EM35" s="378"/>
      <c r="EN35" s="378"/>
      <c r="EO35" s="378"/>
      <c r="EP35" s="378"/>
      <c r="EQ35" s="378"/>
      <c r="ER35" s="378"/>
      <c r="ES35" s="378"/>
      <c r="ET35" s="378"/>
      <c r="EU35" s="378"/>
      <c r="EV35" s="378"/>
      <c r="EW35" s="378"/>
      <c r="EX35" s="378"/>
      <c r="EY35" s="378"/>
      <c r="EZ35" s="378"/>
      <c r="FA35" s="378"/>
      <c r="FB35" s="378"/>
      <c r="FC35" s="378"/>
      <c r="FD35" s="378"/>
      <c r="FE35" s="378"/>
      <c r="FF35" s="378"/>
      <c r="FG35" s="378"/>
      <c r="FH35" s="378"/>
      <c r="FI35" s="378"/>
      <c r="FJ35" s="378"/>
      <c r="FK35" s="378"/>
      <c r="FL35" s="378"/>
      <c r="FM35" s="378"/>
      <c r="FN35" s="378"/>
      <c r="FO35" s="378"/>
      <c r="FP35" s="378"/>
      <c r="FQ35" s="378"/>
      <c r="FR35" s="378"/>
      <c r="FS35" s="378"/>
      <c r="FT35" s="378"/>
      <c r="FU35" s="378"/>
      <c r="FV35" s="378"/>
      <c r="FW35" s="378"/>
      <c r="FX35" s="378"/>
      <c r="FY35" s="378"/>
      <c r="FZ35" s="378"/>
      <c r="GA35" s="378"/>
      <c r="GB35" s="378"/>
      <c r="GC35" s="378"/>
      <c r="GD35" s="378"/>
      <c r="GE35" s="378"/>
      <c r="GF35" s="378"/>
      <c r="GG35" s="378"/>
      <c r="GH35" s="378"/>
      <c r="GI35" s="378"/>
      <c r="GJ35" s="378"/>
      <c r="GK35" s="378"/>
      <c r="GL35" s="378"/>
      <c r="GM35" s="378"/>
      <c r="GN35" s="378"/>
      <c r="GO35" s="378"/>
      <c r="GP35" s="378"/>
      <c r="GQ35" s="378"/>
      <c r="GR35" s="378"/>
      <c r="GS35" s="378"/>
      <c r="GT35" s="378"/>
      <c r="GU35" s="378"/>
      <c r="GV35" s="378"/>
      <c r="GW35" s="378"/>
      <c r="GX35" s="378"/>
      <c r="GY35" s="378"/>
      <c r="GZ35" s="378"/>
      <c r="HA35" s="378"/>
      <c r="HB35" s="378"/>
      <c r="HC35" s="378"/>
      <c r="HD35" s="378"/>
      <c r="HE35" s="378"/>
      <c r="HF35" s="378"/>
      <c r="HG35" s="378"/>
      <c r="HH35" s="378"/>
      <c r="HI35" s="378"/>
      <c r="HJ35" s="378"/>
      <c r="HK35" s="378"/>
      <c r="HL35" s="378"/>
      <c r="HM35" s="378"/>
      <c r="HN35" s="378"/>
      <c r="HO35" s="378"/>
      <c r="HP35" s="378"/>
      <c r="HQ35" s="378"/>
      <c r="HR35" s="378"/>
      <c r="HS35" s="378"/>
      <c r="HT35" s="378"/>
      <c r="HU35" s="378"/>
      <c r="HV35" s="378"/>
      <c r="HW35" s="378"/>
      <c r="HX35" s="378"/>
      <c r="HY35" s="378"/>
      <c r="HZ35" s="378"/>
      <c r="IA35" s="378"/>
      <c r="IB35" s="378"/>
      <c r="IC35" s="378"/>
      <c r="ID35" s="378"/>
      <c r="IE35" s="378"/>
      <c r="IF35" s="378"/>
      <c r="IG35" s="378"/>
      <c r="IH35" s="378"/>
      <c r="II35" s="378"/>
      <c r="IJ35" s="378"/>
      <c r="IK35" s="378"/>
      <c r="IL35" s="378"/>
      <c r="IM35" s="378"/>
      <c r="IN35" s="378"/>
      <c r="IO35" s="378"/>
      <c r="IP35" s="378"/>
      <c r="IQ35" s="378"/>
      <c r="IR35" s="378"/>
      <c r="IS35" s="378"/>
      <c r="IT35" s="378"/>
      <c r="IU35" s="378"/>
      <c r="IV35" s="378"/>
      <c r="IW35" s="378"/>
      <c r="IX35" s="378"/>
      <c r="IY35" s="378"/>
      <c r="IZ35" s="378"/>
      <c r="JA35" s="378"/>
    </row>
    <row r="36" spans="2:261" s="379" customFormat="1">
      <c r="B36" s="374"/>
      <c r="C36" s="375"/>
      <c r="D36" s="403"/>
      <c r="E36" s="416"/>
      <c r="F36" s="416"/>
      <c r="G36" s="418"/>
      <c r="H36" s="376"/>
      <c r="I36" s="377"/>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8"/>
      <c r="AY36" s="378"/>
      <c r="AZ36" s="378"/>
      <c r="BA36" s="378"/>
      <c r="BB36" s="378"/>
      <c r="BC36" s="378"/>
      <c r="BD36" s="378"/>
      <c r="BE36" s="378"/>
      <c r="BF36" s="378"/>
      <c r="BG36" s="378"/>
      <c r="BH36" s="378"/>
      <c r="BI36" s="378"/>
      <c r="BJ36" s="378"/>
      <c r="BK36" s="378"/>
      <c r="BL36" s="378"/>
      <c r="BM36" s="378"/>
      <c r="BN36" s="378"/>
      <c r="BO36" s="378"/>
      <c r="BP36" s="378"/>
      <c r="BQ36" s="378"/>
      <c r="BR36" s="378"/>
      <c r="BS36" s="378"/>
      <c r="BT36" s="378"/>
      <c r="BU36" s="378"/>
      <c r="BV36" s="378"/>
      <c r="BW36" s="378"/>
      <c r="BX36" s="378"/>
      <c r="BY36" s="378"/>
      <c r="BZ36" s="378"/>
      <c r="CA36" s="378"/>
      <c r="CB36" s="378"/>
      <c r="CC36" s="378"/>
      <c r="CD36" s="378"/>
      <c r="CE36" s="378"/>
      <c r="CF36" s="378"/>
      <c r="CG36" s="378"/>
      <c r="CH36" s="378"/>
      <c r="CI36" s="378"/>
      <c r="CJ36" s="378"/>
      <c r="CK36" s="378"/>
      <c r="CL36" s="378"/>
      <c r="CM36" s="378"/>
      <c r="CN36" s="378"/>
      <c r="CO36" s="378"/>
      <c r="CP36" s="378"/>
      <c r="CQ36" s="378"/>
      <c r="CR36" s="378"/>
      <c r="CS36" s="378"/>
      <c r="CT36" s="378"/>
      <c r="CU36" s="378"/>
      <c r="CV36" s="378"/>
      <c r="CW36" s="378"/>
      <c r="CX36" s="378"/>
      <c r="CY36" s="378"/>
      <c r="CZ36" s="378"/>
      <c r="DA36" s="378"/>
      <c r="DB36" s="378"/>
      <c r="DC36" s="378"/>
      <c r="DD36" s="378"/>
      <c r="DE36" s="378"/>
      <c r="DF36" s="378"/>
      <c r="DG36" s="378"/>
      <c r="DH36" s="378"/>
      <c r="DI36" s="378"/>
      <c r="DJ36" s="378"/>
      <c r="DK36" s="378"/>
      <c r="DL36" s="378"/>
      <c r="DM36" s="378"/>
      <c r="DN36" s="378"/>
      <c r="DO36" s="378"/>
      <c r="DP36" s="378"/>
      <c r="DQ36" s="378"/>
      <c r="DR36" s="378"/>
      <c r="DS36" s="378"/>
      <c r="DT36" s="378"/>
      <c r="DU36" s="378"/>
      <c r="DV36" s="378"/>
      <c r="DW36" s="378"/>
      <c r="DX36" s="378"/>
      <c r="DY36" s="378"/>
      <c r="DZ36" s="378"/>
      <c r="EA36" s="378"/>
      <c r="EB36" s="378"/>
      <c r="EC36" s="378"/>
      <c r="ED36" s="378"/>
      <c r="EE36" s="378"/>
      <c r="EF36" s="378"/>
      <c r="EG36" s="378"/>
      <c r="EH36" s="378"/>
      <c r="EI36" s="378"/>
      <c r="EJ36" s="378"/>
      <c r="EK36" s="378"/>
      <c r="EL36" s="378"/>
      <c r="EM36" s="378"/>
      <c r="EN36" s="378"/>
      <c r="EO36" s="378"/>
      <c r="EP36" s="378"/>
      <c r="EQ36" s="378"/>
      <c r="ER36" s="378"/>
      <c r="ES36" s="378"/>
      <c r="ET36" s="378"/>
      <c r="EU36" s="378"/>
      <c r="EV36" s="378"/>
      <c r="EW36" s="378"/>
      <c r="EX36" s="378"/>
      <c r="EY36" s="378"/>
      <c r="EZ36" s="378"/>
      <c r="FA36" s="378"/>
      <c r="FB36" s="378"/>
      <c r="FC36" s="378"/>
      <c r="FD36" s="378"/>
      <c r="FE36" s="378"/>
      <c r="FF36" s="378"/>
      <c r="FG36" s="378"/>
      <c r="FH36" s="378"/>
      <c r="FI36" s="378"/>
      <c r="FJ36" s="378"/>
      <c r="FK36" s="378"/>
      <c r="FL36" s="378"/>
      <c r="FM36" s="378"/>
      <c r="FN36" s="378"/>
      <c r="FO36" s="378"/>
      <c r="FP36" s="378"/>
      <c r="FQ36" s="378"/>
      <c r="FR36" s="378"/>
      <c r="FS36" s="378"/>
      <c r="FT36" s="378"/>
      <c r="FU36" s="378"/>
      <c r="FV36" s="378"/>
      <c r="FW36" s="378"/>
      <c r="FX36" s="378"/>
      <c r="FY36" s="378"/>
      <c r="FZ36" s="378"/>
      <c r="GA36" s="378"/>
      <c r="GB36" s="378"/>
      <c r="GC36" s="378"/>
      <c r="GD36" s="378"/>
      <c r="GE36" s="378"/>
      <c r="GF36" s="378"/>
      <c r="GG36" s="378"/>
      <c r="GH36" s="378"/>
      <c r="GI36" s="378"/>
      <c r="GJ36" s="378"/>
      <c r="GK36" s="378"/>
      <c r="GL36" s="378"/>
      <c r="GM36" s="378"/>
      <c r="GN36" s="378"/>
      <c r="GO36" s="378"/>
      <c r="GP36" s="378"/>
      <c r="GQ36" s="378"/>
      <c r="GR36" s="378"/>
      <c r="GS36" s="378"/>
      <c r="GT36" s="378"/>
      <c r="GU36" s="378"/>
      <c r="GV36" s="378"/>
      <c r="GW36" s="378"/>
      <c r="GX36" s="378"/>
      <c r="GY36" s="378"/>
      <c r="GZ36" s="378"/>
      <c r="HA36" s="378"/>
      <c r="HB36" s="378"/>
      <c r="HC36" s="378"/>
      <c r="HD36" s="378"/>
      <c r="HE36" s="378"/>
      <c r="HF36" s="378"/>
      <c r="HG36" s="378"/>
      <c r="HH36" s="378"/>
      <c r="HI36" s="378"/>
      <c r="HJ36" s="378"/>
      <c r="HK36" s="378"/>
      <c r="HL36" s="378"/>
      <c r="HM36" s="378"/>
      <c r="HN36" s="378"/>
      <c r="HO36" s="378"/>
      <c r="HP36" s="378"/>
      <c r="HQ36" s="378"/>
      <c r="HR36" s="378"/>
      <c r="HS36" s="378"/>
      <c r="HT36" s="378"/>
      <c r="HU36" s="378"/>
      <c r="HV36" s="378"/>
      <c r="HW36" s="378"/>
      <c r="HX36" s="378"/>
      <c r="HY36" s="378"/>
      <c r="HZ36" s="378"/>
      <c r="IA36" s="378"/>
      <c r="IB36" s="378"/>
      <c r="IC36" s="378"/>
      <c r="ID36" s="378"/>
      <c r="IE36" s="378"/>
      <c r="IF36" s="378"/>
      <c r="IG36" s="378"/>
      <c r="IH36" s="378"/>
      <c r="II36" s="378"/>
      <c r="IJ36" s="378"/>
      <c r="IK36" s="378"/>
      <c r="IL36" s="378"/>
      <c r="IM36" s="378"/>
      <c r="IN36" s="378"/>
      <c r="IO36" s="378"/>
      <c r="IP36" s="378"/>
      <c r="IQ36" s="378"/>
      <c r="IR36" s="378"/>
      <c r="IS36" s="378"/>
      <c r="IT36" s="378"/>
      <c r="IU36" s="378"/>
      <c r="IV36" s="378"/>
      <c r="IW36" s="378"/>
      <c r="IX36" s="378"/>
      <c r="IY36" s="378"/>
      <c r="IZ36" s="378"/>
      <c r="JA36" s="378"/>
    </row>
    <row r="37" spans="2:261" s="379" customFormat="1" ht="17" thickBot="1">
      <c r="B37" s="374"/>
      <c r="C37" s="375"/>
      <c r="D37" s="403"/>
      <c r="E37" s="347" t="str">
        <f>'Planning Template'!$F$11&amp;" Objective"</f>
        <v xml:space="preserve"> Objective</v>
      </c>
      <c r="F37" s="438" t="str">
        <f>'Planning Template'!F93</f>
        <v/>
      </c>
      <c r="G37" s="438"/>
      <c r="H37" s="376"/>
      <c r="I37" s="377"/>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8"/>
      <c r="BH37" s="378"/>
      <c r="BI37" s="378"/>
      <c r="BJ37" s="378"/>
      <c r="BK37" s="378"/>
      <c r="BL37" s="378"/>
      <c r="BM37" s="378"/>
      <c r="BN37" s="378"/>
      <c r="BO37" s="378"/>
      <c r="BP37" s="378"/>
      <c r="BQ37" s="378"/>
      <c r="BR37" s="378"/>
      <c r="BS37" s="378"/>
      <c r="BT37" s="378"/>
      <c r="BU37" s="378"/>
      <c r="BV37" s="378"/>
      <c r="BW37" s="378"/>
      <c r="BX37" s="378"/>
      <c r="BY37" s="378"/>
      <c r="BZ37" s="378"/>
      <c r="CA37" s="378"/>
      <c r="CB37" s="378"/>
      <c r="CC37" s="378"/>
      <c r="CD37" s="378"/>
      <c r="CE37" s="378"/>
      <c r="CF37" s="378"/>
      <c r="CG37" s="378"/>
      <c r="CH37" s="378"/>
      <c r="CI37" s="378"/>
      <c r="CJ37" s="378"/>
      <c r="CK37" s="378"/>
      <c r="CL37" s="378"/>
      <c r="CM37" s="378"/>
      <c r="CN37" s="378"/>
      <c r="CO37" s="378"/>
      <c r="CP37" s="378"/>
      <c r="CQ37" s="378"/>
      <c r="CR37" s="378"/>
      <c r="CS37" s="378"/>
      <c r="CT37" s="378"/>
      <c r="CU37" s="378"/>
      <c r="CV37" s="378"/>
      <c r="CW37" s="378"/>
      <c r="CX37" s="378"/>
      <c r="CY37" s="378"/>
      <c r="CZ37" s="378"/>
      <c r="DA37" s="378"/>
      <c r="DB37" s="378"/>
      <c r="DC37" s="378"/>
      <c r="DD37" s="378"/>
      <c r="DE37" s="378"/>
      <c r="DF37" s="378"/>
      <c r="DG37" s="378"/>
      <c r="DH37" s="378"/>
      <c r="DI37" s="378"/>
      <c r="DJ37" s="378"/>
      <c r="DK37" s="378"/>
      <c r="DL37" s="378"/>
      <c r="DM37" s="378"/>
      <c r="DN37" s="378"/>
      <c r="DO37" s="378"/>
      <c r="DP37" s="378"/>
      <c r="DQ37" s="378"/>
      <c r="DR37" s="378"/>
      <c r="DS37" s="378"/>
      <c r="DT37" s="378"/>
      <c r="DU37" s="378"/>
      <c r="DV37" s="378"/>
      <c r="DW37" s="378"/>
      <c r="DX37" s="378"/>
      <c r="DY37" s="378"/>
      <c r="DZ37" s="378"/>
      <c r="EA37" s="378"/>
      <c r="EB37" s="378"/>
      <c r="EC37" s="378"/>
      <c r="ED37" s="378"/>
      <c r="EE37" s="378"/>
      <c r="EF37" s="378"/>
      <c r="EG37" s="378"/>
      <c r="EH37" s="378"/>
      <c r="EI37" s="378"/>
      <c r="EJ37" s="378"/>
      <c r="EK37" s="378"/>
      <c r="EL37" s="378"/>
      <c r="EM37" s="378"/>
      <c r="EN37" s="378"/>
      <c r="EO37" s="378"/>
      <c r="EP37" s="378"/>
      <c r="EQ37" s="378"/>
      <c r="ER37" s="378"/>
      <c r="ES37" s="378"/>
      <c r="ET37" s="378"/>
      <c r="EU37" s="378"/>
      <c r="EV37" s="378"/>
      <c r="EW37" s="378"/>
      <c r="EX37" s="378"/>
      <c r="EY37" s="378"/>
      <c r="EZ37" s="378"/>
      <c r="FA37" s="378"/>
      <c r="FB37" s="378"/>
      <c r="FC37" s="378"/>
      <c r="FD37" s="378"/>
      <c r="FE37" s="378"/>
      <c r="FF37" s="378"/>
      <c r="FG37" s="378"/>
      <c r="FH37" s="378"/>
      <c r="FI37" s="378"/>
      <c r="FJ37" s="378"/>
      <c r="FK37" s="378"/>
      <c r="FL37" s="378"/>
      <c r="FM37" s="378"/>
      <c r="FN37" s="378"/>
      <c r="FO37" s="378"/>
      <c r="FP37" s="378"/>
      <c r="FQ37" s="378"/>
      <c r="FR37" s="378"/>
      <c r="FS37" s="378"/>
      <c r="FT37" s="378"/>
      <c r="FU37" s="378"/>
      <c r="FV37" s="378"/>
      <c r="FW37" s="378"/>
      <c r="FX37" s="378"/>
      <c r="FY37" s="378"/>
      <c r="FZ37" s="378"/>
      <c r="GA37" s="378"/>
      <c r="GB37" s="378"/>
      <c r="GC37" s="378"/>
      <c r="GD37" s="378"/>
      <c r="GE37" s="378"/>
      <c r="GF37" s="378"/>
      <c r="GG37" s="378"/>
      <c r="GH37" s="378"/>
      <c r="GI37" s="378"/>
      <c r="GJ37" s="378"/>
      <c r="GK37" s="378"/>
      <c r="GL37" s="378"/>
      <c r="GM37" s="378"/>
      <c r="GN37" s="378"/>
      <c r="GO37" s="378"/>
      <c r="GP37" s="378"/>
      <c r="GQ37" s="378"/>
      <c r="GR37" s="378"/>
      <c r="GS37" s="378"/>
      <c r="GT37" s="378"/>
      <c r="GU37" s="378"/>
      <c r="GV37" s="378"/>
      <c r="GW37" s="378"/>
      <c r="GX37" s="378"/>
      <c r="GY37" s="378"/>
      <c r="GZ37" s="378"/>
      <c r="HA37" s="378"/>
      <c r="HB37" s="378"/>
      <c r="HC37" s="378"/>
      <c r="HD37" s="378"/>
      <c r="HE37" s="378"/>
      <c r="HF37" s="378"/>
      <c r="HG37" s="378"/>
      <c r="HH37" s="378"/>
      <c r="HI37" s="378"/>
      <c r="HJ37" s="378"/>
      <c r="HK37" s="378"/>
      <c r="HL37" s="378"/>
      <c r="HM37" s="378"/>
      <c r="HN37" s="378"/>
      <c r="HO37" s="378"/>
      <c r="HP37" s="378"/>
      <c r="HQ37" s="378"/>
      <c r="HR37" s="378"/>
      <c r="HS37" s="378"/>
      <c r="HT37" s="378"/>
      <c r="HU37" s="378"/>
      <c r="HV37" s="378"/>
      <c r="HW37" s="378"/>
      <c r="HX37" s="378"/>
      <c r="HY37" s="378"/>
      <c r="HZ37" s="378"/>
      <c r="IA37" s="378"/>
      <c r="IB37" s="378"/>
      <c r="IC37" s="378"/>
      <c r="ID37" s="378"/>
      <c r="IE37" s="378"/>
      <c r="IF37" s="378"/>
      <c r="IG37" s="378"/>
      <c r="IH37" s="378"/>
      <c r="II37" s="378"/>
      <c r="IJ37" s="378"/>
      <c r="IK37" s="378"/>
      <c r="IL37" s="378"/>
      <c r="IM37" s="378"/>
      <c r="IN37" s="378"/>
      <c r="IO37" s="378"/>
      <c r="IP37" s="378"/>
      <c r="IQ37" s="378"/>
      <c r="IR37" s="378"/>
      <c r="IS37" s="378"/>
      <c r="IT37" s="378"/>
      <c r="IU37" s="378"/>
      <c r="IV37" s="378"/>
      <c r="IW37" s="378"/>
      <c r="IX37" s="378"/>
      <c r="IY37" s="378"/>
      <c r="IZ37" s="378"/>
      <c r="JA37" s="378"/>
    </row>
    <row r="38" spans="2:261" s="379" customFormat="1">
      <c r="B38" s="374"/>
      <c r="C38" s="375"/>
      <c r="D38" s="419">
        <f>D33+1</f>
        <v>6</v>
      </c>
      <c r="E38" s="439" t="str">
        <f>"What is the actual action taken from the beginning of the year until the end of "&amp;$F$10&amp;" for objective 3?"</f>
        <v>What is the actual action taken from the beginning of the year until the end of  for objective 3?</v>
      </c>
      <c r="F38" s="440"/>
      <c r="G38" s="441"/>
      <c r="H38" s="376"/>
      <c r="I38" s="377"/>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378"/>
      <c r="BG38" s="378"/>
      <c r="BH38" s="378"/>
      <c r="BI38" s="378"/>
      <c r="BJ38" s="378"/>
      <c r="BK38" s="378"/>
      <c r="BL38" s="378"/>
      <c r="BM38" s="378"/>
      <c r="BN38" s="378"/>
      <c r="BO38" s="378"/>
      <c r="BP38" s="378"/>
      <c r="BQ38" s="378"/>
      <c r="BR38" s="378"/>
      <c r="BS38" s="378"/>
      <c r="BT38" s="378"/>
      <c r="BU38" s="378"/>
      <c r="BV38" s="378"/>
      <c r="BW38" s="378"/>
      <c r="BX38" s="378"/>
      <c r="BY38" s="378"/>
      <c r="BZ38" s="378"/>
      <c r="CA38" s="378"/>
      <c r="CB38" s="378"/>
      <c r="CC38" s="378"/>
      <c r="CD38" s="378"/>
      <c r="CE38" s="378"/>
      <c r="CF38" s="378"/>
      <c r="CG38" s="378"/>
      <c r="CH38" s="378"/>
      <c r="CI38" s="378"/>
      <c r="CJ38" s="378"/>
      <c r="CK38" s="378"/>
      <c r="CL38" s="378"/>
      <c r="CM38" s="378"/>
      <c r="CN38" s="378"/>
      <c r="CO38" s="378"/>
      <c r="CP38" s="378"/>
      <c r="CQ38" s="378"/>
      <c r="CR38" s="378"/>
      <c r="CS38" s="378"/>
      <c r="CT38" s="378"/>
      <c r="CU38" s="378"/>
      <c r="CV38" s="378"/>
      <c r="CW38" s="378"/>
      <c r="CX38" s="378"/>
      <c r="CY38" s="378"/>
      <c r="CZ38" s="378"/>
      <c r="DA38" s="378"/>
      <c r="DB38" s="378"/>
      <c r="DC38" s="378"/>
      <c r="DD38" s="378"/>
      <c r="DE38" s="378"/>
      <c r="DF38" s="378"/>
      <c r="DG38" s="378"/>
      <c r="DH38" s="378"/>
      <c r="DI38" s="378"/>
      <c r="DJ38" s="378"/>
      <c r="DK38" s="378"/>
      <c r="DL38" s="378"/>
      <c r="DM38" s="378"/>
      <c r="DN38" s="378"/>
      <c r="DO38" s="378"/>
      <c r="DP38" s="378"/>
      <c r="DQ38" s="378"/>
      <c r="DR38" s="378"/>
      <c r="DS38" s="378"/>
      <c r="DT38" s="378"/>
      <c r="DU38" s="378"/>
      <c r="DV38" s="378"/>
      <c r="DW38" s="378"/>
      <c r="DX38" s="378"/>
      <c r="DY38" s="378"/>
      <c r="DZ38" s="378"/>
      <c r="EA38" s="378"/>
      <c r="EB38" s="378"/>
      <c r="EC38" s="378"/>
      <c r="ED38" s="378"/>
      <c r="EE38" s="378"/>
      <c r="EF38" s="378"/>
      <c r="EG38" s="378"/>
      <c r="EH38" s="378"/>
      <c r="EI38" s="378"/>
      <c r="EJ38" s="378"/>
      <c r="EK38" s="378"/>
      <c r="EL38" s="378"/>
      <c r="EM38" s="378"/>
      <c r="EN38" s="378"/>
      <c r="EO38" s="378"/>
      <c r="EP38" s="378"/>
      <c r="EQ38" s="378"/>
      <c r="ER38" s="378"/>
      <c r="ES38" s="378"/>
      <c r="ET38" s="378"/>
      <c r="EU38" s="378"/>
      <c r="EV38" s="378"/>
      <c r="EW38" s="378"/>
      <c r="EX38" s="378"/>
      <c r="EY38" s="378"/>
      <c r="EZ38" s="378"/>
      <c r="FA38" s="378"/>
      <c r="FB38" s="378"/>
      <c r="FC38" s="378"/>
      <c r="FD38" s="378"/>
      <c r="FE38" s="378"/>
      <c r="FF38" s="378"/>
      <c r="FG38" s="378"/>
      <c r="FH38" s="378"/>
      <c r="FI38" s="378"/>
      <c r="FJ38" s="378"/>
      <c r="FK38" s="378"/>
      <c r="FL38" s="378"/>
      <c r="FM38" s="378"/>
      <c r="FN38" s="378"/>
      <c r="FO38" s="378"/>
      <c r="FP38" s="378"/>
      <c r="FQ38" s="378"/>
      <c r="FR38" s="378"/>
      <c r="FS38" s="378"/>
      <c r="FT38" s="378"/>
      <c r="FU38" s="378"/>
      <c r="FV38" s="378"/>
      <c r="FW38" s="378"/>
      <c r="FX38" s="378"/>
      <c r="FY38" s="378"/>
      <c r="FZ38" s="378"/>
      <c r="GA38" s="378"/>
      <c r="GB38" s="378"/>
      <c r="GC38" s="378"/>
      <c r="GD38" s="378"/>
      <c r="GE38" s="378"/>
      <c r="GF38" s="378"/>
      <c r="GG38" s="378"/>
      <c r="GH38" s="378"/>
      <c r="GI38" s="378"/>
      <c r="GJ38" s="378"/>
      <c r="GK38" s="378"/>
      <c r="GL38" s="378"/>
      <c r="GM38" s="378"/>
      <c r="GN38" s="378"/>
      <c r="GO38" s="378"/>
      <c r="GP38" s="378"/>
      <c r="GQ38" s="378"/>
      <c r="GR38" s="378"/>
      <c r="GS38" s="378"/>
      <c r="GT38" s="378"/>
      <c r="GU38" s="378"/>
      <c r="GV38" s="378"/>
      <c r="GW38" s="378"/>
      <c r="GX38" s="378"/>
      <c r="GY38" s="378"/>
      <c r="GZ38" s="378"/>
      <c r="HA38" s="378"/>
      <c r="HB38" s="378"/>
      <c r="HC38" s="378"/>
      <c r="HD38" s="378"/>
      <c r="HE38" s="378"/>
      <c r="HF38" s="378"/>
      <c r="HG38" s="378"/>
      <c r="HH38" s="378"/>
      <c r="HI38" s="378"/>
      <c r="HJ38" s="378"/>
      <c r="HK38" s="378"/>
      <c r="HL38" s="378"/>
      <c r="HM38" s="378"/>
      <c r="HN38" s="378"/>
      <c r="HO38" s="378"/>
      <c r="HP38" s="378"/>
      <c r="HQ38" s="378"/>
      <c r="HR38" s="378"/>
      <c r="HS38" s="378"/>
      <c r="HT38" s="378"/>
      <c r="HU38" s="378"/>
      <c r="HV38" s="378"/>
      <c r="HW38" s="378"/>
      <c r="HX38" s="378"/>
      <c r="HY38" s="378"/>
      <c r="HZ38" s="378"/>
      <c r="IA38" s="378"/>
      <c r="IB38" s="378"/>
      <c r="IC38" s="378"/>
      <c r="ID38" s="378"/>
      <c r="IE38" s="378"/>
      <c r="IF38" s="378"/>
      <c r="IG38" s="378"/>
      <c r="IH38" s="378"/>
      <c r="II38" s="378"/>
      <c r="IJ38" s="378"/>
      <c r="IK38" s="378"/>
      <c r="IL38" s="378"/>
      <c r="IM38" s="378"/>
      <c r="IN38" s="378"/>
      <c r="IO38" s="378"/>
      <c r="IP38" s="378"/>
      <c r="IQ38" s="378"/>
      <c r="IR38" s="378"/>
      <c r="IS38" s="378"/>
      <c r="IT38" s="378"/>
      <c r="IU38" s="378"/>
      <c r="IV38" s="378"/>
      <c r="IW38" s="378"/>
      <c r="IX38" s="378"/>
      <c r="IY38" s="378"/>
      <c r="IZ38" s="378"/>
      <c r="JA38" s="378"/>
    </row>
    <row r="39" spans="2:261" s="379" customFormat="1">
      <c r="B39" s="374"/>
      <c r="C39" s="375"/>
      <c r="D39" s="423"/>
      <c r="E39" s="392" t="s">
        <v>5057</v>
      </c>
      <c r="F39" s="390" t="str">
        <f>'Planning Template'!F95&amp;" (starting "&amp;'Planning Template'!F96&amp;")"</f>
        <v xml:space="preserve"> (starting )</v>
      </c>
      <c r="G39" s="432"/>
      <c r="H39" s="376"/>
      <c r="I39" s="377"/>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8"/>
      <c r="DE39" s="378"/>
      <c r="DF39" s="378"/>
      <c r="DG39" s="378"/>
      <c r="DH39" s="378"/>
      <c r="DI39" s="378"/>
      <c r="DJ39" s="378"/>
      <c r="DK39" s="378"/>
      <c r="DL39" s="378"/>
      <c r="DM39" s="378"/>
      <c r="DN39" s="378"/>
      <c r="DO39" s="378"/>
      <c r="DP39" s="378"/>
      <c r="DQ39" s="378"/>
      <c r="DR39" s="378"/>
      <c r="DS39" s="378"/>
      <c r="DT39" s="378"/>
      <c r="DU39" s="378"/>
      <c r="DV39" s="378"/>
      <c r="DW39" s="378"/>
      <c r="DX39" s="378"/>
      <c r="DY39" s="378"/>
      <c r="DZ39" s="378"/>
      <c r="EA39" s="378"/>
      <c r="EB39" s="378"/>
      <c r="EC39" s="378"/>
      <c r="ED39" s="378"/>
      <c r="EE39" s="378"/>
      <c r="EF39" s="378"/>
      <c r="EG39" s="378"/>
      <c r="EH39" s="378"/>
      <c r="EI39" s="378"/>
      <c r="EJ39" s="378"/>
      <c r="EK39" s="378"/>
      <c r="EL39" s="378"/>
      <c r="EM39" s="378"/>
      <c r="EN39" s="378"/>
      <c r="EO39" s="378"/>
      <c r="EP39" s="378"/>
      <c r="EQ39" s="378"/>
      <c r="ER39" s="378"/>
      <c r="ES39" s="378"/>
      <c r="ET39" s="378"/>
      <c r="EU39" s="378"/>
      <c r="EV39" s="378"/>
      <c r="EW39" s="378"/>
      <c r="EX39" s="378"/>
      <c r="EY39" s="378"/>
      <c r="EZ39" s="378"/>
      <c r="FA39" s="378"/>
      <c r="FB39" s="378"/>
      <c r="FC39" s="378"/>
      <c r="FD39" s="378"/>
      <c r="FE39" s="378"/>
      <c r="FF39" s="378"/>
      <c r="FG39" s="378"/>
      <c r="FH39" s="378"/>
      <c r="FI39" s="378"/>
      <c r="FJ39" s="378"/>
      <c r="FK39" s="378"/>
      <c r="FL39" s="378"/>
      <c r="FM39" s="378"/>
      <c r="FN39" s="378"/>
      <c r="FO39" s="378"/>
      <c r="FP39" s="378"/>
      <c r="FQ39" s="378"/>
      <c r="FR39" s="378"/>
      <c r="FS39" s="378"/>
      <c r="FT39" s="378"/>
      <c r="FU39" s="378"/>
      <c r="FV39" s="378"/>
      <c r="FW39" s="378"/>
      <c r="FX39" s="378"/>
      <c r="FY39" s="378"/>
      <c r="FZ39" s="378"/>
      <c r="GA39" s="378"/>
      <c r="GB39" s="378"/>
      <c r="GC39" s="378"/>
      <c r="GD39" s="378"/>
      <c r="GE39" s="378"/>
      <c r="GF39" s="378"/>
      <c r="GG39" s="378"/>
      <c r="GH39" s="378"/>
      <c r="GI39" s="378"/>
      <c r="GJ39" s="378"/>
      <c r="GK39" s="378"/>
      <c r="GL39" s="378"/>
      <c r="GM39" s="378"/>
      <c r="GN39" s="378"/>
      <c r="GO39" s="378"/>
      <c r="GP39" s="378"/>
      <c r="GQ39" s="378"/>
      <c r="GR39" s="378"/>
      <c r="GS39" s="378"/>
      <c r="GT39" s="378"/>
      <c r="GU39" s="378"/>
      <c r="GV39" s="378"/>
      <c r="GW39" s="378"/>
      <c r="GX39" s="378"/>
      <c r="GY39" s="378"/>
      <c r="GZ39" s="378"/>
      <c r="HA39" s="378"/>
      <c r="HB39" s="378"/>
      <c r="HC39" s="378"/>
      <c r="HD39" s="378"/>
      <c r="HE39" s="378"/>
      <c r="HF39" s="378"/>
      <c r="HG39" s="378"/>
      <c r="HH39" s="378"/>
      <c r="HI39" s="378"/>
      <c r="HJ39" s="378"/>
      <c r="HK39" s="378"/>
      <c r="HL39" s="378"/>
      <c r="HM39" s="378"/>
      <c r="HN39" s="378"/>
      <c r="HO39" s="378"/>
      <c r="HP39" s="378"/>
      <c r="HQ39" s="378"/>
      <c r="HR39" s="378"/>
      <c r="HS39" s="378"/>
      <c r="HT39" s="378"/>
      <c r="HU39" s="378"/>
      <c r="HV39" s="378"/>
      <c r="HW39" s="378"/>
      <c r="HX39" s="378"/>
      <c r="HY39" s="378"/>
      <c r="HZ39" s="378"/>
      <c r="IA39" s="378"/>
      <c r="IB39" s="378"/>
      <c r="IC39" s="378"/>
      <c r="ID39" s="378"/>
      <c r="IE39" s="378"/>
      <c r="IF39" s="378"/>
      <c r="IG39" s="378"/>
      <c r="IH39" s="378"/>
      <c r="II39" s="378"/>
      <c r="IJ39" s="378"/>
      <c r="IK39" s="378"/>
      <c r="IL39" s="378"/>
      <c r="IM39" s="378"/>
      <c r="IN39" s="378"/>
      <c r="IO39" s="378"/>
      <c r="IP39" s="378"/>
      <c r="IQ39" s="378"/>
      <c r="IR39" s="378"/>
      <c r="IS39" s="378"/>
      <c r="IT39" s="378"/>
      <c r="IU39" s="378"/>
      <c r="IV39" s="378"/>
      <c r="IW39" s="378"/>
      <c r="IX39" s="378"/>
      <c r="IY39" s="378"/>
      <c r="IZ39" s="378"/>
      <c r="JA39" s="378"/>
    </row>
    <row r="40" spans="2:261" s="379" customFormat="1">
      <c r="B40" s="374"/>
      <c r="C40" s="375"/>
      <c r="D40" s="423"/>
      <c r="E40" s="389" t="s">
        <v>7</v>
      </c>
      <c r="F40" s="395"/>
      <c r="G40" s="424"/>
      <c r="H40" s="376"/>
      <c r="I40" s="377"/>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8"/>
      <c r="AY40" s="378"/>
      <c r="AZ40" s="378"/>
      <c r="BA40" s="378"/>
      <c r="BB40" s="378"/>
      <c r="BC40" s="378"/>
      <c r="BD40" s="378"/>
      <c r="BE40" s="378"/>
      <c r="BF40" s="378"/>
      <c r="BG40" s="378"/>
      <c r="BH40" s="378"/>
      <c r="BI40" s="378"/>
      <c r="BJ40" s="378"/>
      <c r="BK40" s="378"/>
      <c r="BL40" s="378"/>
      <c r="BM40" s="378"/>
      <c r="BN40" s="378"/>
      <c r="BO40" s="378"/>
      <c r="BP40" s="378"/>
      <c r="BQ40" s="378"/>
      <c r="BR40" s="378"/>
      <c r="BS40" s="378"/>
      <c r="BT40" s="378"/>
      <c r="BU40" s="378"/>
      <c r="BV40" s="378"/>
      <c r="BW40" s="378"/>
      <c r="BX40" s="378"/>
      <c r="BY40" s="378"/>
      <c r="BZ40" s="378"/>
      <c r="CA40" s="378"/>
      <c r="CB40" s="378"/>
      <c r="CC40" s="378"/>
      <c r="CD40" s="378"/>
      <c r="CE40" s="378"/>
      <c r="CF40" s="378"/>
      <c r="CG40" s="378"/>
      <c r="CH40" s="378"/>
      <c r="CI40" s="378"/>
      <c r="CJ40" s="378"/>
      <c r="CK40" s="378"/>
      <c r="CL40" s="378"/>
      <c r="CM40" s="378"/>
      <c r="CN40" s="378"/>
      <c r="CO40" s="378"/>
      <c r="CP40" s="378"/>
      <c r="CQ40" s="378"/>
      <c r="CR40" s="378"/>
      <c r="CS40" s="378"/>
      <c r="CT40" s="378"/>
      <c r="CU40" s="378"/>
      <c r="CV40" s="378"/>
      <c r="CW40" s="378"/>
      <c r="CX40" s="378"/>
      <c r="CY40" s="378"/>
      <c r="CZ40" s="378"/>
      <c r="DA40" s="378"/>
      <c r="DB40" s="378"/>
      <c r="DC40" s="378"/>
      <c r="DD40" s="378"/>
      <c r="DE40" s="378"/>
      <c r="DF40" s="378"/>
      <c r="DG40" s="378"/>
      <c r="DH40" s="378"/>
      <c r="DI40" s="378"/>
      <c r="DJ40" s="378"/>
      <c r="DK40" s="378"/>
      <c r="DL40" s="378"/>
      <c r="DM40" s="378"/>
      <c r="DN40" s="378"/>
      <c r="DO40" s="378"/>
      <c r="DP40" s="378"/>
      <c r="DQ40" s="378"/>
      <c r="DR40" s="378"/>
      <c r="DS40" s="378"/>
      <c r="DT40" s="378"/>
      <c r="DU40" s="378"/>
      <c r="DV40" s="378"/>
      <c r="DW40" s="378"/>
      <c r="DX40" s="378"/>
      <c r="DY40" s="378"/>
      <c r="DZ40" s="378"/>
      <c r="EA40" s="378"/>
      <c r="EB40" s="378"/>
      <c r="EC40" s="378"/>
      <c r="ED40" s="378"/>
      <c r="EE40" s="378"/>
      <c r="EF40" s="378"/>
      <c r="EG40" s="378"/>
      <c r="EH40" s="378"/>
      <c r="EI40" s="378"/>
      <c r="EJ40" s="378"/>
      <c r="EK40" s="378"/>
      <c r="EL40" s="378"/>
      <c r="EM40" s="378"/>
      <c r="EN40" s="378"/>
      <c r="EO40" s="378"/>
      <c r="EP40" s="378"/>
      <c r="EQ40" s="378"/>
      <c r="ER40" s="378"/>
      <c r="ES40" s="378"/>
      <c r="ET40" s="378"/>
      <c r="EU40" s="378"/>
      <c r="EV40" s="378"/>
      <c r="EW40" s="378"/>
      <c r="EX40" s="378"/>
      <c r="EY40" s="378"/>
      <c r="EZ40" s="378"/>
      <c r="FA40" s="378"/>
      <c r="FB40" s="378"/>
      <c r="FC40" s="378"/>
      <c r="FD40" s="378"/>
      <c r="FE40" s="378"/>
      <c r="FF40" s="378"/>
      <c r="FG40" s="378"/>
      <c r="FH40" s="378"/>
      <c r="FI40" s="378"/>
      <c r="FJ40" s="378"/>
      <c r="FK40" s="378"/>
      <c r="FL40" s="378"/>
      <c r="FM40" s="378"/>
      <c r="FN40" s="378"/>
      <c r="FO40" s="378"/>
      <c r="FP40" s="378"/>
      <c r="FQ40" s="378"/>
      <c r="FR40" s="378"/>
      <c r="FS40" s="378"/>
      <c r="FT40" s="378"/>
      <c r="FU40" s="378"/>
      <c r="FV40" s="378"/>
      <c r="FW40" s="378"/>
      <c r="FX40" s="378"/>
      <c r="FY40" s="378"/>
      <c r="FZ40" s="378"/>
      <c r="GA40" s="378"/>
      <c r="GB40" s="378"/>
      <c r="GC40" s="378"/>
      <c r="GD40" s="378"/>
      <c r="GE40" s="378"/>
      <c r="GF40" s="378"/>
      <c r="GG40" s="378"/>
      <c r="GH40" s="378"/>
      <c r="GI40" s="378"/>
      <c r="GJ40" s="378"/>
      <c r="GK40" s="378"/>
      <c r="GL40" s="378"/>
      <c r="GM40" s="378"/>
      <c r="GN40" s="378"/>
      <c r="GO40" s="378"/>
      <c r="GP40" s="378"/>
      <c r="GQ40" s="378"/>
      <c r="GR40" s="378"/>
      <c r="GS40" s="378"/>
      <c r="GT40" s="378"/>
      <c r="GU40" s="378"/>
      <c r="GV40" s="378"/>
      <c r="GW40" s="378"/>
      <c r="GX40" s="378"/>
      <c r="GY40" s="378"/>
      <c r="GZ40" s="378"/>
      <c r="HA40" s="378"/>
      <c r="HB40" s="378"/>
      <c r="HC40" s="378"/>
      <c r="HD40" s="378"/>
      <c r="HE40" s="378"/>
      <c r="HF40" s="378"/>
      <c r="HG40" s="378"/>
      <c r="HH40" s="378"/>
      <c r="HI40" s="378"/>
      <c r="HJ40" s="378"/>
      <c r="HK40" s="378"/>
      <c r="HL40" s="378"/>
      <c r="HM40" s="378"/>
      <c r="HN40" s="378"/>
      <c r="HO40" s="378"/>
      <c r="HP40" s="378"/>
      <c r="HQ40" s="378"/>
      <c r="HR40" s="378"/>
      <c r="HS40" s="378"/>
      <c r="HT40" s="378"/>
      <c r="HU40" s="378"/>
      <c r="HV40" s="378"/>
      <c r="HW40" s="378"/>
      <c r="HX40" s="378"/>
      <c r="HY40" s="378"/>
      <c r="HZ40" s="378"/>
      <c r="IA40" s="378"/>
      <c r="IB40" s="378"/>
      <c r="IC40" s="378"/>
      <c r="ID40" s="378"/>
      <c r="IE40" s="378"/>
      <c r="IF40" s="378"/>
      <c r="IG40" s="378"/>
      <c r="IH40" s="378"/>
      <c r="II40" s="378"/>
      <c r="IJ40" s="378"/>
      <c r="IK40" s="378"/>
      <c r="IL40" s="378"/>
      <c r="IM40" s="378"/>
      <c r="IN40" s="378"/>
      <c r="IO40" s="378"/>
      <c r="IP40" s="378"/>
      <c r="IQ40" s="378"/>
      <c r="IR40" s="378"/>
      <c r="IS40" s="378"/>
      <c r="IT40" s="378"/>
      <c r="IU40" s="378"/>
      <c r="IV40" s="378"/>
      <c r="IW40" s="378"/>
      <c r="IX40" s="378"/>
      <c r="IY40" s="378"/>
      <c r="IZ40" s="378"/>
      <c r="JA40" s="378"/>
    </row>
    <row r="41" spans="2:261" s="379" customFormat="1">
      <c r="B41" s="374"/>
      <c r="C41" s="375"/>
      <c r="D41" s="423"/>
      <c r="E41" s="389" t="s">
        <v>5058</v>
      </c>
      <c r="F41" s="390" t="str">
        <f>'Planning Template'!F97&amp;" (starting "&amp;'Planning Template'!F98&amp;")"</f>
        <v xml:space="preserve"> (starting )</v>
      </c>
      <c r="G41" s="424"/>
      <c r="H41" s="376"/>
      <c r="I41" s="377"/>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8"/>
      <c r="AP41" s="378"/>
      <c r="AQ41" s="378"/>
      <c r="AR41" s="378"/>
      <c r="AS41" s="378"/>
      <c r="AT41" s="378"/>
      <c r="AU41" s="378"/>
      <c r="AV41" s="378"/>
      <c r="AW41" s="378"/>
      <c r="AX41" s="378"/>
      <c r="AY41" s="378"/>
      <c r="AZ41" s="378"/>
      <c r="BA41" s="378"/>
      <c r="BB41" s="378"/>
      <c r="BC41" s="378"/>
      <c r="BD41" s="378"/>
      <c r="BE41" s="378"/>
      <c r="BF41" s="378"/>
      <c r="BG41" s="378"/>
      <c r="BH41" s="378"/>
      <c r="BI41" s="378"/>
      <c r="BJ41" s="378"/>
      <c r="BK41" s="378"/>
      <c r="BL41" s="378"/>
      <c r="BM41" s="378"/>
      <c r="BN41" s="378"/>
      <c r="BO41" s="378"/>
      <c r="BP41" s="378"/>
      <c r="BQ41" s="378"/>
      <c r="BR41" s="378"/>
      <c r="BS41" s="378"/>
      <c r="BT41" s="378"/>
      <c r="BU41" s="378"/>
      <c r="BV41" s="378"/>
      <c r="BW41" s="378"/>
      <c r="BX41" s="378"/>
      <c r="BY41" s="378"/>
      <c r="BZ41" s="378"/>
      <c r="CA41" s="378"/>
      <c r="CB41" s="378"/>
      <c r="CC41" s="378"/>
      <c r="CD41" s="378"/>
      <c r="CE41" s="378"/>
      <c r="CF41" s="378"/>
      <c r="CG41" s="378"/>
      <c r="CH41" s="378"/>
      <c r="CI41" s="378"/>
      <c r="CJ41" s="378"/>
      <c r="CK41" s="378"/>
      <c r="CL41" s="378"/>
      <c r="CM41" s="378"/>
      <c r="CN41" s="378"/>
      <c r="CO41" s="378"/>
      <c r="CP41" s="378"/>
      <c r="CQ41" s="378"/>
      <c r="CR41" s="378"/>
      <c r="CS41" s="378"/>
      <c r="CT41" s="378"/>
      <c r="CU41" s="378"/>
      <c r="CV41" s="378"/>
      <c r="CW41" s="378"/>
      <c r="CX41" s="378"/>
      <c r="CY41" s="378"/>
      <c r="CZ41" s="378"/>
      <c r="DA41" s="378"/>
      <c r="DB41" s="378"/>
      <c r="DC41" s="378"/>
      <c r="DD41" s="378"/>
      <c r="DE41" s="378"/>
      <c r="DF41" s="378"/>
      <c r="DG41" s="378"/>
      <c r="DH41" s="378"/>
      <c r="DI41" s="378"/>
      <c r="DJ41" s="378"/>
      <c r="DK41" s="378"/>
      <c r="DL41" s="378"/>
      <c r="DM41" s="378"/>
      <c r="DN41" s="378"/>
      <c r="DO41" s="378"/>
      <c r="DP41" s="378"/>
      <c r="DQ41" s="378"/>
      <c r="DR41" s="378"/>
      <c r="DS41" s="378"/>
      <c r="DT41" s="378"/>
      <c r="DU41" s="378"/>
      <c r="DV41" s="378"/>
      <c r="DW41" s="378"/>
      <c r="DX41" s="378"/>
      <c r="DY41" s="378"/>
      <c r="DZ41" s="378"/>
      <c r="EA41" s="378"/>
      <c r="EB41" s="378"/>
      <c r="EC41" s="378"/>
      <c r="ED41" s="378"/>
      <c r="EE41" s="378"/>
      <c r="EF41" s="378"/>
      <c r="EG41" s="378"/>
      <c r="EH41" s="378"/>
      <c r="EI41" s="378"/>
      <c r="EJ41" s="378"/>
      <c r="EK41" s="378"/>
      <c r="EL41" s="378"/>
      <c r="EM41" s="378"/>
      <c r="EN41" s="378"/>
      <c r="EO41" s="378"/>
      <c r="EP41" s="378"/>
      <c r="EQ41" s="378"/>
      <c r="ER41" s="378"/>
      <c r="ES41" s="378"/>
      <c r="ET41" s="378"/>
      <c r="EU41" s="378"/>
      <c r="EV41" s="378"/>
      <c r="EW41" s="378"/>
      <c r="EX41" s="378"/>
      <c r="EY41" s="378"/>
      <c r="EZ41" s="378"/>
      <c r="FA41" s="378"/>
      <c r="FB41" s="378"/>
      <c r="FC41" s="378"/>
      <c r="FD41" s="378"/>
      <c r="FE41" s="378"/>
      <c r="FF41" s="378"/>
      <c r="FG41" s="378"/>
      <c r="FH41" s="378"/>
      <c r="FI41" s="378"/>
      <c r="FJ41" s="378"/>
      <c r="FK41" s="378"/>
      <c r="FL41" s="378"/>
      <c r="FM41" s="378"/>
      <c r="FN41" s="378"/>
      <c r="FO41" s="378"/>
      <c r="FP41" s="378"/>
      <c r="FQ41" s="378"/>
      <c r="FR41" s="378"/>
      <c r="FS41" s="378"/>
      <c r="FT41" s="378"/>
      <c r="FU41" s="378"/>
      <c r="FV41" s="378"/>
      <c r="FW41" s="378"/>
      <c r="FX41" s="378"/>
      <c r="FY41" s="378"/>
      <c r="FZ41" s="378"/>
      <c r="GA41" s="378"/>
      <c r="GB41" s="378"/>
      <c r="GC41" s="378"/>
      <c r="GD41" s="378"/>
      <c r="GE41" s="378"/>
      <c r="GF41" s="378"/>
      <c r="GG41" s="378"/>
      <c r="GH41" s="378"/>
      <c r="GI41" s="378"/>
      <c r="GJ41" s="378"/>
      <c r="GK41" s="378"/>
      <c r="GL41" s="378"/>
      <c r="GM41" s="378"/>
      <c r="GN41" s="378"/>
      <c r="GO41" s="378"/>
      <c r="GP41" s="378"/>
      <c r="GQ41" s="378"/>
      <c r="GR41" s="378"/>
      <c r="GS41" s="378"/>
      <c r="GT41" s="378"/>
      <c r="GU41" s="378"/>
      <c r="GV41" s="378"/>
      <c r="GW41" s="378"/>
      <c r="GX41" s="378"/>
      <c r="GY41" s="378"/>
      <c r="GZ41" s="378"/>
      <c r="HA41" s="378"/>
      <c r="HB41" s="378"/>
      <c r="HC41" s="378"/>
      <c r="HD41" s="378"/>
      <c r="HE41" s="378"/>
      <c r="HF41" s="378"/>
      <c r="HG41" s="378"/>
      <c r="HH41" s="378"/>
      <c r="HI41" s="378"/>
      <c r="HJ41" s="378"/>
      <c r="HK41" s="378"/>
      <c r="HL41" s="378"/>
      <c r="HM41" s="378"/>
      <c r="HN41" s="378"/>
      <c r="HO41" s="378"/>
      <c r="HP41" s="378"/>
      <c r="HQ41" s="378"/>
      <c r="HR41" s="378"/>
      <c r="HS41" s="378"/>
      <c r="HT41" s="378"/>
      <c r="HU41" s="378"/>
      <c r="HV41" s="378"/>
      <c r="HW41" s="378"/>
      <c r="HX41" s="378"/>
      <c r="HY41" s="378"/>
      <c r="HZ41" s="378"/>
      <c r="IA41" s="378"/>
      <c r="IB41" s="378"/>
      <c r="IC41" s="378"/>
      <c r="ID41" s="378"/>
      <c r="IE41" s="378"/>
      <c r="IF41" s="378"/>
      <c r="IG41" s="378"/>
      <c r="IH41" s="378"/>
      <c r="II41" s="378"/>
      <c r="IJ41" s="378"/>
      <c r="IK41" s="378"/>
      <c r="IL41" s="378"/>
      <c r="IM41" s="378"/>
      <c r="IN41" s="378"/>
      <c r="IO41" s="378"/>
      <c r="IP41" s="378"/>
      <c r="IQ41" s="378"/>
      <c r="IR41" s="378"/>
      <c r="IS41" s="378"/>
      <c r="IT41" s="378"/>
      <c r="IU41" s="378"/>
      <c r="IV41" s="378"/>
      <c r="IW41" s="378"/>
      <c r="IX41" s="378"/>
      <c r="IY41" s="378"/>
      <c r="IZ41" s="378"/>
      <c r="JA41" s="378"/>
    </row>
    <row r="42" spans="2:261" s="379" customFormat="1">
      <c r="B42" s="374"/>
      <c r="C42" s="375"/>
      <c r="D42" s="423"/>
      <c r="E42" s="389" t="s">
        <v>7</v>
      </c>
      <c r="F42" s="395"/>
      <c r="G42" s="424"/>
      <c r="H42" s="376"/>
      <c r="I42" s="377"/>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8"/>
      <c r="AY42" s="378"/>
      <c r="AZ42" s="378"/>
      <c r="BA42" s="378"/>
      <c r="BB42" s="378"/>
      <c r="BC42" s="378"/>
      <c r="BD42" s="378"/>
      <c r="BE42" s="378"/>
      <c r="BF42" s="378"/>
      <c r="BG42" s="378"/>
      <c r="BH42" s="378"/>
      <c r="BI42" s="378"/>
      <c r="BJ42" s="378"/>
      <c r="BK42" s="378"/>
      <c r="BL42" s="378"/>
      <c r="BM42" s="378"/>
      <c r="BN42" s="378"/>
      <c r="BO42" s="378"/>
      <c r="BP42" s="378"/>
      <c r="BQ42" s="378"/>
      <c r="BR42" s="378"/>
      <c r="BS42" s="378"/>
      <c r="BT42" s="378"/>
      <c r="BU42" s="378"/>
      <c r="BV42" s="378"/>
      <c r="BW42" s="378"/>
      <c r="BX42" s="378"/>
      <c r="BY42" s="378"/>
      <c r="BZ42" s="378"/>
      <c r="CA42" s="378"/>
      <c r="CB42" s="378"/>
      <c r="CC42" s="378"/>
      <c r="CD42" s="378"/>
      <c r="CE42" s="378"/>
      <c r="CF42" s="378"/>
      <c r="CG42" s="378"/>
      <c r="CH42" s="378"/>
      <c r="CI42" s="378"/>
      <c r="CJ42" s="378"/>
      <c r="CK42" s="378"/>
      <c r="CL42" s="378"/>
      <c r="CM42" s="378"/>
      <c r="CN42" s="378"/>
      <c r="CO42" s="378"/>
      <c r="CP42" s="378"/>
      <c r="CQ42" s="378"/>
      <c r="CR42" s="378"/>
      <c r="CS42" s="378"/>
      <c r="CT42" s="378"/>
      <c r="CU42" s="378"/>
      <c r="CV42" s="378"/>
      <c r="CW42" s="378"/>
      <c r="CX42" s="378"/>
      <c r="CY42" s="378"/>
      <c r="CZ42" s="378"/>
      <c r="DA42" s="378"/>
      <c r="DB42" s="378"/>
      <c r="DC42" s="378"/>
      <c r="DD42" s="378"/>
      <c r="DE42" s="378"/>
      <c r="DF42" s="378"/>
      <c r="DG42" s="378"/>
      <c r="DH42" s="378"/>
      <c r="DI42" s="378"/>
      <c r="DJ42" s="378"/>
      <c r="DK42" s="378"/>
      <c r="DL42" s="378"/>
      <c r="DM42" s="378"/>
      <c r="DN42" s="378"/>
      <c r="DO42" s="378"/>
      <c r="DP42" s="378"/>
      <c r="DQ42" s="378"/>
      <c r="DR42" s="378"/>
      <c r="DS42" s="378"/>
      <c r="DT42" s="378"/>
      <c r="DU42" s="378"/>
      <c r="DV42" s="378"/>
      <c r="DW42" s="378"/>
      <c r="DX42" s="378"/>
      <c r="DY42" s="378"/>
      <c r="DZ42" s="378"/>
      <c r="EA42" s="378"/>
      <c r="EB42" s="378"/>
      <c r="EC42" s="378"/>
      <c r="ED42" s="378"/>
      <c r="EE42" s="378"/>
      <c r="EF42" s="378"/>
      <c r="EG42" s="378"/>
      <c r="EH42" s="378"/>
      <c r="EI42" s="378"/>
      <c r="EJ42" s="378"/>
      <c r="EK42" s="378"/>
      <c r="EL42" s="378"/>
      <c r="EM42" s="378"/>
      <c r="EN42" s="378"/>
      <c r="EO42" s="378"/>
      <c r="EP42" s="378"/>
      <c r="EQ42" s="378"/>
      <c r="ER42" s="378"/>
      <c r="ES42" s="378"/>
      <c r="ET42" s="378"/>
      <c r="EU42" s="378"/>
      <c r="EV42" s="378"/>
      <c r="EW42" s="378"/>
      <c r="EX42" s="378"/>
      <c r="EY42" s="378"/>
      <c r="EZ42" s="378"/>
      <c r="FA42" s="378"/>
      <c r="FB42" s="378"/>
      <c r="FC42" s="378"/>
      <c r="FD42" s="378"/>
      <c r="FE42" s="378"/>
      <c r="FF42" s="378"/>
      <c r="FG42" s="378"/>
      <c r="FH42" s="378"/>
      <c r="FI42" s="378"/>
      <c r="FJ42" s="378"/>
      <c r="FK42" s="378"/>
      <c r="FL42" s="378"/>
      <c r="FM42" s="378"/>
      <c r="FN42" s="378"/>
      <c r="FO42" s="378"/>
      <c r="FP42" s="378"/>
      <c r="FQ42" s="378"/>
      <c r="FR42" s="378"/>
      <c r="FS42" s="378"/>
      <c r="FT42" s="378"/>
      <c r="FU42" s="378"/>
      <c r="FV42" s="378"/>
      <c r="FW42" s="378"/>
      <c r="FX42" s="378"/>
      <c r="FY42" s="378"/>
      <c r="FZ42" s="378"/>
      <c r="GA42" s="378"/>
      <c r="GB42" s="378"/>
      <c r="GC42" s="378"/>
      <c r="GD42" s="378"/>
      <c r="GE42" s="378"/>
      <c r="GF42" s="378"/>
      <c r="GG42" s="378"/>
      <c r="GH42" s="378"/>
      <c r="GI42" s="378"/>
      <c r="GJ42" s="378"/>
      <c r="GK42" s="378"/>
      <c r="GL42" s="378"/>
      <c r="GM42" s="378"/>
      <c r="GN42" s="378"/>
      <c r="GO42" s="378"/>
      <c r="GP42" s="378"/>
      <c r="GQ42" s="378"/>
      <c r="GR42" s="378"/>
      <c r="GS42" s="378"/>
      <c r="GT42" s="378"/>
      <c r="GU42" s="378"/>
      <c r="GV42" s="378"/>
      <c r="GW42" s="378"/>
      <c r="GX42" s="378"/>
      <c r="GY42" s="378"/>
      <c r="GZ42" s="378"/>
      <c r="HA42" s="378"/>
      <c r="HB42" s="378"/>
      <c r="HC42" s="378"/>
      <c r="HD42" s="378"/>
      <c r="HE42" s="378"/>
      <c r="HF42" s="378"/>
      <c r="HG42" s="378"/>
      <c r="HH42" s="378"/>
      <c r="HI42" s="378"/>
      <c r="HJ42" s="378"/>
      <c r="HK42" s="378"/>
      <c r="HL42" s="378"/>
      <c r="HM42" s="378"/>
      <c r="HN42" s="378"/>
      <c r="HO42" s="378"/>
      <c r="HP42" s="378"/>
      <c r="HQ42" s="378"/>
      <c r="HR42" s="378"/>
      <c r="HS42" s="378"/>
      <c r="HT42" s="378"/>
      <c r="HU42" s="378"/>
      <c r="HV42" s="378"/>
      <c r="HW42" s="378"/>
      <c r="HX42" s="378"/>
      <c r="HY42" s="378"/>
      <c r="HZ42" s="378"/>
      <c r="IA42" s="378"/>
      <c r="IB42" s="378"/>
      <c r="IC42" s="378"/>
      <c r="ID42" s="378"/>
      <c r="IE42" s="378"/>
      <c r="IF42" s="378"/>
      <c r="IG42" s="378"/>
      <c r="IH42" s="378"/>
      <c r="II42" s="378"/>
      <c r="IJ42" s="378"/>
      <c r="IK42" s="378"/>
      <c r="IL42" s="378"/>
      <c r="IM42" s="378"/>
      <c r="IN42" s="378"/>
      <c r="IO42" s="378"/>
      <c r="IP42" s="378"/>
      <c r="IQ42" s="378"/>
      <c r="IR42" s="378"/>
      <c r="IS42" s="378"/>
      <c r="IT42" s="378"/>
      <c r="IU42" s="378"/>
      <c r="IV42" s="378"/>
      <c r="IW42" s="378"/>
      <c r="IX42" s="378"/>
      <c r="IY42" s="378"/>
      <c r="IZ42" s="378"/>
      <c r="JA42" s="378"/>
    </row>
    <row r="43" spans="2:261" s="379" customFormat="1">
      <c r="B43" s="374"/>
      <c r="C43" s="375"/>
      <c r="D43" s="423"/>
      <c r="E43" s="389" t="s">
        <v>5059</v>
      </c>
      <c r="F43" s="390" t="str">
        <f>'Planning Template'!F99&amp;" (starting "&amp;'Planning Template'!F100&amp;")"</f>
        <v xml:space="preserve"> (starting )</v>
      </c>
      <c r="G43" s="424"/>
      <c r="H43" s="376"/>
      <c r="I43" s="377"/>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8"/>
      <c r="AY43" s="378"/>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c r="BW43" s="378"/>
      <c r="BX43" s="378"/>
      <c r="BY43" s="378"/>
      <c r="BZ43" s="378"/>
      <c r="CA43" s="378"/>
      <c r="CB43" s="378"/>
      <c r="CC43" s="378"/>
      <c r="CD43" s="378"/>
      <c r="CE43" s="378"/>
      <c r="CF43" s="378"/>
      <c r="CG43" s="378"/>
      <c r="CH43" s="378"/>
      <c r="CI43" s="378"/>
      <c r="CJ43" s="378"/>
      <c r="CK43" s="378"/>
      <c r="CL43" s="378"/>
      <c r="CM43" s="378"/>
      <c r="CN43" s="378"/>
      <c r="CO43" s="378"/>
      <c r="CP43" s="378"/>
      <c r="CQ43" s="378"/>
      <c r="CR43" s="378"/>
      <c r="CS43" s="378"/>
      <c r="CT43" s="378"/>
      <c r="CU43" s="378"/>
      <c r="CV43" s="378"/>
      <c r="CW43" s="378"/>
      <c r="CX43" s="378"/>
      <c r="CY43" s="378"/>
      <c r="CZ43" s="378"/>
      <c r="DA43" s="378"/>
      <c r="DB43" s="378"/>
      <c r="DC43" s="378"/>
      <c r="DD43" s="378"/>
      <c r="DE43" s="378"/>
      <c r="DF43" s="378"/>
      <c r="DG43" s="378"/>
      <c r="DH43" s="378"/>
      <c r="DI43" s="378"/>
      <c r="DJ43" s="378"/>
      <c r="DK43" s="378"/>
      <c r="DL43" s="378"/>
      <c r="DM43" s="378"/>
      <c r="DN43" s="378"/>
      <c r="DO43" s="378"/>
      <c r="DP43" s="378"/>
      <c r="DQ43" s="378"/>
      <c r="DR43" s="378"/>
      <c r="DS43" s="378"/>
      <c r="DT43" s="378"/>
      <c r="DU43" s="378"/>
      <c r="DV43" s="378"/>
      <c r="DW43" s="378"/>
      <c r="DX43" s="378"/>
      <c r="DY43" s="378"/>
      <c r="DZ43" s="378"/>
      <c r="EA43" s="378"/>
      <c r="EB43" s="378"/>
      <c r="EC43" s="378"/>
      <c r="ED43" s="378"/>
      <c r="EE43" s="378"/>
      <c r="EF43" s="378"/>
      <c r="EG43" s="378"/>
      <c r="EH43" s="378"/>
      <c r="EI43" s="378"/>
      <c r="EJ43" s="378"/>
      <c r="EK43" s="378"/>
      <c r="EL43" s="378"/>
      <c r="EM43" s="378"/>
      <c r="EN43" s="378"/>
      <c r="EO43" s="378"/>
      <c r="EP43" s="378"/>
      <c r="EQ43" s="378"/>
      <c r="ER43" s="378"/>
      <c r="ES43" s="378"/>
      <c r="ET43" s="378"/>
      <c r="EU43" s="378"/>
      <c r="EV43" s="378"/>
      <c r="EW43" s="378"/>
      <c r="EX43" s="378"/>
      <c r="EY43" s="378"/>
      <c r="EZ43" s="378"/>
      <c r="FA43" s="378"/>
      <c r="FB43" s="378"/>
      <c r="FC43" s="378"/>
      <c r="FD43" s="378"/>
      <c r="FE43" s="378"/>
      <c r="FF43" s="378"/>
      <c r="FG43" s="378"/>
      <c r="FH43" s="378"/>
      <c r="FI43" s="378"/>
      <c r="FJ43" s="378"/>
      <c r="FK43" s="378"/>
      <c r="FL43" s="378"/>
      <c r="FM43" s="378"/>
      <c r="FN43" s="378"/>
      <c r="FO43" s="378"/>
      <c r="FP43" s="378"/>
      <c r="FQ43" s="378"/>
      <c r="FR43" s="378"/>
      <c r="FS43" s="378"/>
      <c r="FT43" s="378"/>
      <c r="FU43" s="378"/>
      <c r="FV43" s="378"/>
      <c r="FW43" s="378"/>
      <c r="FX43" s="378"/>
      <c r="FY43" s="378"/>
      <c r="FZ43" s="378"/>
      <c r="GA43" s="378"/>
      <c r="GB43" s="378"/>
      <c r="GC43" s="378"/>
      <c r="GD43" s="378"/>
      <c r="GE43" s="378"/>
      <c r="GF43" s="378"/>
      <c r="GG43" s="378"/>
      <c r="GH43" s="378"/>
      <c r="GI43" s="378"/>
      <c r="GJ43" s="378"/>
      <c r="GK43" s="378"/>
      <c r="GL43" s="378"/>
      <c r="GM43" s="378"/>
      <c r="GN43" s="378"/>
      <c r="GO43" s="378"/>
      <c r="GP43" s="378"/>
      <c r="GQ43" s="378"/>
      <c r="GR43" s="378"/>
      <c r="GS43" s="378"/>
      <c r="GT43" s="378"/>
      <c r="GU43" s="378"/>
      <c r="GV43" s="378"/>
      <c r="GW43" s="378"/>
      <c r="GX43" s="378"/>
      <c r="GY43" s="378"/>
      <c r="GZ43" s="378"/>
      <c r="HA43" s="378"/>
      <c r="HB43" s="378"/>
      <c r="HC43" s="378"/>
      <c r="HD43" s="378"/>
      <c r="HE43" s="378"/>
      <c r="HF43" s="378"/>
      <c r="HG43" s="378"/>
      <c r="HH43" s="378"/>
      <c r="HI43" s="378"/>
      <c r="HJ43" s="378"/>
      <c r="HK43" s="378"/>
      <c r="HL43" s="378"/>
      <c r="HM43" s="378"/>
      <c r="HN43" s="378"/>
      <c r="HO43" s="378"/>
      <c r="HP43" s="378"/>
      <c r="HQ43" s="378"/>
      <c r="HR43" s="378"/>
      <c r="HS43" s="378"/>
      <c r="HT43" s="378"/>
      <c r="HU43" s="378"/>
      <c r="HV43" s="378"/>
      <c r="HW43" s="378"/>
      <c r="HX43" s="378"/>
      <c r="HY43" s="378"/>
      <c r="HZ43" s="378"/>
      <c r="IA43" s="378"/>
      <c r="IB43" s="378"/>
      <c r="IC43" s="378"/>
      <c r="ID43" s="378"/>
      <c r="IE43" s="378"/>
      <c r="IF43" s="378"/>
      <c r="IG43" s="378"/>
      <c r="IH43" s="378"/>
      <c r="II43" s="378"/>
      <c r="IJ43" s="378"/>
      <c r="IK43" s="378"/>
      <c r="IL43" s="378"/>
      <c r="IM43" s="378"/>
      <c r="IN43" s="378"/>
      <c r="IO43" s="378"/>
      <c r="IP43" s="378"/>
      <c r="IQ43" s="378"/>
      <c r="IR43" s="378"/>
      <c r="IS43" s="378"/>
      <c r="IT43" s="378"/>
      <c r="IU43" s="378"/>
      <c r="IV43" s="378"/>
      <c r="IW43" s="378"/>
      <c r="IX43" s="378"/>
      <c r="IY43" s="378"/>
      <c r="IZ43" s="378"/>
      <c r="JA43" s="378"/>
    </row>
    <row r="44" spans="2:261" s="379" customFormat="1">
      <c r="B44" s="374"/>
      <c r="C44" s="375"/>
      <c r="D44" s="423"/>
      <c r="E44" s="389" t="s">
        <v>7</v>
      </c>
      <c r="F44" s="395"/>
      <c r="G44" s="424"/>
      <c r="H44" s="376"/>
      <c r="I44" s="377"/>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c r="BW44" s="378"/>
      <c r="BX44" s="378"/>
      <c r="BY44" s="378"/>
      <c r="BZ44" s="378"/>
      <c r="CA44" s="378"/>
      <c r="CB44" s="378"/>
      <c r="CC44" s="378"/>
      <c r="CD44" s="378"/>
      <c r="CE44" s="378"/>
      <c r="CF44" s="378"/>
      <c r="CG44" s="378"/>
      <c r="CH44" s="378"/>
      <c r="CI44" s="378"/>
      <c r="CJ44" s="378"/>
      <c r="CK44" s="378"/>
      <c r="CL44" s="378"/>
      <c r="CM44" s="378"/>
      <c r="CN44" s="378"/>
      <c r="CO44" s="378"/>
      <c r="CP44" s="378"/>
      <c r="CQ44" s="378"/>
      <c r="CR44" s="378"/>
      <c r="CS44" s="378"/>
      <c r="CT44" s="378"/>
      <c r="CU44" s="378"/>
      <c r="CV44" s="378"/>
      <c r="CW44" s="378"/>
      <c r="CX44" s="378"/>
      <c r="CY44" s="378"/>
      <c r="CZ44" s="378"/>
      <c r="DA44" s="378"/>
      <c r="DB44" s="378"/>
      <c r="DC44" s="378"/>
      <c r="DD44" s="378"/>
      <c r="DE44" s="378"/>
      <c r="DF44" s="378"/>
      <c r="DG44" s="378"/>
      <c r="DH44" s="378"/>
      <c r="DI44" s="378"/>
      <c r="DJ44" s="378"/>
      <c r="DK44" s="378"/>
      <c r="DL44" s="378"/>
      <c r="DM44" s="378"/>
      <c r="DN44" s="378"/>
      <c r="DO44" s="378"/>
      <c r="DP44" s="378"/>
      <c r="DQ44" s="378"/>
      <c r="DR44" s="378"/>
      <c r="DS44" s="378"/>
      <c r="DT44" s="378"/>
      <c r="DU44" s="378"/>
      <c r="DV44" s="378"/>
      <c r="DW44" s="378"/>
      <c r="DX44" s="378"/>
      <c r="DY44" s="378"/>
      <c r="DZ44" s="378"/>
      <c r="EA44" s="378"/>
      <c r="EB44" s="378"/>
      <c r="EC44" s="378"/>
      <c r="ED44" s="378"/>
      <c r="EE44" s="378"/>
      <c r="EF44" s="378"/>
      <c r="EG44" s="378"/>
      <c r="EH44" s="378"/>
      <c r="EI44" s="378"/>
      <c r="EJ44" s="378"/>
      <c r="EK44" s="378"/>
      <c r="EL44" s="378"/>
      <c r="EM44" s="378"/>
      <c r="EN44" s="378"/>
      <c r="EO44" s="378"/>
      <c r="EP44" s="378"/>
      <c r="EQ44" s="378"/>
      <c r="ER44" s="378"/>
      <c r="ES44" s="378"/>
      <c r="ET44" s="378"/>
      <c r="EU44" s="378"/>
      <c r="EV44" s="378"/>
      <c r="EW44" s="378"/>
      <c r="EX44" s="378"/>
      <c r="EY44" s="378"/>
      <c r="EZ44" s="378"/>
      <c r="FA44" s="378"/>
      <c r="FB44" s="378"/>
      <c r="FC44" s="378"/>
      <c r="FD44" s="378"/>
      <c r="FE44" s="378"/>
      <c r="FF44" s="378"/>
      <c r="FG44" s="378"/>
      <c r="FH44" s="378"/>
      <c r="FI44" s="378"/>
      <c r="FJ44" s="378"/>
      <c r="FK44" s="378"/>
      <c r="FL44" s="378"/>
      <c r="FM44" s="378"/>
      <c r="FN44" s="378"/>
      <c r="FO44" s="378"/>
      <c r="FP44" s="378"/>
      <c r="FQ44" s="378"/>
      <c r="FR44" s="378"/>
      <c r="FS44" s="378"/>
      <c r="FT44" s="378"/>
      <c r="FU44" s="378"/>
      <c r="FV44" s="378"/>
      <c r="FW44" s="378"/>
      <c r="FX44" s="378"/>
      <c r="FY44" s="378"/>
      <c r="FZ44" s="378"/>
      <c r="GA44" s="378"/>
      <c r="GB44" s="378"/>
      <c r="GC44" s="378"/>
      <c r="GD44" s="378"/>
      <c r="GE44" s="378"/>
      <c r="GF44" s="378"/>
      <c r="GG44" s="378"/>
      <c r="GH44" s="378"/>
      <c r="GI44" s="378"/>
      <c r="GJ44" s="378"/>
      <c r="GK44" s="378"/>
      <c r="GL44" s="378"/>
      <c r="GM44" s="378"/>
      <c r="GN44" s="378"/>
      <c r="GO44" s="378"/>
      <c r="GP44" s="378"/>
      <c r="GQ44" s="378"/>
      <c r="GR44" s="378"/>
      <c r="GS44" s="378"/>
      <c r="GT44" s="378"/>
      <c r="GU44" s="378"/>
      <c r="GV44" s="378"/>
      <c r="GW44" s="378"/>
      <c r="GX44" s="378"/>
      <c r="GY44" s="378"/>
      <c r="GZ44" s="378"/>
      <c r="HA44" s="378"/>
      <c r="HB44" s="378"/>
      <c r="HC44" s="378"/>
      <c r="HD44" s="378"/>
      <c r="HE44" s="378"/>
      <c r="HF44" s="378"/>
      <c r="HG44" s="378"/>
      <c r="HH44" s="378"/>
      <c r="HI44" s="378"/>
      <c r="HJ44" s="378"/>
      <c r="HK44" s="378"/>
      <c r="HL44" s="378"/>
      <c r="HM44" s="378"/>
      <c r="HN44" s="378"/>
      <c r="HO44" s="378"/>
      <c r="HP44" s="378"/>
      <c r="HQ44" s="378"/>
      <c r="HR44" s="378"/>
      <c r="HS44" s="378"/>
      <c r="HT44" s="378"/>
      <c r="HU44" s="378"/>
      <c r="HV44" s="378"/>
      <c r="HW44" s="378"/>
      <c r="HX44" s="378"/>
      <c r="HY44" s="378"/>
      <c r="HZ44" s="378"/>
      <c r="IA44" s="378"/>
      <c r="IB44" s="378"/>
      <c r="IC44" s="378"/>
      <c r="ID44" s="378"/>
      <c r="IE44" s="378"/>
      <c r="IF44" s="378"/>
      <c r="IG44" s="378"/>
      <c r="IH44" s="378"/>
      <c r="II44" s="378"/>
      <c r="IJ44" s="378"/>
      <c r="IK44" s="378"/>
      <c r="IL44" s="378"/>
      <c r="IM44" s="378"/>
      <c r="IN44" s="378"/>
      <c r="IO44" s="378"/>
      <c r="IP44" s="378"/>
      <c r="IQ44" s="378"/>
      <c r="IR44" s="378"/>
      <c r="IS44" s="378"/>
      <c r="IT44" s="378"/>
      <c r="IU44" s="378"/>
      <c r="IV44" s="378"/>
      <c r="IW44" s="378"/>
      <c r="IX44" s="378"/>
      <c r="IY44" s="378"/>
      <c r="IZ44" s="378"/>
      <c r="JA44" s="378"/>
    </row>
    <row r="45" spans="2:261" s="379" customFormat="1">
      <c r="B45" s="374"/>
      <c r="C45" s="375"/>
      <c r="D45" s="423">
        <f>D38+1</f>
        <v>7</v>
      </c>
      <c r="E45" s="396" t="s">
        <v>5061</v>
      </c>
      <c r="F45" s="390"/>
      <c r="G45" s="433"/>
      <c r="H45" s="376"/>
      <c r="I45" s="377"/>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378"/>
      <c r="BP45" s="378"/>
      <c r="BQ45" s="378"/>
      <c r="BR45" s="378"/>
      <c r="BS45" s="378"/>
      <c r="BT45" s="378"/>
      <c r="BU45" s="378"/>
      <c r="BV45" s="378"/>
      <c r="BW45" s="378"/>
      <c r="BX45" s="378"/>
      <c r="BY45" s="378"/>
      <c r="BZ45" s="378"/>
      <c r="CA45" s="378"/>
      <c r="CB45" s="378"/>
      <c r="CC45" s="378"/>
      <c r="CD45" s="378"/>
      <c r="CE45" s="378"/>
      <c r="CF45" s="378"/>
      <c r="CG45" s="378"/>
      <c r="CH45" s="378"/>
      <c r="CI45" s="378"/>
      <c r="CJ45" s="378"/>
      <c r="CK45" s="378"/>
      <c r="CL45" s="378"/>
      <c r="CM45" s="378"/>
      <c r="CN45" s="378"/>
      <c r="CO45" s="378"/>
      <c r="CP45" s="378"/>
      <c r="CQ45" s="378"/>
      <c r="CR45" s="378"/>
      <c r="CS45" s="378"/>
      <c r="CT45" s="378"/>
      <c r="CU45" s="378"/>
      <c r="CV45" s="378"/>
      <c r="CW45" s="378"/>
      <c r="CX45" s="378"/>
      <c r="CY45" s="378"/>
      <c r="CZ45" s="378"/>
      <c r="DA45" s="378"/>
      <c r="DB45" s="378"/>
      <c r="DC45" s="378"/>
      <c r="DD45" s="378"/>
      <c r="DE45" s="378"/>
      <c r="DF45" s="378"/>
      <c r="DG45" s="378"/>
      <c r="DH45" s="378"/>
      <c r="DI45" s="378"/>
      <c r="DJ45" s="378"/>
      <c r="DK45" s="378"/>
      <c r="DL45" s="378"/>
      <c r="DM45" s="378"/>
      <c r="DN45" s="378"/>
      <c r="DO45" s="378"/>
      <c r="DP45" s="378"/>
      <c r="DQ45" s="378"/>
      <c r="DR45" s="378"/>
      <c r="DS45" s="378"/>
      <c r="DT45" s="378"/>
      <c r="DU45" s="378"/>
      <c r="DV45" s="378"/>
      <c r="DW45" s="378"/>
      <c r="DX45" s="378"/>
      <c r="DY45" s="378"/>
      <c r="DZ45" s="378"/>
      <c r="EA45" s="378"/>
      <c r="EB45" s="378"/>
      <c r="EC45" s="378"/>
      <c r="ED45" s="378"/>
      <c r="EE45" s="378"/>
      <c r="EF45" s="378"/>
      <c r="EG45" s="378"/>
      <c r="EH45" s="378"/>
      <c r="EI45" s="378"/>
      <c r="EJ45" s="378"/>
      <c r="EK45" s="378"/>
      <c r="EL45" s="378"/>
      <c r="EM45" s="378"/>
      <c r="EN45" s="378"/>
      <c r="EO45" s="378"/>
      <c r="EP45" s="378"/>
      <c r="EQ45" s="378"/>
      <c r="ER45" s="378"/>
      <c r="ES45" s="378"/>
      <c r="ET45" s="378"/>
      <c r="EU45" s="378"/>
      <c r="EV45" s="378"/>
      <c r="EW45" s="378"/>
      <c r="EX45" s="378"/>
      <c r="EY45" s="378"/>
      <c r="EZ45" s="378"/>
      <c r="FA45" s="378"/>
      <c r="FB45" s="378"/>
      <c r="FC45" s="378"/>
      <c r="FD45" s="378"/>
      <c r="FE45" s="378"/>
      <c r="FF45" s="378"/>
      <c r="FG45" s="378"/>
      <c r="FH45" s="378"/>
      <c r="FI45" s="378"/>
      <c r="FJ45" s="378"/>
      <c r="FK45" s="378"/>
      <c r="FL45" s="378"/>
      <c r="FM45" s="378"/>
      <c r="FN45" s="378"/>
      <c r="FO45" s="378"/>
      <c r="FP45" s="378"/>
      <c r="FQ45" s="378"/>
      <c r="FR45" s="378"/>
      <c r="FS45" s="378"/>
      <c r="FT45" s="378"/>
      <c r="FU45" s="378"/>
      <c r="FV45" s="378"/>
      <c r="FW45" s="378"/>
      <c r="FX45" s="378"/>
      <c r="FY45" s="378"/>
      <c r="FZ45" s="378"/>
      <c r="GA45" s="378"/>
      <c r="GB45" s="378"/>
      <c r="GC45" s="378"/>
      <c r="GD45" s="378"/>
      <c r="GE45" s="378"/>
      <c r="GF45" s="378"/>
      <c r="GG45" s="378"/>
      <c r="GH45" s="378"/>
      <c r="GI45" s="378"/>
      <c r="GJ45" s="378"/>
      <c r="GK45" s="378"/>
      <c r="GL45" s="378"/>
      <c r="GM45" s="378"/>
      <c r="GN45" s="378"/>
      <c r="GO45" s="378"/>
      <c r="GP45" s="378"/>
      <c r="GQ45" s="378"/>
      <c r="GR45" s="378"/>
      <c r="GS45" s="378"/>
      <c r="GT45" s="378"/>
      <c r="GU45" s="378"/>
      <c r="GV45" s="378"/>
      <c r="GW45" s="378"/>
      <c r="GX45" s="378"/>
      <c r="GY45" s="378"/>
      <c r="GZ45" s="378"/>
      <c r="HA45" s="378"/>
      <c r="HB45" s="378"/>
      <c r="HC45" s="378"/>
      <c r="HD45" s="378"/>
      <c r="HE45" s="378"/>
      <c r="HF45" s="378"/>
      <c r="HG45" s="378"/>
      <c r="HH45" s="378"/>
      <c r="HI45" s="378"/>
      <c r="HJ45" s="378"/>
      <c r="HK45" s="378"/>
      <c r="HL45" s="378"/>
      <c r="HM45" s="378"/>
      <c r="HN45" s="378"/>
      <c r="HO45" s="378"/>
      <c r="HP45" s="378"/>
      <c r="HQ45" s="378"/>
      <c r="HR45" s="378"/>
      <c r="HS45" s="378"/>
      <c r="HT45" s="378"/>
      <c r="HU45" s="378"/>
      <c r="HV45" s="378"/>
      <c r="HW45" s="378"/>
      <c r="HX45" s="378"/>
      <c r="HY45" s="378"/>
      <c r="HZ45" s="378"/>
      <c r="IA45" s="378"/>
      <c r="IB45" s="378"/>
      <c r="IC45" s="378"/>
      <c r="ID45" s="378"/>
      <c r="IE45" s="378"/>
      <c r="IF45" s="378"/>
      <c r="IG45" s="378"/>
      <c r="IH45" s="378"/>
      <c r="II45" s="378"/>
      <c r="IJ45" s="378"/>
      <c r="IK45" s="378"/>
      <c r="IL45" s="378"/>
      <c r="IM45" s="378"/>
      <c r="IN45" s="378"/>
      <c r="IO45" s="378"/>
      <c r="IP45" s="378"/>
      <c r="IQ45" s="378"/>
      <c r="IR45" s="378"/>
      <c r="IS45" s="378"/>
      <c r="IT45" s="378"/>
      <c r="IU45" s="378"/>
      <c r="IV45" s="378"/>
      <c r="IW45" s="378"/>
      <c r="IX45" s="378"/>
      <c r="IY45" s="378"/>
      <c r="IZ45" s="378"/>
      <c r="JA45" s="378"/>
    </row>
    <row r="46" spans="2:261" s="379" customFormat="1">
      <c r="B46" s="374"/>
      <c r="C46" s="375"/>
      <c r="D46" s="423"/>
      <c r="E46" s="395"/>
      <c r="F46" s="391" t="str">
        <f>"    "&amp;'Planning Template'!F101</f>
        <v xml:space="preserve">    </v>
      </c>
      <c r="G46" s="433"/>
      <c r="H46" s="376"/>
      <c r="I46" s="377"/>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78"/>
      <c r="DC46" s="378"/>
      <c r="DD46" s="378"/>
      <c r="DE46" s="378"/>
      <c r="DF46" s="378"/>
      <c r="DG46" s="378"/>
      <c r="DH46" s="378"/>
      <c r="DI46" s="378"/>
      <c r="DJ46" s="378"/>
      <c r="DK46" s="378"/>
      <c r="DL46" s="378"/>
      <c r="DM46" s="378"/>
      <c r="DN46" s="378"/>
      <c r="DO46" s="378"/>
      <c r="DP46" s="378"/>
      <c r="DQ46" s="378"/>
      <c r="DR46" s="378"/>
      <c r="DS46" s="378"/>
      <c r="DT46" s="378"/>
      <c r="DU46" s="378"/>
      <c r="DV46" s="378"/>
      <c r="DW46" s="378"/>
      <c r="DX46" s="378"/>
      <c r="DY46" s="378"/>
      <c r="DZ46" s="378"/>
      <c r="EA46" s="378"/>
      <c r="EB46" s="378"/>
      <c r="EC46" s="378"/>
      <c r="ED46" s="378"/>
      <c r="EE46" s="378"/>
      <c r="EF46" s="378"/>
      <c r="EG46" s="378"/>
      <c r="EH46" s="378"/>
      <c r="EI46" s="378"/>
      <c r="EJ46" s="378"/>
      <c r="EK46" s="378"/>
      <c r="EL46" s="378"/>
      <c r="EM46" s="378"/>
      <c r="EN46" s="378"/>
      <c r="EO46" s="378"/>
      <c r="EP46" s="378"/>
      <c r="EQ46" s="378"/>
      <c r="ER46" s="378"/>
      <c r="ES46" s="378"/>
      <c r="ET46" s="378"/>
      <c r="EU46" s="378"/>
      <c r="EV46" s="378"/>
      <c r="EW46" s="378"/>
      <c r="EX46" s="378"/>
      <c r="EY46" s="378"/>
      <c r="EZ46" s="378"/>
      <c r="FA46" s="378"/>
      <c r="FB46" s="378"/>
      <c r="FC46" s="378"/>
      <c r="FD46" s="378"/>
      <c r="FE46" s="378"/>
      <c r="FF46" s="378"/>
      <c r="FG46" s="378"/>
      <c r="FH46" s="378"/>
      <c r="FI46" s="378"/>
      <c r="FJ46" s="378"/>
      <c r="FK46" s="378"/>
      <c r="FL46" s="378"/>
      <c r="FM46" s="378"/>
      <c r="FN46" s="378"/>
      <c r="FO46" s="378"/>
      <c r="FP46" s="378"/>
      <c r="FQ46" s="378"/>
      <c r="FR46" s="378"/>
      <c r="FS46" s="378"/>
      <c r="FT46" s="378"/>
      <c r="FU46" s="378"/>
      <c r="FV46" s="378"/>
      <c r="FW46" s="378"/>
      <c r="FX46" s="378"/>
      <c r="FY46" s="378"/>
      <c r="FZ46" s="378"/>
      <c r="GA46" s="378"/>
      <c r="GB46" s="378"/>
      <c r="GC46" s="378"/>
      <c r="GD46" s="378"/>
      <c r="GE46" s="378"/>
      <c r="GF46" s="378"/>
      <c r="GG46" s="378"/>
      <c r="GH46" s="378"/>
      <c r="GI46" s="378"/>
      <c r="GJ46" s="378"/>
      <c r="GK46" s="378"/>
      <c r="GL46" s="378"/>
      <c r="GM46" s="378"/>
      <c r="GN46" s="378"/>
      <c r="GO46" s="378"/>
      <c r="GP46" s="378"/>
      <c r="GQ46" s="378"/>
      <c r="GR46" s="378"/>
      <c r="GS46" s="378"/>
      <c r="GT46" s="378"/>
      <c r="GU46" s="378"/>
      <c r="GV46" s="378"/>
      <c r="GW46" s="378"/>
      <c r="GX46" s="378"/>
      <c r="GY46" s="378"/>
      <c r="GZ46" s="378"/>
      <c r="HA46" s="378"/>
      <c r="HB46" s="378"/>
      <c r="HC46" s="378"/>
      <c r="HD46" s="378"/>
      <c r="HE46" s="378"/>
      <c r="HF46" s="378"/>
      <c r="HG46" s="378"/>
      <c r="HH46" s="378"/>
      <c r="HI46" s="378"/>
      <c r="HJ46" s="378"/>
      <c r="HK46" s="378"/>
      <c r="HL46" s="378"/>
      <c r="HM46" s="378"/>
      <c r="HN46" s="378"/>
      <c r="HO46" s="378"/>
      <c r="HP46" s="378"/>
      <c r="HQ46" s="378"/>
      <c r="HR46" s="378"/>
      <c r="HS46" s="378"/>
      <c r="HT46" s="378"/>
      <c r="HU46" s="378"/>
      <c r="HV46" s="378"/>
      <c r="HW46" s="378"/>
      <c r="HX46" s="378"/>
      <c r="HY46" s="378"/>
      <c r="HZ46" s="378"/>
      <c r="IA46" s="378"/>
      <c r="IB46" s="378"/>
      <c r="IC46" s="378"/>
      <c r="ID46" s="378"/>
      <c r="IE46" s="378"/>
      <c r="IF46" s="378"/>
      <c r="IG46" s="378"/>
      <c r="IH46" s="378"/>
      <c r="II46" s="378"/>
      <c r="IJ46" s="378"/>
      <c r="IK46" s="378"/>
      <c r="IL46" s="378"/>
      <c r="IM46" s="378"/>
      <c r="IN46" s="378"/>
      <c r="IO46" s="378"/>
      <c r="IP46" s="378"/>
      <c r="IQ46" s="378"/>
      <c r="IR46" s="378"/>
      <c r="IS46" s="378"/>
      <c r="IT46" s="378"/>
      <c r="IU46" s="378"/>
      <c r="IV46" s="378"/>
      <c r="IW46" s="378"/>
      <c r="IX46" s="378"/>
      <c r="IY46" s="378"/>
      <c r="IZ46" s="378"/>
      <c r="JA46" s="378"/>
    </row>
    <row r="47" spans="2:261" s="379" customFormat="1" ht="17" thickBot="1">
      <c r="B47" s="374"/>
      <c r="C47" s="375"/>
      <c r="D47" s="426"/>
      <c r="E47" s="434"/>
      <c r="F47" s="434"/>
      <c r="G47" s="435"/>
      <c r="H47" s="376"/>
      <c r="I47" s="377"/>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8"/>
      <c r="BR47" s="378"/>
      <c r="BS47" s="378"/>
      <c r="BT47" s="378"/>
      <c r="BU47" s="378"/>
      <c r="BV47" s="378"/>
      <c r="BW47" s="378"/>
      <c r="BX47" s="378"/>
      <c r="BY47" s="378"/>
      <c r="BZ47" s="378"/>
      <c r="CA47" s="378"/>
      <c r="CB47" s="378"/>
      <c r="CC47" s="378"/>
      <c r="CD47" s="378"/>
      <c r="CE47" s="378"/>
      <c r="CF47" s="378"/>
      <c r="CG47" s="378"/>
      <c r="CH47" s="378"/>
      <c r="CI47" s="378"/>
      <c r="CJ47" s="378"/>
      <c r="CK47" s="378"/>
      <c r="CL47" s="378"/>
      <c r="CM47" s="378"/>
      <c r="CN47" s="378"/>
      <c r="CO47" s="378"/>
      <c r="CP47" s="378"/>
      <c r="CQ47" s="378"/>
      <c r="CR47" s="378"/>
      <c r="CS47" s="378"/>
      <c r="CT47" s="378"/>
      <c r="CU47" s="378"/>
      <c r="CV47" s="378"/>
      <c r="CW47" s="378"/>
      <c r="CX47" s="378"/>
      <c r="CY47" s="378"/>
      <c r="CZ47" s="378"/>
      <c r="DA47" s="378"/>
      <c r="DB47" s="378"/>
      <c r="DC47" s="378"/>
      <c r="DD47" s="378"/>
      <c r="DE47" s="378"/>
      <c r="DF47" s="378"/>
      <c r="DG47" s="378"/>
      <c r="DH47" s="378"/>
      <c r="DI47" s="378"/>
      <c r="DJ47" s="378"/>
      <c r="DK47" s="378"/>
      <c r="DL47" s="378"/>
      <c r="DM47" s="378"/>
      <c r="DN47" s="378"/>
      <c r="DO47" s="378"/>
      <c r="DP47" s="378"/>
      <c r="DQ47" s="378"/>
      <c r="DR47" s="378"/>
      <c r="DS47" s="378"/>
      <c r="DT47" s="378"/>
      <c r="DU47" s="378"/>
      <c r="DV47" s="378"/>
      <c r="DW47" s="378"/>
      <c r="DX47" s="378"/>
      <c r="DY47" s="378"/>
      <c r="DZ47" s="378"/>
      <c r="EA47" s="378"/>
      <c r="EB47" s="378"/>
      <c r="EC47" s="378"/>
      <c r="ED47" s="378"/>
      <c r="EE47" s="378"/>
      <c r="EF47" s="378"/>
      <c r="EG47" s="378"/>
      <c r="EH47" s="378"/>
      <c r="EI47" s="378"/>
      <c r="EJ47" s="378"/>
      <c r="EK47" s="378"/>
      <c r="EL47" s="378"/>
      <c r="EM47" s="378"/>
      <c r="EN47" s="378"/>
      <c r="EO47" s="378"/>
      <c r="EP47" s="378"/>
      <c r="EQ47" s="378"/>
      <c r="ER47" s="378"/>
      <c r="ES47" s="378"/>
      <c r="ET47" s="378"/>
      <c r="EU47" s="378"/>
      <c r="EV47" s="378"/>
      <c r="EW47" s="378"/>
      <c r="EX47" s="378"/>
      <c r="EY47" s="378"/>
      <c r="EZ47" s="378"/>
      <c r="FA47" s="378"/>
      <c r="FB47" s="378"/>
      <c r="FC47" s="378"/>
      <c r="FD47" s="378"/>
      <c r="FE47" s="378"/>
      <c r="FF47" s="378"/>
      <c r="FG47" s="378"/>
      <c r="FH47" s="378"/>
      <c r="FI47" s="378"/>
      <c r="FJ47" s="378"/>
      <c r="FK47" s="378"/>
      <c r="FL47" s="378"/>
      <c r="FM47" s="378"/>
      <c r="FN47" s="378"/>
      <c r="FO47" s="378"/>
      <c r="FP47" s="378"/>
      <c r="FQ47" s="378"/>
      <c r="FR47" s="378"/>
      <c r="FS47" s="378"/>
      <c r="FT47" s="378"/>
      <c r="FU47" s="378"/>
      <c r="FV47" s="378"/>
      <c r="FW47" s="378"/>
      <c r="FX47" s="378"/>
      <c r="FY47" s="378"/>
      <c r="FZ47" s="378"/>
      <c r="GA47" s="378"/>
      <c r="GB47" s="378"/>
      <c r="GC47" s="378"/>
      <c r="GD47" s="378"/>
      <c r="GE47" s="378"/>
      <c r="GF47" s="378"/>
      <c r="GG47" s="378"/>
      <c r="GH47" s="378"/>
      <c r="GI47" s="378"/>
      <c r="GJ47" s="378"/>
      <c r="GK47" s="378"/>
      <c r="GL47" s="378"/>
      <c r="GM47" s="378"/>
      <c r="GN47" s="378"/>
      <c r="GO47" s="378"/>
      <c r="GP47" s="378"/>
      <c r="GQ47" s="378"/>
      <c r="GR47" s="378"/>
      <c r="GS47" s="378"/>
      <c r="GT47" s="378"/>
      <c r="GU47" s="378"/>
      <c r="GV47" s="378"/>
      <c r="GW47" s="378"/>
      <c r="GX47" s="378"/>
      <c r="GY47" s="378"/>
      <c r="GZ47" s="378"/>
      <c r="HA47" s="378"/>
      <c r="HB47" s="378"/>
      <c r="HC47" s="378"/>
      <c r="HD47" s="378"/>
      <c r="HE47" s="378"/>
      <c r="HF47" s="378"/>
      <c r="HG47" s="378"/>
      <c r="HH47" s="378"/>
      <c r="HI47" s="378"/>
      <c r="HJ47" s="378"/>
      <c r="HK47" s="378"/>
      <c r="HL47" s="378"/>
      <c r="HM47" s="378"/>
      <c r="HN47" s="378"/>
      <c r="HO47" s="378"/>
      <c r="HP47" s="378"/>
      <c r="HQ47" s="378"/>
      <c r="HR47" s="378"/>
      <c r="HS47" s="378"/>
      <c r="HT47" s="378"/>
      <c r="HU47" s="378"/>
      <c r="HV47" s="378"/>
      <c r="HW47" s="378"/>
      <c r="HX47" s="378"/>
      <c r="HY47" s="378"/>
      <c r="HZ47" s="378"/>
      <c r="IA47" s="378"/>
      <c r="IB47" s="378"/>
      <c r="IC47" s="378"/>
      <c r="ID47" s="378"/>
      <c r="IE47" s="378"/>
      <c r="IF47" s="378"/>
      <c r="IG47" s="378"/>
      <c r="IH47" s="378"/>
      <c r="II47" s="378"/>
      <c r="IJ47" s="378"/>
      <c r="IK47" s="378"/>
      <c r="IL47" s="378"/>
      <c r="IM47" s="378"/>
      <c r="IN47" s="378"/>
      <c r="IO47" s="378"/>
      <c r="IP47" s="378"/>
      <c r="IQ47" s="378"/>
      <c r="IR47" s="378"/>
      <c r="IS47" s="378"/>
      <c r="IT47" s="378"/>
      <c r="IU47" s="378"/>
      <c r="IV47" s="378"/>
      <c r="IW47" s="378"/>
      <c r="IX47" s="378"/>
      <c r="IY47" s="378"/>
      <c r="IZ47" s="378"/>
      <c r="JA47" s="378"/>
    </row>
    <row r="48" spans="2:261" s="379" customFormat="1">
      <c r="B48" s="374"/>
      <c r="C48" s="375"/>
      <c r="D48" s="403"/>
      <c r="E48" s="416"/>
      <c r="F48" s="416"/>
      <c r="G48" s="418"/>
      <c r="H48" s="376"/>
      <c r="I48" s="377"/>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c r="CW48" s="378"/>
      <c r="CX48" s="378"/>
      <c r="CY48" s="378"/>
      <c r="CZ48" s="378"/>
      <c r="DA48" s="378"/>
      <c r="DB48" s="378"/>
      <c r="DC48" s="378"/>
      <c r="DD48" s="378"/>
      <c r="DE48" s="378"/>
      <c r="DF48" s="378"/>
      <c r="DG48" s="378"/>
      <c r="DH48" s="378"/>
      <c r="DI48" s="378"/>
      <c r="DJ48" s="378"/>
      <c r="DK48" s="378"/>
      <c r="DL48" s="378"/>
      <c r="DM48" s="378"/>
      <c r="DN48" s="378"/>
      <c r="DO48" s="378"/>
      <c r="DP48" s="378"/>
      <c r="DQ48" s="378"/>
      <c r="DR48" s="378"/>
      <c r="DS48" s="378"/>
      <c r="DT48" s="378"/>
      <c r="DU48" s="378"/>
      <c r="DV48" s="378"/>
      <c r="DW48" s="378"/>
      <c r="DX48" s="378"/>
      <c r="DY48" s="378"/>
      <c r="DZ48" s="378"/>
      <c r="EA48" s="378"/>
      <c r="EB48" s="378"/>
      <c r="EC48" s="378"/>
      <c r="ED48" s="378"/>
      <c r="EE48" s="378"/>
      <c r="EF48" s="378"/>
      <c r="EG48" s="378"/>
      <c r="EH48" s="378"/>
      <c r="EI48" s="378"/>
      <c r="EJ48" s="378"/>
      <c r="EK48" s="378"/>
      <c r="EL48" s="378"/>
      <c r="EM48" s="378"/>
      <c r="EN48" s="378"/>
      <c r="EO48" s="378"/>
      <c r="EP48" s="378"/>
      <c r="EQ48" s="378"/>
      <c r="ER48" s="378"/>
      <c r="ES48" s="378"/>
      <c r="ET48" s="378"/>
      <c r="EU48" s="378"/>
      <c r="EV48" s="378"/>
      <c r="EW48" s="378"/>
      <c r="EX48" s="378"/>
      <c r="EY48" s="378"/>
      <c r="EZ48" s="378"/>
      <c r="FA48" s="378"/>
      <c r="FB48" s="378"/>
      <c r="FC48" s="378"/>
      <c r="FD48" s="378"/>
      <c r="FE48" s="378"/>
      <c r="FF48" s="378"/>
      <c r="FG48" s="378"/>
      <c r="FH48" s="378"/>
      <c r="FI48" s="378"/>
      <c r="FJ48" s="378"/>
      <c r="FK48" s="378"/>
      <c r="FL48" s="378"/>
      <c r="FM48" s="378"/>
      <c r="FN48" s="378"/>
      <c r="FO48" s="378"/>
      <c r="FP48" s="378"/>
      <c r="FQ48" s="378"/>
      <c r="FR48" s="378"/>
      <c r="FS48" s="378"/>
      <c r="FT48" s="378"/>
      <c r="FU48" s="378"/>
      <c r="FV48" s="378"/>
      <c r="FW48" s="378"/>
      <c r="FX48" s="378"/>
      <c r="FY48" s="378"/>
      <c r="FZ48" s="378"/>
      <c r="GA48" s="378"/>
      <c r="GB48" s="378"/>
      <c r="GC48" s="378"/>
      <c r="GD48" s="378"/>
      <c r="GE48" s="378"/>
      <c r="GF48" s="378"/>
      <c r="GG48" s="378"/>
      <c r="GH48" s="378"/>
      <c r="GI48" s="378"/>
      <c r="GJ48" s="378"/>
      <c r="GK48" s="378"/>
      <c r="GL48" s="378"/>
      <c r="GM48" s="378"/>
      <c r="GN48" s="378"/>
      <c r="GO48" s="378"/>
      <c r="GP48" s="378"/>
      <c r="GQ48" s="378"/>
      <c r="GR48" s="378"/>
      <c r="GS48" s="378"/>
      <c r="GT48" s="378"/>
      <c r="GU48" s="378"/>
      <c r="GV48" s="378"/>
      <c r="GW48" s="378"/>
      <c r="GX48" s="378"/>
      <c r="GY48" s="378"/>
      <c r="GZ48" s="378"/>
      <c r="HA48" s="378"/>
      <c r="HB48" s="378"/>
      <c r="HC48" s="378"/>
      <c r="HD48" s="378"/>
      <c r="HE48" s="378"/>
      <c r="HF48" s="378"/>
      <c r="HG48" s="378"/>
      <c r="HH48" s="378"/>
      <c r="HI48" s="378"/>
      <c r="HJ48" s="378"/>
      <c r="HK48" s="378"/>
      <c r="HL48" s="378"/>
      <c r="HM48" s="378"/>
      <c r="HN48" s="378"/>
      <c r="HO48" s="378"/>
      <c r="HP48" s="378"/>
      <c r="HQ48" s="378"/>
      <c r="HR48" s="378"/>
      <c r="HS48" s="378"/>
      <c r="HT48" s="378"/>
      <c r="HU48" s="378"/>
      <c r="HV48" s="378"/>
      <c r="HW48" s="378"/>
      <c r="HX48" s="378"/>
      <c r="HY48" s="378"/>
      <c r="HZ48" s="378"/>
      <c r="IA48" s="378"/>
      <c r="IB48" s="378"/>
      <c r="IC48" s="378"/>
      <c r="ID48" s="378"/>
      <c r="IE48" s="378"/>
      <c r="IF48" s="378"/>
      <c r="IG48" s="378"/>
      <c r="IH48" s="378"/>
      <c r="II48" s="378"/>
      <c r="IJ48" s="378"/>
      <c r="IK48" s="378"/>
      <c r="IL48" s="378"/>
      <c r="IM48" s="378"/>
      <c r="IN48" s="378"/>
      <c r="IO48" s="378"/>
      <c r="IP48" s="378"/>
      <c r="IQ48" s="378"/>
      <c r="IR48" s="378"/>
      <c r="IS48" s="378"/>
      <c r="IT48" s="378"/>
      <c r="IU48" s="378"/>
      <c r="IV48" s="378"/>
      <c r="IW48" s="378"/>
      <c r="IX48" s="378"/>
      <c r="IY48" s="378"/>
      <c r="IZ48" s="378"/>
      <c r="JA48" s="378"/>
    </row>
    <row r="49" spans="2:261" s="379" customFormat="1" ht="17" thickBot="1">
      <c r="B49" s="374"/>
      <c r="C49" s="375"/>
      <c r="D49" s="403"/>
      <c r="E49" s="347" t="str">
        <f>'Planning Template'!$F$11&amp;" Objective"</f>
        <v xml:space="preserve"> Objective</v>
      </c>
      <c r="F49" s="438">
        <f>'Planning Template'!F104</f>
        <v>0</v>
      </c>
      <c r="G49" s="438"/>
      <c r="H49" s="376"/>
      <c r="I49" s="377"/>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78"/>
      <c r="DF49" s="378"/>
      <c r="DG49" s="378"/>
      <c r="DH49" s="378"/>
      <c r="DI49" s="378"/>
      <c r="DJ49" s="378"/>
      <c r="DK49" s="378"/>
      <c r="DL49" s="378"/>
      <c r="DM49" s="378"/>
      <c r="DN49" s="378"/>
      <c r="DO49" s="378"/>
      <c r="DP49" s="378"/>
      <c r="DQ49" s="378"/>
      <c r="DR49" s="378"/>
      <c r="DS49" s="378"/>
      <c r="DT49" s="378"/>
      <c r="DU49" s="378"/>
      <c r="DV49" s="378"/>
      <c r="DW49" s="378"/>
      <c r="DX49" s="378"/>
      <c r="DY49" s="378"/>
      <c r="DZ49" s="378"/>
      <c r="EA49" s="378"/>
      <c r="EB49" s="378"/>
      <c r="EC49" s="378"/>
      <c r="ED49" s="378"/>
      <c r="EE49" s="378"/>
      <c r="EF49" s="378"/>
      <c r="EG49" s="378"/>
      <c r="EH49" s="378"/>
      <c r="EI49" s="378"/>
      <c r="EJ49" s="378"/>
      <c r="EK49" s="378"/>
      <c r="EL49" s="378"/>
      <c r="EM49" s="378"/>
      <c r="EN49" s="378"/>
      <c r="EO49" s="378"/>
      <c r="EP49" s="378"/>
      <c r="EQ49" s="378"/>
      <c r="ER49" s="378"/>
      <c r="ES49" s="378"/>
      <c r="ET49" s="378"/>
      <c r="EU49" s="378"/>
      <c r="EV49" s="378"/>
      <c r="EW49" s="378"/>
      <c r="EX49" s="378"/>
      <c r="EY49" s="378"/>
      <c r="EZ49" s="378"/>
      <c r="FA49" s="378"/>
      <c r="FB49" s="378"/>
      <c r="FC49" s="378"/>
      <c r="FD49" s="378"/>
      <c r="FE49" s="378"/>
      <c r="FF49" s="378"/>
      <c r="FG49" s="378"/>
      <c r="FH49" s="378"/>
      <c r="FI49" s="378"/>
      <c r="FJ49" s="378"/>
      <c r="FK49" s="378"/>
      <c r="FL49" s="378"/>
      <c r="FM49" s="378"/>
      <c r="FN49" s="378"/>
      <c r="FO49" s="378"/>
      <c r="FP49" s="378"/>
      <c r="FQ49" s="378"/>
      <c r="FR49" s="378"/>
      <c r="FS49" s="378"/>
      <c r="FT49" s="378"/>
      <c r="FU49" s="378"/>
      <c r="FV49" s="378"/>
      <c r="FW49" s="378"/>
      <c r="FX49" s="378"/>
      <c r="FY49" s="378"/>
      <c r="FZ49" s="378"/>
      <c r="GA49" s="378"/>
      <c r="GB49" s="378"/>
      <c r="GC49" s="378"/>
      <c r="GD49" s="378"/>
      <c r="GE49" s="378"/>
      <c r="GF49" s="378"/>
      <c r="GG49" s="378"/>
      <c r="GH49" s="378"/>
      <c r="GI49" s="378"/>
      <c r="GJ49" s="378"/>
      <c r="GK49" s="378"/>
      <c r="GL49" s="378"/>
      <c r="GM49" s="378"/>
      <c r="GN49" s="378"/>
      <c r="GO49" s="378"/>
      <c r="GP49" s="378"/>
      <c r="GQ49" s="378"/>
      <c r="GR49" s="378"/>
      <c r="GS49" s="378"/>
      <c r="GT49" s="378"/>
      <c r="GU49" s="378"/>
      <c r="GV49" s="378"/>
      <c r="GW49" s="378"/>
      <c r="GX49" s="378"/>
      <c r="GY49" s="378"/>
      <c r="GZ49" s="378"/>
      <c r="HA49" s="378"/>
      <c r="HB49" s="378"/>
      <c r="HC49" s="378"/>
      <c r="HD49" s="378"/>
      <c r="HE49" s="378"/>
      <c r="HF49" s="378"/>
      <c r="HG49" s="378"/>
      <c r="HH49" s="378"/>
      <c r="HI49" s="378"/>
      <c r="HJ49" s="378"/>
      <c r="HK49" s="378"/>
      <c r="HL49" s="378"/>
      <c r="HM49" s="378"/>
      <c r="HN49" s="378"/>
      <c r="HO49" s="378"/>
      <c r="HP49" s="378"/>
      <c r="HQ49" s="378"/>
      <c r="HR49" s="378"/>
      <c r="HS49" s="378"/>
      <c r="HT49" s="378"/>
      <c r="HU49" s="378"/>
      <c r="HV49" s="378"/>
      <c r="HW49" s="378"/>
      <c r="HX49" s="378"/>
      <c r="HY49" s="378"/>
      <c r="HZ49" s="378"/>
      <c r="IA49" s="378"/>
      <c r="IB49" s="378"/>
      <c r="IC49" s="378"/>
      <c r="ID49" s="378"/>
      <c r="IE49" s="378"/>
      <c r="IF49" s="378"/>
      <c r="IG49" s="378"/>
      <c r="IH49" s="378"/>
      <c r="II49" s="378"/>
      <c r="IJ49" s="378"/>
      <c r="IK49" s="378"/>
      <c r="IL49" s="378"/>
      <c r="IM49" s="378"/>
      <c r="IN49" s="378"/>
      <c r="IO49" s="378"/>
      <c r="IP49" s="378"/>
      <c r="IQ49" s="378"/>
      <c r="IR49" s="378"/>
      <c r="IS49" s="378"/>
      <c r="IT49" s="378"/>
      <c r="IU49" s="378"/>
      <c r="IV49" s="378"/>
      <c r="IW49" s="378"/>
      <c r="IX49" s="378"/>
      <c r="IY49" s="378"/>
      <c r="IZ49" s="378"/>
      <c r="JA49" s="378"/>
    </row>
    <row r="50" spans="2:261" s="379" customFormat="1">
      <c r="B50" s="374"/>
      <c r="C50" s="375"/>
      <c r="D50" s="419">
        <f>D45+1</f>
        <v>8</v>
      </c>
      <c r="E50" s="439" t="str">
        <f>"What is the actual action taken from the beginning of the year until the end of "&amp;$F$10&amp;" for objective 4?"</f>
        <v>What is the actual action taken from the beginning of the year until the end of  for objective 4?</v>
      </c>
      <c r="F50" s="440"/>
      <c r="G50" s="441"/>
      <c r="H50" s="376"/>
      <c r="I50" s="377"/>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378"/>
      <c r="CE50" s="378"/>
      <c r="CF50" s="378"/>
      <c r="CG50" s="378"/>
      <c r="CH50" s="378"/>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8"/>
      <c r="DF50" s="378"/>
      <c r="DG50" s="378"/>
      <c r="DH50" s="378"/>
      <c r="DI50" s="378"/>
      <c r="DJ50" s="378"/>
      <c r="DK50" s="378"/>
      <c r="DL50" s="378"/>
      <c r="DM50" s="378"/>
      <c r="DN50" s="378"/>
      <c r="DO50" s="378"/>
      <c r="DP50" s="378"/>
      <c r="DQ50" s="378"/>
      <c r="DR50" s="378"/>
      <c r="DS50" s="378"/>
      <c r="DT50" s="378"/>
      <c r="DU50" s="378"/>
      <c r="DV50" s="378"/>
      <c r="DW50" s="378"/>
      <c r="DX50" s="378"/>
      <c r="DY50" s="378"/>
      <c r="DZ50" s="378"/>
      <c r="EA50" s="378"/>
      <c r="EB50" s="378"/>
      <c r="EC50" s="378"/>
      <c r="ED50" s="378"/>
      <c r="EE50" s="378"/>
      <c r="EF50" s="378"/>
      <c r="EG50" s="378"/>
      <c r="EH50" s="378"/>
      <c r="EI50" s="378"/>
      <c r="EJ50" s="378"/>
      <c r="EK50" s="378"/>
      <c r="EL50" s="378"/>
      <c r="EM50" s="378"/>
      <c r="EN50" s="378"/>
      <c r="EO50" s="378"/>
      <c r="EP50" s="378"/>
      <c r="EQ50" s="378"/>
      <c r="ER50" s="378"/>
      <c r="ES50" s="378"/>
      <c r="ET50" s="378"/>
      <c r="EU50" s="378"/>
      <c r="EV50" s="378"/>
      <c r="EW50" s="378"/>
      <c r="EX50" s="378"/>
      <c r="EY50" s="378"/>
      <c r="EZ50" s="378"/>
      <c r="FA50" s="378"/>
      <c r="FB50" s="378"/>
      <c r="FC50" s="378"/>
      <c r="FD50" s="378"/>
      <c r="FE50" s="378"/>
      <c r="FF50" s="378"/>
      <c r="FG50" s="378"/>
      <c r="FH50" s="378"/>
      <c r="FI50" s="378"/>
      <c r="FJ50" s="378"/>
      <c r="FK50" s="378"/>
      <c r="FL50" s="378"/>
      <c r="FM50" s="378"/>
      <c r="FN50" s="378"/>
      <c r="FO50" s="378"/>
      <c r="FP50" s="378"/>
      <c r="FQ50" s="378"/>
      <c r="FR50" s="378"/>
      <c r="FS50" s="378"/>
      <c r="FT50" s="378"/>
      <c r="FU50" s="378"/>
      <c r="FV50" s="378"/>
      <c r="FW50" s="378"/>
      <c r="FX50" s="378"/>
      <c r="FY50" s="378"/>
      <c r="FZ50" s="378"/>
      <c r="GA50" s="378"/>
      <c r="GB50" s="378"/>
      <c r="GC50" s="378"/>
      <c r="GD50" s="378"/>
      <c r="GE50" s="378"/>
      <c r="GF50" s="378"/>
      <c r="GG50" s="378"/>
      <c r="GH50" s="378"/>
      <c r="GI50" s="378"/>
      <c r="GJ50" s="378"/>
      <c r="GK50" s="378"/>
      <c r="GL50" s="378"/>
      <c r="GM50" s="378"/>
      <c r="GN50" s="378"/>
      <c r="GO50" s="378"/>
      <c r="GP50" s="378"/>
      <c r="GQ50" s="378"/>
      <c r="GR50" s="378"/>
      <c r="GS50" s="378"/>
      <c r="GT50" s="378"/>
      <c r="GU50" s="378"/>
      <c r="GV50" s="378"/>
      <c r="GW50" s="378"/>
      <c r="GX50" s="378"/>
      <c r="GY50" s="378"/>
      <c r="GZ50" s="378"/>
      <c r="HA50" s="378"/>
      <c r="HB50" s="378"/>
      <c r="HC50" s="378"/>
      <c r="HD50" s="378"/>
      <c r="HE50" s="378"/>
      <c r="HF50" s="378"/>
      <c r="HG50" s="378"/>
      <c r="HH50" s="378"/>
      <c r="HI50" s="378"/>
      <c r="HJ50" s="378"/>
      <c r="HK50" s="378"/>
      <c r="HL50" s="378"/>
      <c r="HM50" s="378"/>
      <c r="HN50" s="378"/>
      <c r="HO50" s="378"/>
      <c r="HP50" s="378"/>
      <c r="HQ50" s="378"/>
      <c r="HR50" s="378"/>
      <c r="HS50" s="378"/>
      <c r="HT50" s="378"/>
      <c r="HU50" s="378"/>
      <c r="HV50" s="378"/>
      <c r="HW50" s="378"/>
      <c r="HX50" s="378"/>
      <c r="HY50" s="378"/>
      <c r="HZ50" s="378"/>
      <c r="IA50" s="378"/>
      <c r="IB50" s="378"/>
      <c r="IC50" s="378"/>
      <c r="ID50" s="378"/>
      <c r="IE50" s="378"/>
      <c r="IF50" s="378"/>
      <c r="IG50" s="378"/>
      <c r="IH50" s="378"/>
      <c r="II50" s="378"/>
      <c r="IJ50" s="378"/>
      <c r="IK50" s="378"/>
      <c r="IL50" s="378"/>
      <c r="IM50" s="378"/>
      <c r="IN50" s="378"/>
      <c r="IO50" s="378"/>
      <c r="IP50" s="378"/>
      <c r="IQ50" s="378"/>
      <c r="IR50" s="378"/>
      <c r="IS50" s="378"/>
      <c r="IT50" s="378"/>
      <c r="IU50" s="378"/>
      <c r="IV50" s="378"/>
      <c r="IW50" s="378"/>
      <c r="IX50" s="378"/>
      <c r="IY50" s="378"/>
      <c r="IZ50" s="378"/>
      <c r="JA50" s="378"/>
    </row>
    <row r="51" spans="2:261" s="379" customFormat="1">
      <c r="B51" s="374"/>
      <c r="C51" s="375"/>
      <c r="D51" s="423"/>
      <c r="E51" s="392" t="s">
        <v>5057</v>
      </c>
      <c r="F51" s="390" t="str">
        <f>'Planning Template'!F106&amp;" (starting "&amp;'Planning Template'!F107&amp;")"</f>
        <v xml:space="preserve"> (starting )</v>
      </c>
      <c r="G51" s="432"/>
      <c r="H51" s="376"/>
      <c r="I51" s="377"/>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8"/>
      <c r="BR51" s="378"/>
      <c r="BS51" s="378"/>
      <c r="BT51" s="378"/>
      <c r="BU51" s="378"/>
      <c r="BV51" s="378"/>
      <c r="BW51" s="378"/>
      <c r="BX51" s="378"/>
      <c r="BY51" s="378"/>
      <c r="BZ51" s="378"/>
      <c r="CA51" s="378"/>
      <c r="CB51" s="378"/>
      <c r="CC51" s="378"/>
      <c r="CD51" s="378"/>
      <c r="CE51" s="378"/>
      <c r="CF51" s="378"/>
      <c r="CG51" s="378"/>
      <c r="CH51" s="378"/>
      <c r="CI51" s="378"/>
      <c r="CJ51" s="378"/>
      <c r="CK51" s="378"/>
      <c r="CL51" s="378"/>
      <c r="CM51" s="378"/>
      <c r="CN51" s="378"/>
      <c r="CO51" s="378"/>
      <c r="CP51" s="378"/>
      <c r="CQ51" s="378"/>
      <c r="CR51" s="378"/>
      <c r="CS51" s="378"/>
      <c r="CT51" s="378"/>
      <c r="CU51" s="378"/>
      <c r="CV51" s="378"/>
      <c r="CW51" s="378"/>
      <c r="CX51" s="378"/>
      <c r="CY51" s="378"/>
      <c r="CZ51" s="378"/>
      <c r="DA51" s="378"/>
      <c r="DB51" s="378"/>
      <c r="DC51" s="378"/>
      <c r="DD51" s="378"/>
      <c r="DE51" s="378"/>
      <c r="DF51" s="378"/>
      <c r="DG51" s="378"/>
      <c r="DH51" s="378"/>
      <c r="DI51" s="378"/>
      <c r="DJ51" s="378"/>
      <c r="DK51" s="378"/>
      <c r="DL51" s="378"/>
      <c r="DM51" s="378"/>
      <c r="DN51" s="378"/>
      <c r="DO51" s="378"/>
      <c r="DP51" s="378"/>
      <c r="DQ51" s="378"/>
      <c r="DR51" s="378"/>
      <c r="DS51" s="378"/>
      <c r="DT51" s="378"/>
      <c r="DU51" s="378"/>
      <c r="DV51" s="378"/>
      <c r="DW51" s="378"/>
      <c r="DX51" s="378"/>
      <c r="DY51" s="378"/>
      <c r="DZ51" s="378"/>
      <c r="EA51" s="378"/>
      <c r="EB51" s="378"/>
      <c r="EC51" s="378"/>
      <c r="ED51" s="378"/>
      <c r="EE51" s="378"/>
      <c r="EF51" s="378"/>
      <c r="EG51" s="378"/>
      <c r="EH51" s="378"/>
      <c r="EI51" s="378"/>
      <c r="EJ51" s="378"/>
      <c r="EK51" s="378"/>
      <c r="EL51" s="378"/>
      <c r="EM51" s="378"/>
      <c r="EN51" s="378"/>
      <c r="EO51" s="378"/>
      <c r="EP51" s="378"/>
      <c r="EQ51" s="378"/>
      <c r="ER51" s="378"/>
      <c r="ES51" s="378"/>
      <c r="ET51" s="378"/>
      <c r="EU51" s="378"/>
      <c r="EV51" s="378"/>
      <c r="EW51" s="378"/>
      <c r="EX51" s="378"/>
      <c r="EY51" s="378"/>
      <c r="EZ51" s="378"/>
      <c r="FA51" s="378"/>
      <c r="FB51" s="378"/>
      <c r="FC51" s="378"/>
      <c r="FD51" s="378"/>
      <c r="FE51" s="378"/>
      <c r="FF51" s="378"/>
      <c r="FG51" s="378"/>
      <c r="FH51" s="378"/>
      <c r="FI51" s="378"/>
      <c r="FJ51" s="378"/>
      <c r="FK51" s="378"/>
      <c r="FL51" s="378"/>
      <c r="FM51" s="378"/>
      <c r="FN51" s="378"/>
      <c r="FO51" s="378"/>
      <c r="FP51" s="378"/>
      <c r="FQ51" s="378"/>
      <c r="FR51" s="378"/>
      <c r="FS51" s="378"/>
      <c r="FT51" s="378"/>
      <c r="FU51" s="378"/>
      <c r="FV51" s="378"/>
      <c r="FW51" s="378"/>
      <c r="FX51" s="378"/>
      <c r="FY51" s="378"/>
      <c r="FZ51" s="378"/>
      <c r="GA51" s="378"/>
      <c r="GB51" s="378"/>
      <c r="GC51" s="378"/>
      <c r="GD51" s="378"/>
      <c r="GE51" s="378"/>
      <c r="GF51" s="378"/>
      <c r="GG51" s="378"/>
      <c r="GH51" s="378"/>
      <c r="GI51" s="378"/>
      <c r="GJ51" s="378"/>
      <c r="GK51" s="378"/>
      <c r="GL51" s="378"/>
      <c r="GM51" s="378"/>
      <c r="GN51" s="378"/>
      <c r="GO51" s="378"/>
      <c r="GP51" s="378"/>
      <c r="GQ51" s="378"/>
      <c r="GR51" s="378"/>
      <c r="GS51" s="378"/>
      <c r="GT51" s="378"/>
      <c r="GU51" s="378"/>
      <c r="GV51" s="378"/>
      <c r="GW51" s="378"/>
      <c r="GX51" s="378"/>
      <c r="GY51" s="378"/>
      <c r="GZ51" s="378"/>
      <c r="HA51" s="378"/>
      <c r="HB51" s="378"/>
      <c r="HC51" s="378"/>
      <c r="HD51" s="378"/>
      <c r="HE51" s="378"/>
      <c r="HF51" s="378"/>
      <c r="HG51" s="378"/>
      <c r="HH51" s="378"/>
      <c r="HI51" s="378"/>
      <c r="HJ51" s="378"/>
      <c r="HK51" s="378"/>
      <c r="HL51" s="378"/>
      <c r="HM51" s="378"/>
      <c r="HN51" s="378"/>
      <c r="HO51" s="378"/>
      <c r="HP51" s="378"/>
      <c r="HQ51" s="378"/>
      <c r="HR51" s="378"/>
      <c r="HS51" s="378"/>
      <c r="HT51" s="378"/>
      <c r="HU51" s="378"/>
      <c r="HV51" s="378"/>
      <c r="HW51" s="378"/>
      <c r="HX51" s="378"/>
      <c r="HY51" s="378"/>
      <c r="HZ51" s="378"/>
      <c r="IA51" s="378"/>
      <c r="IB51" s="378"/>
      <c r="IC51" s="378"/>
      <c r="ID51" s="378"/>
      <c r="IE51" s="378"/>
      <c r="IF51" s="378"/>
      <c r="IG51" s="378"/>
      <c r="IH51" s="378"/>
      <c r="II51" s="378"/>
      <c r="IJ51" s="378"/>
      <c r="IK51" s="378"/>
      <c r="IL51" s="378"/>
      <c r="IM51" s="378"/>
      <c r="IN51" s="378"/>
      <c r="IO51" s="378"/>
      <c r="IP51" s="378"/>
      <c r="IQ51" s="378"/>
      <c r="IR51" s="378"/>
      <c r="IS51" s="378"/>
      <c r="IT51" s="378"/>
      <c r="IU51" s="378"/>
      <c r="IV51" s="378"/>
      <c r="IW51" s="378"/>
      <c r="IX51" s="378"/>
      <c r="IY51" s="378"/>
      <c r="IZ51" s="378"/>
      <c r="JA51" s="378"/>
    </row>
    <row r="52" spans="2:261" s="379" customFormat="1">
      <c r="B52" s="374"/>
      <c r="C52" s="375"/>
      <c r="D52" s="423"/>
      <c r="E52" s="389" t="s">
        <v>7</v>
      </c>
      <c r="F52" s="395"/>
      <c r="G52" s="424"/>
      <c r="H52" s="376"/>
      <c r="I52" s="377"/>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c r="CE52" s="378"/>
      <c r="CF52" s="378"/>
      <c r="CG52" s="378"/>
      <c r="CH52" s="378"/>
      <c r="CI52" s="378"/>
      <c r="CJ52" s="378"/>
      <c r="CK52" s="378"/>
      <c r="CL52" s="378"/>
      <c r="CM52" s="378"/>
      <c r="CN52" s="378"/>
      <c r="CO52" s="378"/>
      <c r="CP52" s="378"/>
      <c r="CQ52" s="378"/>
      <c r="CR52" s="378"/>
      <c r="CS52" s="378"/>
      <c r="CT52" s="378"/>
      <c r="CU52" s="378"/>
      <c r="CV52" s="378"/>
      <c r="CW52" s="378"/>
      <c r="CX52" s="378"/>
      <c r="CY52" s="378"/>
      <c r="CZ52" s="378"/>
      <c r="DA52" s="378"/>
      <c r="DB52" s="378"/>
      <c r="DC52" s="378"/>
      <c r="DD52" s="378"/>
      <c r="DE52" s="378"/>
      <c r="DF52" s="378"/>
      <c r="DG52" s="378"/>
      <c r="DH52" s="378"/>
      <c r="DI52" s="378"/>
      <c r="DJ52" s="378"/>
      <c r="DK52" s="378"/>
      <c r="DL52" s="378"/>
      <c r="DM52" s="378"/>
      <c r="DN52" s="378"/>
      <c r="DO52" s="378"/>
      <c r="DP52" s="378"/>
      <c r="DQ52" s="378"/>
      <c r="DR52" s="378"/>
      <c r="DS52" s="378"/>
      <c r="DT52" s="378"/>
      <c r="DU52" s="378"/>
      <c r="DV52" s="378"/>
      <c r="DW52" s="378"/>
      <c r="DX52" s="378"/>
      <c r="DY52" s="378"/>
      <c r="DZ52" s="378"/>
      <c r="EA52" s="378"/>
      <c r="EB52" s="378"/>
      <c r="EC52" s="378"/>
      <c r="ED52" s="378"/>
      <c r="EE52" s="378"/>
      <c r="EF52" s="378"/>
      <c r="EG52" s="378"/>
      <c r="EH52" s="378"/>
      <c r="EI52" s="378"/>
      <c r="EJ52" s="378"/>
      <c r="EK52" s="378"/>
      <c r="EL52" s="378"/>
      <c r="EM52" s="378"/>
      <c r="EN52" s="378"/>
      <c r="EO52" s="378"/>
      <c r="EP52" s="378"/>
      <c r="EQ52" s="378"/>
      <c r="ER52" s="378"/>
      <c r="ES52" s="378"/>
      <c r="ET52" s="378"/>
      <c r="EU52" s="378"/>
      <c r="EV52" s="378"/>
      <c r="EW52" s="378"/>
      <c r="EX52" s="378"/>
      <c r="EY52" s="378"/>
      <c r="EZ52" s="378"/>
      <c r="FA52" s="378"/>
      <c r="FB52" s="378"/>
      <c r="FC52" s="378"/>
      <c r="FD52" s="378"/>
      <c r="FE52" s="378"/>
      <c r="FF52" s="378"/>
      <c r="FG52" s="378"/>
      <c r="FH52" s="378"/>
      <c r="FI52" s="378"/>
      <c r="FJ52" s="378"/>
      <c r="FK52" s="378"/>
      <c r="FL52" s="378"/>
      <c r="FM52" s="378"/>
      <c r="FN52" s="378"/>
      <c r="FO52" s="378"/>
      <c r="FP52" s="378"/>
      <c r="FQ52" s="378"/>
      <c r="FR52" s="378"/>
      <c r="FS52" s="378"/>
      <c r="FT52" s="378"/>
      <c r="FU52" s="378"/>
      <c r="FV52" s="378"/>
      <c r="FW52" s="378"/>
      <c r="FX52" s="378"/>
      <c r="FY52" s="378"/>
      <c r="FZ52" s="378"/>
      <c r="GA52" s="378"/>
      <c r="GB52" s="378"/>
      <c r="GC52" s="378"/>
      <c r="GD52" s="378"/>
      <c r="GE52" s="378"/>
      <c r="GF52" s="378"/>
      <c r="GG52" s="378"/>
      <c r="GH52" s="378"/>
      <c r="GI52" s="378"/>
      <c r="GJ52" s="378"/>
      <c r="GK52" s="378"/>
      <c r="GL52" s="378"/>
      <c r="GM52" s="378"/>
      <c r="GN52" s="378"/>
      <c r="GO52" s="378"/>
      <c r="GP52" s="378"/>
      <c r="GQ52" s="378"/>
      <c r="GR52" s="378"/>
      <c r="GS52" s="378"/>
      <c r="GT52" s="378"/>
      <c r="GU52" s="378"/>
      <c r="GV52" s="378"/>
      <c r="GW52" s="378"/>
      <c r="GX52" s="378"/>
      <c r="GY52" s="378"/>
      <c r="GZ52" s="378"/>
      <c r="HA52" s="378"/>
      <c r="HB52" s="378"/>
      <c r="HC52" s="378"/>
      <c r="HD52" s="378"/>
      <c r="HE52" s="378"/>
      <c r="HF52" s="378"/>
      <c r="HG52" s="378"/>
      <c r="HH52" s="378"/>
      <c r="HI52" s="378"/>
      <c r="HJ52" s="378"/>
      <c r="HK52" s="378"/>
      <c r="HL52" s="378"/>
      <c r="HM52" s="378"/>
      <c r="HN52" s="378"/>
      <c r="HO52" s="378"/>
      <c r="HP52" s="378"/>
      <c r="HQ52" s="378"/>
      <c r="HR52" s="378"/>
      <c r="HS52" s="378"/>
      <c r="HT52" s="378"/>
      <c r="HU52" s="378"/>
      <c r="HV52" s="378"/>
      <c r="HW52" s="378"/>
      <c r="HX52" s="378"/>
      <c r="HY52" s="378"/>
      <c r="HZ52" s="378"/>
      <c r="IA52" s="378"/>
      <c r="IB52" s="378"/>
      <c r="IC52" s="378"/>
      <c r="ID52" s="378"/>
      <c r="IE52" s="378"/>
      <c r="IF52" s="378"/>
      <c r="IG52" s="378"/>
      <c r="IH52" s="378"/>
      <c r="II52" s="378"/>
      <c r="IJ52" s="378"/>
      <c r="IK52" s="378"/>
      <c r="IL52" s="378"/>
      <c r="IM52" s="378"/>
      <c r="IN52" s="378"/>
      <c r="IO52" s="378"/>
      <c r="IP52" s="378"/>
      <c r="IQ52" s="378"/>
      <c r="IR52" s="378"/>
      <c r="IS52" s="378"/>
      <c r="IT52" s="378"/>
      <c r="IU52" s="378"/>
      <c r="IV52" s="378"/>
      <c r="IW52" s="378"/>
      <c r="IX52" s="378"/>
      <c r="IY52" s="378"/>
      <c r="IZ52" s="378"/>
      <c r="JA52" s="378"/>
    </row>
    <row r="53" spans="2:261" s="379" customFormat="1">
      <c r="B53" s="374"/>
      <c r="C53" s="375"/>
      <c r="D53" s="423"/>
      <c r="E53" s="389" t="s">
        <v>5058</v>
      </c>
      <c r="F53" s="390" t="str">
        <f>'Planning Template'!F108&amp;" (starting "&amp;'Planning Template'!F109&amp;")"</f>
        <v xml:space="preserve"> (starting )</v>
      </c>
      <c r="G53" s="424"/>
      <c r="H53" s="376"/>
      <c r="I53" s="377"/>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8"/>
      <c r="DF53" s="378"/>
      <c r="DG53" s="378"/>
      <c r="DH53" s="378"/>
      <c r="DI53" s="378"/>
      <c r="DJ53" s="378"/>
      <c r="DK53" s="378"/>
      <c r="DL53" s="378"/>
      <c r="DM53" s="378"/>
      <c r="DN53" s="378"/>
      <c r="DO53" s="378"/>
      <c r="DP53" s="378"/>
      <c r="DQ53" s="378"/>
      <c r="DR53" s="378"/>
      <c r="DS53" s="378"/>
      <c r="DT53" s="378"/>
      <c r="DU53" s="378"/>
      <c r="DV53" s="378"/>
      <c r="DW53" s="378"/>
      <c r="DX53" s="378"/>
      <c r="DY53" s="378"/>
      <c r="DZ53" s="378"/>
      <c r="EA53" s="378"/>
      <c r="EB53" s="378"/>
      <c r="EC53" s="378"/>
      <c r="ED53" s="378"/>
      <c r="EE53" s="378"/>
      <c r="EF53" s="378"/>
      <c r="EG53" s="378"/>
      <c r="EH53" s="378"/>
      <c r="EI53" s="378"/>
      <c r="EJ53" s="378"/>
      <c r="EK53" s="378"/>
      <c r="EL53" s="378"/>
      <c r="EM53" s="378"/>
      <c r="EN53" s="378"/>
      <c r="EO53" s="378"/>
      <c r="EP53" s="378"/>
      <c r="EQ53" s="378"/>
      <c r="ER53" s="378"/>
      <c r="ES53" s="378"/>
      <c r="ET53" s="378"/>
      <c r="EU53" s="378"/>
      <c r="EV53" s="378"/>
      <c r="EW53" s="378"/>
      <c r="EX53" s="378"/>
      <c r="EY53" s="378"/>
      <c r="EZ53" s="378"/>
      <c r="FA53" s="378"/>
      <c r="FB53" s="378"/>
      <c r="FC53" s="378"/>
      <c r="FD53" s="378"/>
      <c r="FE53" s="378"/>
      <c r="FF53" s="378"/>
      <c r="FG53" s="378"/>
      <c r="FH53" s="378"/>
      <c r="FI53" s="378"/>
      <c r="FJ53" s="378"/>
      <c r="FK53" s="378"/>
      <c r="FL53" s="378"/>
      <c r="FM53" s="378"/>
      <c r="FN53" s="378"/>
      <c r="FO53" s="378"/>
      <c r="FP53" s="378"/>
      <c r="FQ53" s="378"/>
      <c r="FR53" s="378"/>
      <c r="FS53" s="378"/>
      <c r="FT53" s="378"/>
      <c r="FU53" s="378"/>
      <c r="FV53" s="378"/>
      <c r="FW53" s="378"/>
      <c r="FX53" s="378"/>
      <c r="FY53" s="378"/>
      <c r="FZ53" s="378"/>
      <c r="GA53" s="378"/>
      <c r="GB53" s="378"/>
      <c r="GC53" s="378"/>
      <c r="GD53" s="378"/>
      <c r="GE53" s="378"/>
      <c r="GF53" s="378"/>
      <c r="GG53" s="378"/>
      <c r="GH53" s="378"/>
      <c r="GI53" s="378"/>
      <c r="GJ53" s="378"/>
      <c r="GK53" s="378"/>
      <c r="GL53" s="378"/>
      <c r="GM53" s="378"/>
      <c r="GN53" s="378"/>
      <c r="GO53" s="378"/>
      <c r="GP53" s="378"/>
      <c r="GQ53" s="378"/>
      <c r="GR53" s="378"/>
      <c r="GS53" s="378"/>
      <c r="GT53" s="378"/>
      <c r="GU53" s="378"/>
      <c r="GV53" s="378"/>
      <c r="GW53" s="378"/>
      <c r="GX53" s="378"/>
      <c r="GY53" s="378"/>
      <c r="GZ53" s="378"/>
      <c r="HA53" s="378"/>
      <c r="HB53" s="378"/>
      <c r="HC53" s="378"/>
      <c r="HD53" s="378"/>
      <c r="HE53" s="378"/>
      <c r="HF53" s="378"/>
      <c r="HG53" s="378"/>
      <c r="HH53" s="378"/>
      <c r="HI53" s="378"/>
      <c r="HJ53" s="378"/>
      <c r="HK53" s="378"/>
      <c r="HL53" s="378"/>
      <c r="HM53" s="378"/>
      <c r="HN53" s="378"/>
      <c r="HO53" s="378"/>
      <c r="HP53" s="378"/>
      <c r="HQ53" s="378"/>
      <c r="HR53" s="378"/>
      <c r="HS53" s="378"/>
      <c r="HT53" s="378"/>
      <c r="HU53" s="378"/>
      <c r="HV53" s="378"/>
      <c r="HW53" s="378"/>
      <c r="HX53" s="378"/>
      <c r="HY53" s="378"/>
      <c r="HZ53" s="378"/>
      <c r="IA53" s="378"/>
      <c r="IB53" s="378"/>
      <c r="IC53" s="378"/>
      <c r="ID53" s="378"/>
      <c r="IE53" s="378"/>
      <c r="IF53" s="378"/>
      <c r="IG53" s="378"/>
      <c r="IH53" s="378"/>
      <c r="II53" s="378"/>
      <c r="IJ53" s="378"/>
      <c r="IK53" s="378"/>
      <c r="IL53" s="378"/>
      <c r="IM53" s="378"/>
      <c r="IN53" s="378"/>
      <c r="IO53" s="378"/>
      <c r="IP53" s="378"/>
      <c r="IQ53" s="378"/>
      <c r="IR53" s="378"/>
      <c r="IS53" s="378"/>
      <c r="IT53" s="378"/>
      <c r="IU53" s="378"/>
      <c r="IV53" s="378"/>
      <c r="IW53" s="378"/>
      <c r="IX53" s="378"/>
      <c r="IY53" s="378"/>
      <c r="IZ53" s="378"/>
      <c r="JA53" s="378"/>
    </row>
    <row r="54" spans="2:261" s="379" customFormat="1">
      <c r="B54" s="374"/>
      <c r="C54" s="375"/>
      <c r="D54" s="423"/>
      <c r="E54" s="389" t="s">
        <v>7</v>
      </c>
      <c r="F54" s="395"/>
      <c r="G54" s="424"/>
      <c r="H54" s="376"/>
      <c r="I54" s="377"/>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8"/>
      <c r="BV54" s="378"/>
      <c r="BW54" s="378"/>
      <c r="BX54" s="378"/>
      <c r="BY54" s="378"/>
      <c r="BZ54" s="378"/>
      <c r="CA54" s="378"/>
      <c r="CB54" s="378"/>
      <c r="CC54" s="378"/>
      <c r="CD54" s="378"/>
      <c r="CE54" s="378"/>
      <c r="CF54" s="378"/>
      <c r="CG54" s="378"/>
      <c r="CH54" s="378"/>
      <c r="CI54" s="378"/>
      <c r="CJ54" s="378"/>
      <c r="CK54" s="378"/>
      <c r="CL54" s="378"/>
      <c r="CM54" s="378"/>
      <c r="CN54" s="378"/>
      <c r="CO54" s="378"/>
      <c r="CP54" s="378"/>
      <c r="CQ54" s="378"/>
      <c r="CR54" s="378"/>
      <c r="CS54" s="378"/>
      <c r="CT54" s="378"/>
      <c r="CU54" s="378"/>
      <c r="CV54" s="378"/>
      <c r="CW54" s="378"/>
      <c r="CX54" s="378"/>
      <c r="CY54" s="378"/>
      <c r="CZ54" s="378"/>
      <c r="DA54" s="378"/>
      <c r="DB54" s="378"/>
      <c r="DC54" s="378"/>
      <c r="DD54" s="378"/>
      <c r="DE54" s="378"/>
      <c r="DF54" s="378"/>
      <c r="DG54" s="378"/>
      <c r="DH54" s="378"/>
      <c r="DI54" s="378"/>
      <c r="DJ54" s="378"/>
      <c r="DK54" s="378"/>
      <c r="DL54" s="378"/>
      <c r="DM54" s="378"/>
      <c r="DN54" s="378"/>
      <c r="DO54" s="378"/>
      <c r="DP54" s="378"/>
      <c r="DQ54" s="378"/>
      <c r="DR54" s="378"/>
      <c r="DS54" s="378"/>
      <c r="DT54" s="378"/>
      <c r="DU54" s="378"/>
      <c r="DV54" s="378"/>
      <c r="DW54" s="378"/>
      <c r="DX54" s="378"/>
      <c r="DY54" s="378"/>
      <c r="DZ54" s="378"/>
      <c r="EA54" s="378"/>
      <c r="EB54" s="378"/>
      <c r="EC54" s="378"/>
      <c r="ED54" s="378"/>
      <c r="EE54" s="378"/>
      <c r="EF54" s="378"/>
      <c r="EG54" s="378"/>
      <c r="EH54" s="378"/>
      <c r="EI54" s="378"/>
      <c r="EJ54" s="378"/>
      <c r="EK54" s="378"/>
      <c r="EL54" s="378"/>
      <c r="EM54" s="378"/>
      <c r="EN54" s="378"/>
      <c r="EO54" s="378"/>
      <c r="EP54" s="378"/>
      <c r="EQ54" s="378"/>
      <c r="ER54" s="378"/>
      <c r="ES54" s="378"/>
      <c r="ET54" s="378"/>
      <c r="EU54" s="378"/>
      <c r="EV54" s="378"/>
      <c r="EW54" s="378"/>
      <c r="EX54" s="378"/>
      <c r="EY54" s="378"/>
      <c r="EZ54" s="378"/>
      <c r="FA54" s="378"/>
      <c r="FB54" s="378"/>
      <c r="FC54" s="378"/>
      <c r="FD54" s="378"/>
      <c r="FE54" s="378"/>
      <c r="FF54" s="378"/>
      <c r="FG54" s="378"/>
      <c r="FH54" s="378"/>
      <c r="FI54" s="378"/>
      <c r="FJ54" s="378"/>
      <c r="FK54" s="378"/>
      <c r="FL54" s="378"/>
      <c r="FM54" s="378"/>
      <c r="FN54" s="378"/>
      <c r="FO54" s="378"/>
      <c r="FP54" s="378"/>
      <c r="FQ54" s="378"/>
      <c r="FR54" s="378"/>
      <c r="FS54" s="378"/>
      <c r="FT54" s="378"/>
      <c r="FU54" s="378"/>
      <c r="FV54" s="378"/>
      <c r="FW54" s="378"/>
      <c r="FX54" s="378"/>
      <c r="FY54" s="378"/>
      <c r="FZ54" s="378"/>
      <c r="GA54" s="378"/>
      <c r="GB54" s="378"/>
      <c r="GC54" s="378"/>
      <c r="GD54" s="378"/>
      <c r="GE54" s="378"/>
      <c r="GF54" s="378"/>
      <c r="GG54" s="378"/>
      <c r="GH54" s="378"/>
      <c r="GI54" s="378"/>
      <c r="GJ54" s="378"/>
      <c r="GK54" s="378"/>
      <c r="GL54" s="378"/>
      <c r="GM54" s="378"/>
      <c r="GN54" s="378"/>
      <c r="GO54" s="378"/>
      <c r="GP54" s="378"/>
      <c r="GQ54" s="378"/>
      <c r="GR54" s="378"/>
      <c r="GS54" s="378"/>
      <c r="GT54" s="378"/>
      <c r="GU54" s="378"/>
      <c r="GV54" s="378"/>
      <c r="GW54" s="378"/>
      <c r="GX54" s="378"/>
      <c r="GY54" s="378"/>
      <c r="GZ54" s="378"/>
      <c r="HA54" s="378"/>
      <c r="HB54" s="378"/>
      <c r="HC54" s="378"/>
      <c r="HD54" s="378"/>
      <c r="HE54" s="378"/>
      <c r="HF54" s="378"/>
      <c r="HG54" s="378"/>
      <c r="HH54" s="378"/>
      <c r="HI54" s="378"/>
      <c r="HJ54" s="378"/>
      <c r="HK54" s="378"/>
      <c r="HL54" s="378"/>
      <c r="HM54" s="378"/>
      <c r="HN54" s="378"/>
      <c r="HO54" s="378"/>
      <c r="HP54" s="378"/>
      <c r="HQ54" s="378"/>
      <c r="HR54" s="378"/>
      <c r="HS54" s="378"/>
      <c r="HT54" s="378"/>
      <c r="HU54" s="378"/>
      <c r="HV54" s="378"/>
      <c r="HW54" s="378"/>
      <c r="HX54" s="378"/>
      <c r="HY54" s="378"/>
      <c r="HZ54" s="378"/>
      <c r="IA54" s="378"/>
      <c r="IB54" s="378"/>
      <c r="IC54" s="378"/>
      <c r="ID54" s="378"/>
      <c r="IE54" s="378"/>
      <c r="IF54" s="378"/>
      <c r="IG54" s="378"/>
      <c r="IH54" s="378"/>
      <c r="II54" s="378"/>
      <c r="IJ54" s="378"/>
      <c r="IK54" s="378"/>
      <c r="IL54" s="378"/>
      <c r="IM54" s="378"/>
      <c r="IN54" s="378"/>
      <c r="IO54" s="378"/>
      <c r="IP54" s="378"/>
      <c r="IQ54" s="378"/>
      <c r="IR54" s="378"/>
      <c r="IS54" s="378"/>
      <c r="IT54" s="378"/>
      <c r="IU54" s="378"/>
      <c r="IV54" s="378"/>
      <c r="IW54" s="378"/>
      <c r="IX54" s="378"/>
      <c r="IY54" s="378"/>
      <c r="IZ54" s="378"/>
      <c r="JA54" s="378"/>
    </row>
    <row r="55" spans="2:261" s="379" customFormat="1">
      <c r="B55" s="374"/>
      <c r="C55" s="375"/>
      <c r="D55" s="423"/>
      <c r="E55" s="389" t="s">
        <v>5059</v>
      </c>
      <c r="F55" s="390" t="str">
        <f>'Planning Template'!F110&amp;" (starting "&amp;'Planning Template'!F111&amp;")"</f>
        <v xml:space="preserve"> (starting )</v>
      </c>
      <c r="G55" s="424"/>
      <c r="H55" s="376"/>
      <c r="I55" s="377"/>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c r="AL55" s="378"/>
      <c r="AM55" s="378"/>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8"/>
      <c r="BJ55" s="378"/>
      <c r="BK55" s="378"/>
      <c r="BL55" s="378"/>
      <c r="BM55" s="378"/>
      <c r="BN55" s="378"/>
      <c r="BO55" s="378"/>
      <c r="BP55" s="378"/>
      <c r="BQ55" s="378"/>
      <c r="BR55" s="378"/>
      <c r="BS55" s="378"/>
      <c r="BT55" s="378"/>
      <c r="BU55" s="378"/>
      <c r="BV55" s="378"/>
      <c r="BW55" s="378"/>
      <c r="BX55" s="378"/>
      <c r="BY55" s="378"/>
      <c r="BZ55" s="378"/>
      <c r="CA55" s="378"/>
      <c r="CB55" s="378"/>
      <c r="CC55" s="378"/>
      <c r="CD55" s="378"/>
      <c r="CE55" s="378"/>
      <c r="CF55" s="378"/>
      <c r="CG55" s="378"/>
      <c r="CH55" s="378"/>
      <c r="CI55" s="378"/>
      <c r="CJ55" s="378"/>
      <c r="CK55" s="378"/>
      <c r="CL55" s="378"/>
      <c r="CM55" s="378"/>
      <c r="CN55" s="378"/>
      <c r="CO55" s="378"/>
      <c r="CP55" s="378"/>
      <c r="CQ55" s="378"/>
      <c r="CR55" s="378"/>
      <c r="CS55" s="378"/>
      <c r="CT55" s="378"/>
      <c r="CU55" s="378"/>
      <c r="CV55" s="378"/>
      <c r="CW55" s="378"/>
      <c r="CX55" s="378"/>
      <c r="CY55" s="378"/>
      <c r="CZ55" s="378"/>
      <c r="DA55" s="378"/>
      <c r="DB55" s="378"/>
      <c r="DC55" s="378"/>
      <c r="DD55" s="378"/>
      <c r="DE55" s="378"/>
      <c r="DF55" s="378"/>
      <c r="DG55" s="378"/>
      <c r="DH55" s="378"/>
      <c r="DI55" s="378"/>
      <c r="DJ55" s="378"/>
      <c r="DK55" s="378"/>
      <c r="DL55" s="378"/>
      <c r="DM55" s="378"/>
      <c r="DN55" s="378"/>
      <c r="DO55" s="378"/>
      <c r="DP55" s="378"/>
      <c r="DQ55" s="378"/>
      <c r="DR55" s="378"/>
      <c r="DS55" s="378"/>
      <c r="DT55" s="378"/>
      <c r="DU55" s="378"/>
      <c r="DV55" s="378"/>
      <c r="DW55" s="378"/>
      <c r="DX55" s="378"/>
      <c r="DY55" s="378"/>
      <c r="DZ55" s="378"/>
      <c r="EA55" s="378"/>
      <c r="EB55" s="378"/>
      <c r="EC55" s="378"/>
      <c r="ED55" s="378"/>
      <c r="EE55" s="378"/>
      <c r="EF55" s="378"/>
      <c r="EG55" s="378"/>
      <c r="EH55" s="378"/>
      <c r="EI55" s="378"/>
      <c r="EJ55" s="378"/>
      <c r="EK55" s="378"/>
      <c r="EL55" s="378"/>
      <c r="EM55" s="378"/>
      <c r="EN55" s="378"/>
      <c r="EO55" s="378"/>
      <c r="EP55" s="378"/>
      <c r="EQ55" s="378"/>
      <c r="ER55" s="378"/>
      <c r="ES55" s="378"/>
      <c r="ET55" s="378"/>
      <c r="EU55" s="378"/>
      <c r="EV55" s="378"/>
      <c r="EW55" s="378"/>
      <c r="EX55" s="378"/>
      <c r="EY55" s="378"/>
      <c r="EZ55" s="378"/>
      <c r="FA55" s="378"/>
      <c r="FB55" s="378"/>
      <c r="FC55" s="378"/>
      <c r="FD55" s="378"/>
      <c r="FE55" s="378"/>
      <c r="FF55" s="378"/>
      <c r="FG55" s="378"/>
      <c r="FH55" s="378"/>
      <c r="FI55" s="378"/>
      <c r="FJ55" s="378"/>
      <c r="FK55" s="378"/>
      <c r="FL55" s="378"/>
      <c r="FM55" s="378"/>
      <c r="FN55" s="378"/>
      <c r="FO55" s="378"/>
      <c r="FP55" s="378"/>
      <c r="FQ55" s="378"/>
      <c r="FR55" s="378"/>
      <c r="FS55" s="378"/>
      <c r="FT55" s="378"/>
      <c r="FU55" s="378"/>
      <c r="FV55" s="378"/>
      <c r="FW55" s="378"/>
      <c r="FX55" s="378"/>
      <c r="FY55" s="378"/>
      <c r="FZ55" s="378"/>
      <c r="GA55" s="378"/>
      <c r="GB55" s="378"/>
      <c r="GC55" s="378"/>
      <c r="GD55" s="378"/>
      <c r="GE55" s="378"/>
      <c r="GF55" s="378"/>
      <c r="GG55" s="378"/>
      <c r="GH55" s="378"/>
      <c r="GI55" s="378"/>
      <c r="GJ55" s="378"/>
      <c r="GK55" s="378"/>
      <c r="GL55" s="378"/>
      <c r="GM55" s="378"/>
      <c r="GN55" s="378"/>
      <c r="GO55" s="378"/>
      <c r="GP55" s="378"/>
      <c r="GQ55" s="378"/>
      <c r="GR55" s="378"/>
      <c r="GS55" s="378"/>
      <c r="GT55" s="378"/>
      <c r="GU55" s="378"/>
      <c r="GV55" s="378"/>
      <c r="GW55" s="378"/>
      <c r="GX55" s="378"/>
      <c r="GY55" s="378"/>
      <c r="GZ55" s="378"/>
      <c r="HA55" s="378"/>
      <c r="HB55" s="378"/>
      <c r="HC55" s="378"/>
      <c r="HD55" s="378"/>
      <c r="HE55" s="378"/>
      <c r="HF55" s="378"/>
      <c r="HG55" s="378"/>
      <c r="HH55" s="378"/>
      <c r="HI55" s="378"/>
      <c r="HJ55" s="378"/>
      <c r="HK55" s="378"/>
      <c r="HL55" s="378"/>
      <c r="HM55" s="378"/>
      <c r="HN55" s="378"/>
      <c r="HO55" s="378"/>
      <c r="HP55" s="378"/>
      <c r="HQ55" s="378"/>
      <c r="HR55" s="378"/>
      <c r="HS55" s="378"/>
      <c r="HT55" s="378"/>
      <c r="HU55" s="378"/>
      <c r="HV55" s="378"/>
      <c r="HW55" s="378"/>
      <c r="HX55" s="378"/>
      <c r="HY55" s="378"/>
      <c r="HZ55" s="378"/>
      <c r="IA55" s="378"/>
      <c r="IB55" s="378"/>
      <c r="IC55" s="378"/>
      <c r="ID55" s="378"/>
      <c r="IE55" s="378"/>
      <c r="IF55" s="378"/>
      <c r="IG55" s="378"/>
      <c r="IH55" s="378"/>
      <c r="II55" s="378"/>
      <c r="IJ55" s="378"/>
      <c r="IK55" s="378"/>
      <c r="IL55" s="378"/>
      <c r="IM55" s="378"/>
      <c r="IN55" s="378"/>
      <c r="IO55" s="378"/>
      <c r="IP55" s="378"/>
      <c r="IQ55" s="378"/>
      <c r="IR55" s="378"/>
      <c r="IS55" s="378"/>
      <c r="IT55" s="378"/>
      <c r="IU55" s="378"/>
      <c r="IV55" s="378"/>
      <c r="IW55" s="378"/>
      <c r="IX55" s="378"/>
      <c r="IY55" s="378"/>
      <c r="IZ55" s="378"/>
      <c r="JA55" s="378"/>
    </row>
    <row r="56" spans="2:261" s="379" customFormat="1">
      <c r="B56" s="374"/>
      <c r="C56" s="375"/>
      <c r="D56" s="423"/>
      <c r="E56" s="389" t="s">
        <v>7</v>
      </c>
      <c r="F56" s="395"/>
      <c r="G56" s="424"/>
      <c r="H56" s="376"/>
      <c r="I56" s="377"/>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378"/>
      <c r="BA56" s="378"/>
      <c r="BB56" s="378"/>
      <c r="BC56" s="378"/>
      <c r="BD56" s="378"/>
      <c r="BE56" s="378"/>
      <c r="BF56" s="378"/>
      <c r="BG56" s="378"/>
      <c r="BH56" s="378"/>
      <c r="BI56" s="378"/>
      <c r="BJ56" s="378"/>
      <c r="BK56" s="378"/>
      <c r="BL56" s="378"/>
      <c r="BM56" s="378"/>
      <c r="BN56" s="378"/>
      <c r="BO56" s="378"/>
      <c r="BP56" s="378"/>
      <c r="BQ56" s="378"/>
      <c r="BR56" s="378"/>
      <c r="BS56" s="378"/>
      <c r="BT56" s="378"/>
      <c r="BU56" s="378"/>
      <c r="BV56" s="378"/>
      <c r="BW56" s="378"/>
      <c r="BX56" s="378"/>
      <c r="BY56" s="378"/>
      <c r="BZ56" s="378"/>
      <c r="CA56" s="378"/>
      <c r="CB56" s="378"/>
      <c r="CC56" s="378"/>
      <c r="CD56" s="378"/>
      <c r="CE56" s="378"/>
      <c r="CF56" s="378"/>
      <c r="CG56" s="378"/>
      <c r="CH56" s="378"/>
      <c r="CI56" s="378"/>
      <c r="CJ56" s="378"/>
      <c r="CK56" s="378"/>
      <c r="CL56" s="378"/>
      <c r="CM56" s="378"/>
      <c r="CN56" s="378"/>
      <c r="CO56" s="378"/>
      <c r="CP56" s="378"/>
      <c r="CQ56" s="378"/>
      <c r="CR56" s="378"/>
      <c r="CS56" s="378"/>
      <c r="CT56" s="378"/>
      <c r="CU56" s="378"/>
      <c r="CV56" s="378"/>
      <c r="CW56" s="378"/>
      <c r="CX56" s="378"/>
      <c r="CY56" s="378"/>
      <c r="CZ56" s="378"/>
      <c r="DA56" s="378"/>
      <c r="DB56" s="378"/>
      <c r="DC56" s="378"/>
      <c r="DD56" s="378"/>
      <c r="DE56" s="378"/>
      <c r="DF56" s="378"/>
      <c r="DG56" s="378"/>
      <c r="DH56" s="378"/>
      <c r="DI56" s="378"/>
      <c r="DJ56" s="378"/>
      <c r="DK56" s="378"/>
      <c r="DL56" s="378"/>
      <c r="DM56" s="378"/>
      <c r="DN56" s="378"/>
      <c r="DO56" s="378"/>
      <c r="DP56" s="378"/>
      <c r="DQ56" s="378"/>
      <c r="DR56" s="378"/>
      <c r="DS56" s="378"/>
      <c r="DT56" s="378"/>
      <c r="DU56" s="378"/>
      <c r="DV56" s="378"/>
      <c r="DW56" s="378"/>
      <c r="DX56" s="378"/>
      <c r="DY56" s="378"/>
      <c r="DZ56" s="378"/>
      <c r="EA56" s="378"/>
      <c r="EB56" s="378"/>
      <c r="EC56" s="378"/>
      <c r="ED56" s="378"/>
      <c r="EE56" s="378"/>
      <c r="EF56" s="378"/>
      <c r="EG56" s="378"/>
      <c r="EH56" s="378"/>
      <c r="EI56" s="378"/>
      <c r="EJ56" s="378"/>
      <c r="EK56" s="378"/>
      <c r="EL56" s="378"/>
      <c r="EM56" s="378"/>
      <c r="EN56" s="378"/>
      <c r="EO56" s="378"/>
      <c r="EP56" s="378"/>
      <c r="EQ56" s="378"/>
      <c r="ER56" s="378"/>
      <c r="ES56" s="378"/>
      <c r="ET56" s="378"/>
      <c r="EU56" s="378"/>
      <c r="EV56" s="378"/>
      <c r="EW56" s="378"/>
      <c r="EX56" s="378"/>
      <c r="EY56" s="378"/>
      <c r="EZ56" s="378"/>
      <c r="FA56" s="378"/>
      <c r="FB56" s="378"/>
      <c r="FC56" s="378"/>
      <c r="FD56" s="378"/>
      <c r="FE56" s="378"/>
      <c r="FF56" s="378"/>
      <c r="FG56" s="378"/>
      <c r="FH56" s="378"/>
      <c r="FI56" s="378"/>
      <c r="FJ56" s="378"/>
      <c r="FK56" s="378"/>
      <c r="FL56" s="378"/>
      <c r="FM56" s="378"/>
      <c r="FN56" s="378"/>
      <c r="FO56" s="378"/>
      <c r="FP56" s="378"/>
      <c r="FQ56" s="378"/>
      <c r="FR56" s="378"/>
      <c r="FS56" s="378"/>
      <c r="FT56" s="378"/>
      <c r="FU56" s="378"/>
      <c r="FV56" s="378"/>
      <c r="FW56" s="378"/>
      <c r="FX56" s="378"/>
      <c r="FY56" s="378"/>
      <c r="FZ56" s="378"/>
      <c r="GA56" s="378"/>
      <c r="GB56" s="378"/>
      <c r="GC56" s="378"/>
      <c r="GD56" s="378"/>
      <c r="GE56" s="378"/>
      <c r="GF56" s="378"/>
      <c r="GG56" s="378"/>
      <c r="GH56" s="378"/>
      <c r="GI56" s="378"/>
      <c r="GJ56" s="378"/>
      <c r="GK56" s="378"/>
      <c r="GL56" s="378"/>
      <c r="GM56" s="378"/>
      <c r="GN56" s="378"/>
      <c r="GO56" s="378"/>
      <c r="GP56" s="378"/>
      <c r="GQ56" s="378"/>
      <c r="GR56" s="378"/>
      <c r="GS56" s="378"/>
      <c r="GT56" s="378"/>
      <c r="GU56" s="378"/>
      <c r="GV56" s="378"/>
      <c r="GW56" s="378"/>
      <c r="GX56" s="378"/>
      <c r="GY56" s="378"/>
      <c r="GZ56" s="378"/>
      <c r="HA56" s="378"/>
      <c r="HB56" s="378"/>
      <c r="HC56" s="378"/>
      <c r="HD56" s="378"/>
      <c r="HE56" s="378"/>
      <c r="HF56" s="378"/>
      <c r="HG56" s="378"/>
      <c r="HH56" s="378"/>
      <c r="HI56" s="378"/>
      <c r="HJ56" s="378"/>
      <c r="HK56" s="378"/>
      <c r="HL56" s="378"/>
      <c r="HM56" s="378"/>
      <c r="HN56" s="378"/>
      <c r="HO56" s="378"/>
      <c r="HP56" s="378"/>
      <c r="HQ56" s="378"/>
      <c r="HR56" s="378"/>
      <c r="HS56" s="378"/>
      <c r="HT56" s="378"/>
      <c r="HU56" s="378"/>
      <c r="HV56" s="378"/>
      <c r="HW56" s="378"/>
      <c r="HX56" s="378"/>
      <c r="HY56" s="378"/>
      <c r="HZ56" s="378"/>
      <c r="IA56" s="378"/>
      <c r="IB56" s="378"/>
      <c r="IC56" s="378"/>
      <c r="ID56" s="378"/>
      <c r="IE56" s="378"/>
      <c r="IF56" s="378"/>
      <c r="IG56" s="378"/>
      <c r="IH56" s="378"/>
      <c r="II56" s="378"/>
      <c r="IJ56" s="378"/>
      <c r="IK56" s="378"/>
      <c r="IL56" s="378"/>
      <c r="IM56" s="378"/>
      <c r="IN56" s="378"/>
      <c r="IO56" s="378"/>
      <c r="IP56" s="378"/>
      <c r="IQ56" s="378"/>
      <c r="IR56" s="378"/>
      <c r="IS56" s="378"/>
      <c r="IT56" s="378"/>
      <c r="IU56" s="378"/>
      <c r="IV56" s="378"/>
      <c r="IW56" s="378"/>
      <c r="IX56" s="378"/>
      <c r="IY56" s="378"/>
      <c r="IZ56" s="378"/>
      <c r="JA56" s="378"/>
    </row>
    <row r="57" spans="2:261" s="379" customFormat="1">
      <c r="B57" s="374"/>
      <c r="C57" s="375"/>
      <c r="D57" s="423">
        <f>D50+1</f>
        <v>9</v>
      </c>
      <c r="E57" s="396" t="s">
        <v>5061</v>
      </c>
      <c r="F57" s="390"/>
      <c r="G57" s="433"/>
      <c r="H57" s="376"/>
      <c r="I57" s="377"/>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8"/>
      <c r="DR57" s="378"/>
      <c r="DS57" s="378"/>
      <c r="DT57" s="378"/>
      <c r="DU57" s="378"/>
      <c r="DV57" s="378"/>
      <c r="DW57" s="378"/>
      <c r="DX57" s="378"/>
      <c r="DY57" s="378"/>
      <c r="DZ57" s="378"/>
      <c r="EA57" s="378"/>
      <c r="EB57" s="378"/>
      <c r="EC57" s="378"/>
      <c r="ED57" s="378"/>
      <c r="EE57" s="378"/>
      <c r="EF57" s="378"/>
      <c r="EG57" s="378"/>
      <c r="EH57" s="378"/>
      <c r="EI57" s="378"/>
      <c r="EJ57" s="378"/>
      <c r="EK57" s="378"/>
      <c r="EL57" s="378"/>
      <c r="EM57" s="378"/>
      <c r="EN57" s="378"/>
      <c r="EO57" s="378"/>
      <c r="EP57" s="378"/>
      <c r="EQ57" s="378"/>
      <c r="ER57" s="378"/>
      <c r="ES57" s="378"/>
      <c r="ET57" s="378"/>
      <c r="EU57" s="378"/>
      <c r="EV57" s="378"/>
      <c r="EW57" s="378"/>
      <c r="EX57" s="378"/>
      <c r="EY57" s="378"/>
      <c r="EZ57" s="378"/>
      <c r="FA57" s="378"/>
      <c r="FB57" s="378"/>
      <c r="FC57" s="378"/>
      <c r="FD57" s="378"/>
      <c r="FE57" s="378"/>
      <c r="FF57" s="378"/>
      <c r="FG57" s="378"/>
      <c r="FH57" s="378"/>
      <c r="FI57" s="378"/>
      <c r="FJ57" s="378"/>
      <c r="FK57" s="378"/>
      <c r="FL57" s="378"/>
      <c r="FM57" s="378"/>
      <c r="FN57" s="378"/>
      <c r="FO57" s="378"/>
      <c r="FP57" s="378"/>
      <c r="FQ57" s="378"/>
      <c r="FR57" s="378"/>
      <c r="FS57" s="378"/>
      <c r="FT57" s="378"/>
      <c r="FU57" s="378"/>
      <c r="FV57" s="378"/>
      <c r="FW57" s="378"/>
      <c r="FX57" s="378"/>
      <c r="FY57" s="378"/>
      <c r="FZ57" s="378"/>
      <c r="GA57" s="378"/>
      <c r="GB57" s="378"/>
      <c r="GC57" s="378"/>
      <c r="GD57" s="378"/>
      <c r="GE57" s="378"/>
      <c r="GF57" s="378"/>
      <c r="GG57" s="378"/>
      <c r="GH57" s="378"/>
      <c r="GI57" s="378"/>
      <c r="GJ57" s="378"/>
      <c r="GK57" s="378"/>
      <c r="GL57" s="378"/>
      <c r="GM57" s="378"/>
      <c r="GN57" s="378"/>
      <c r="GO57" s="378"/>
      <c r="GP57" s="378"/>
      <c r="GQ57" s="378"/>
      <c r="GR57" s="378"/>
      <c r="GS57" s="378"/>
      <c r="GT57" s="378"/>
      <c r="GU57" s="378"/>
      <c r="GV57" s="378"/>
      <c r="GW57" s="378"/>
      <c r="GX57" s="378"/>
      <c r="GY57" s="378"/>
      <c r="GZ57" s="378"/>
      <c r="HA57" s="378"/>
      <c r="HB57" s="378"/>
      <c r="HC57" s="378"/>
      <c r="HD57" s="378"/>
      <c r="HE57" s="378"/>
      <c r="HF57" s="378"/>
      <c r="HG57" s="378"/>
      <c r="HH57" s="378"/>
      <c r="HI57" s="378"/>
      <c r="HJ57" s="378"/>
      <c r="HK57" s="378"/>
      <c r="HL57" s="378"/>
      <c r="HM57" s="378"/>
      <c r="HN57" s="378"/>
      <c r="HO57" s="378"/>
      <c r="HP57" s="378"/>
      <c r="HQ57" s="378"/>
      <c r="HR57" s="378"/>
      <c r="HS57" s="378"/>
      <c r="HT57" s="378"/>
      <c r="HU57" s="378"/>
      <c r="HV57" s="378"/>
      <c r="HW57" s="378"/>
      <c r="HX57" s="378"/>
      <c r="HY57" s="378"/>
      <c r="HZ57" s="378"/>
      <c r="IA57" s="378"/>
      <c r="IB57" s="378"/>
      <c r="IC57" s="378"/>
      <c r="ID57" s="378"/>
      <c r="IE57" s="378"/>
      <c r="IF57" s="378"/>
      <c r="IG57" s="378"/>
      <c r="IH57" s="378"/>
      <c r="II57" s="378"/>
      <c r="IJ57" s="378"/>
      <c r="IK57" s="378"/>
      <c r="IL57" s="378"/>
      <c r="IM57" s="378"/>
      <c r="IN57" s="378"/>
      <c r="IO57" s="378"/>
      <c r="IP57" s="378"/>
      <c r="IQ57" s="378"/>
      <c r="IR57" s="378"/>
      <c r="IS57" s="378"/>
      <c r="IT57" s="378"/>
      <c r="IU57" s="378"/>
      <c r="IV57" s="378"/>
      <c r="IW57" s="378"/>
      <c r="IX57" s="378"/>
      <c r="IY57" s="378"/>
      <c r="IZ57" s="378"/>
      <c r="JA57" s="378"/>
    </row>
    <row r="58" spans="2:261" s="379" customFormat="1">
      <c r="B58" s="374"/>
      <c r="C58" s="375"/>
      <c r="D58" s="423"/>
      <c r="E58" s="395"/>
      <c r="F58" s="391" t="str">
        <f>"    "&amp;'Planning Template'!F112</f>
        <v xml:space="preserve">    </v>
      </c>
      <c r="G58" s="433"/>
      <c r="H58" s="376"/>
      <c r="I58" s="377"/>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8"/>
      <c r="AY58" s="378"/>
      <c r="AZ58" s="378"/>
      <c r="BA58" s="378"/>
      <c r="BB58" s="378"/>
      <c r="BC58" s="378"/>
      <c r="BD58" s="378"/>
      <c r="BE58" s="378"/>
      <c r="BF58" s="378"/>
      <c r="BG58" s="378"/>
      <c r="BH58" s="378"/>
      <c r="BI58" s="378"/>
      <c r="BJ58" s="378"/>
      <c r="BK58" s="378"/>
      <c r="BL58" s="378"/>
      <c r="BM58" s="378"/>
      <c r="BN58" s="378"/>
      <c r="BO58" s="378"/>
      <c r="BP58" s="378"/>
      <c r="BQ58" s="378"/>
      <c r="BR58" s="378"/>
      <c r="BS58" s="378"/>
      <c r="BT58" s="378"/>
      <c r="BU58" s="378"/>
      <c r="BV58" s="378"/>
      <c r="BW58" s="378"/>
      <c r="BX58" s="378"/>
      <c r="BY58" s="378"/>
      <c r="BZ58" s="378"/>
      <c r="CA58" s="378"/>
      <c r="CB58" s="378"/>
      <c r="CC58" s="378"/>
      <c r="CD58" s="378"/>
      <c r="CE58" s="378"/>
      <c r="CF58" s="378"/>
      <c r="CG58" s="378"/>
      <c r="CH58" s="378"/>
      <c r="CI58" s="378"/>
      <c r="CJ58" s="378"/>
      <c r="CK58" s="378"/>
      <c r="CL58" s="378"/>
      <c r="CM58" s="378"/>
      <c r="CN58" s="378"/>
      <c r="CO58" s="378"/>
      <c r="CP58" s="378"/>
      <c r="CQ58" s="378"/>
      <c r="CR58" s="378"/>
      <c r="CS58" s="378"/>
      <c r="CT58" s="378"/>
      <c r="CU58" s="378"/>
      <c r="CV58" s="378"/>
      <c r="CW58" s="378"/>
      <c r="CX58" s="378"/>
      <c r="CY58" s="378"/>
      <c r="CZ58" s="378"/>
      <c r="DA58" s="378"/>
      <c r="DB58" s="378"/>
      <c r="DC58" s="378"/>
      <c r="DD58" s="378"/>
      <c r="DE58" s="378"/>
      <c r="DF58" s="378"/>
      <c r="DG58" s="378"/>
      <c r="DH58" s="378"/>
      <c r="DI58" s="378"/>
      <c r="DJ58" s="378"/>
      <c r="DK58" s="378"/>
      <c r="DL58" s="378"/>
      <c r="DM58" s="378"/>
      <c r="DN58" s="378"/>
      <c r="DO58" s="378"/>
      <c r="DP58" s="378"/>
      <c r="DQ58" s="378"/>
      <c r="DR58" s="378"/>
      <c r="DS58" s="378"/>
      <c r="DT58" s="378"/>
      <c r="DU58" s="378"/>
      <c r="DV58" s="378"/>
      <c r="DW58" s="378"/>
      <c r="DX58" s="378"/>
      <c r="DY58" s="378"/>
      <c r="DZ58" s="378"/>
      <c r="EA58" s="378"/>
      <c r="EB58" s="378"/>
      <c r="EC58" s="378"/>
      <c r="ED58" s="378"/>
      <c r="EE58" s="378"/>
      <c r="EF58" s="378"/>
      <c r="EG58" s="378"/>
      <c r="EH58" s="378"/>
      <c r="EI58" s="378"/>
      <c r="EJ58" s="378"/>
      <c r="EK58" s="378"/>
      <c r="EL58" s="378"/>
      <c r="EM58" s="378"/>
      <c r="EN58" s="378"/>
      <c r="EO58" s="378"/>
      <c r="EP58" s="378"/>
      <c r="EQ58" s="378"/>
      <c r="ER58" s="378"/>
      <c r="ES58" s="378"/>
      <c r="ET58" s="378"/>
      <c r="EU58" s="378"/>
      <c r="EV58" s="378"/>
      <c r="EW58" s="378"/>
      <c r="EX58" s="378"/>
      <c r="EY58" s="378"/>
      <c r="EZ58" s="378"/>
      <c r="FA58" s="378"/>
      <c r="FB58" s="378"/>
      <c r="FC58" s="378"/>
      <c r="FD58" s="378"/>
      <c r="FE58" s="378"/>
      <c r="FF58" s="378"/>
      <c r="FG58" s="378"/>
      <c r="FH58" s="378"/>
      <c r="FI58" s="378"/>
      <c r="FJ58" s="378"/>
      <c r="FK58" s="378"/>
      <c r="FL58" s="378"/>
      <c r="FM58" s="378"/>
      <c r="FN58" s="378"/>
      <c r="FO58" s="378"/>
      <c r="FP58" s="378"/>
      <c r="FQ58" s="378"/>
      <c r="FR58" s="378"/>
      <c r="FS58" s="378"/>
      <c r="FT58" s="378"/>
      <c r="FU58" s="378"/>
      <c r="FV58" s="378"/>
      <c r="FW58" s="378"/>
      <c r="FX58" s="378"/>
      <c r="FY58" s="378"/>
      <c r="FZ58" s="378"/>
      <c r="GA58" s="378"/>
      <c r="GB58" s="378"/>
      <c r="GC58" s="378"/>
      <c r="GD58" s="378"/>
      <c r="GE58" s="378"/>
      <c r="GF58" s="378"/>
      <c r="GG58" s="378"/>
      <c r="GH58" s="378"/>
      <c r="GI58" s="378"/>
      <c r="GJ58" s="378"/>
      <c r="GK58" s="378"/>
      <c r="GL58" s="378"/>
      <c r="GM58" s="378"/>
      <c r="GN58" s="378"/>
      <c r="GO58" s="378"/>
      <c r="GP58" s="378"/>
      <c r="GQ58" s="378"/>
      <c r="GR58" s="378"/>
      <c r="GS58" s="378"/>
      <c r="GT58" s="378"/>
      <c r="GU58" s="378"/>
      <c r="GV58" s="378"/>
      <c r="GW58" s="378"/>
      <c r="GX58" s="378"/>
      <c r="GY58" s="378"/>
      <c r="GZ58" s="378"/>
      <c r="HA58" s="378"/>
      <c r="HB58" s="378"/>
      <c r="HC58" s="378"/>
      <c r="HD58" s="378"/>
      <c r="HE58" s="378"/>
      <c r="HF58" s="378"/>
      <c r="HG58" s="378"/>
      <c r="HH58" s="378"/>
      <c r="HI58" s="378"/>
      <c r="HJ58" s="378"/>
      <c r="HK58" s="378"/>
      <c r="HL58" s="378"/>
      <c r="HM58" s="378"/>
      <c r="HN58" s="378"/>
      <c r="HO58" s="378"/>
      <c r="HP58" s="378"/>
      <c r="HQ58" s="378"/>
      <c r="HR58" s="378"/>
      <c r="HS58" s="378"/>
      <c r="HT58" s="378"/>
      <c r="HU58" s="378"/>
      <c r="HV58" s="378"/>
      <c r="HW58" s="378"/>
      <c r="HX58" s="378"/>
      <c r="HY58" s="378"/>
      <c r="HZ58" s="378"/>
      <c r="IA58" s="378"/>
      <c r="IB58" s="378"/>
      <c r="IC58" s="378"/>
      <c r="ID58" s="378"/>
      <c r="IE58" s="378"/>
      <c r="IF58" s="378"/>
      <c r="IG58" s="378"/>
      <c r="IH58" s="378"/>
      <c r="II58" s="378"/>
      <c r="IJ58" s="378"/>
      <c r="IK58" s="378"/>
      <c r="IL58" s="378"/>
      <c r="IM58" s="378"/>
      <c r="IN58" s="378"/>
      <c r="IO58" s="378"/>
      <c r="IP58" s="378"/>
      <c r="IQ58" s="378"/>
      <c r="IR58" s="378"/>
      <c r="IS58" s="378"/>
      <c r="IT58" s="378"/>
      <c r="IU58" s="378"/>
      <c r="IV58" s="378"/>
      <c r="IW58" s="378"/>
      <c r="IX58" s="378"/>
      <c r="IY58" s="378"/>
      <c r="IZ58" s="378"/>
      <c r="JA58" s="378"/>
    </row>
    <row r="59" spans="2:261" s="379" customFormat="1" ht="17" thickBot="1">
      <c r="B59" s="374"/>
      <c r="C59" s="375"/>
      <c r="D59" s="426"/>
      <c r="E59" s="434"/>
      <c r="F59" s="434"/>
      <c r="G59" s="435"/>
      <c r="H59" s="376"/>
      <c r="I59" s="377"/>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8"/>
      <c r="AZ59" s="378"/>
      <c r="BA59" s="378"/>
      <c r="BB59" s="378"/>
      <c r="BC59" s="378"/>
      <c r="BD59" s="378"/>
      <c r="BE59" s="378"/>
      <c r="BF59" s="378"/>
      <c r="BG59" s="378"/>
      <c r="BH59" s="378"/>
      <c r="BI59" s="378"/>
      <c r="BJ59" s="378"/>
      <c r="BK59" s="378"/>
      <c r="BL59" s="378"/>
      <c r="BM59" s="378"/>
      <c r="BN59" s="378"/>
      <c r="BO59" s="378"/>
      <c r="BP59" s="378"/>
      <c r="BQ59" s="378"/>
      <c r="BR59" s="378"/>
      <c r="BS59" s="378"/>
      <c r="BT59" s="378"/>
      <c r="BU59" s="378"/>
      <c r="BV59" s="378"/>
      <c r="BW59" s="378"/>
      <c r="BX59" s="378"/>
      <c r="BY59" s="378"/>
      <c r="BZ59" s="378"/>
      <c r="CA59" s="378"/>
      <c r="CB59" s="378"/>
      <c r="CC59" s="378"/>
      <c r="CD59" s="378"/>
      <c r="CE59" s="378"/>
      <c r="CF59" s="378"/>
      <c r="CG59" s="378"/>
      <c r="CH59" s="378"/>
      <c r="CI59" s="378"/>
      <c r="CJ59" s="378"/>
      <c r="CK59" s="378"/>
      <c r="CL59" s="378"/>
      <c r="CM59" s="378"/>
      <c r="CN59" s="378"/>
      <c r="CO59" s="378"/>
      <c r="CP59" s="378"/>
      <c r="CQ59" s="378"/>
      <c r="CR59" s="378"/>
      <c r="CS59" s="378"/>
      <c r="CT59" s="378"/>
      <c r="CU59" s="378"/>
      <c r="CV59" s="378"/>
      <c r="CW59" s="378"/>
      <c r="CX59" s="378"/>
      <c r="CY59" s="378"/>
      <c r="CZ59" s="378"/>
      <c r="DA59" s="378"/>
      <c r="DB59" s="378"/>
      <c r="DC59" s="378"/>
      <c r="DD59" s="378"/>
      <c r="DE59" s="378"/>
      <c r="DF59" s="378"/>
      <c r="DG59" s="378"/>
      <c r="DH59" s="378"/>
      <c r="DI59" s="378"/>
      <c r="DJ59" s="378"/>
      <c r="DK59" s="378"/>
      <c r="DL59" s="378"/>
      <c r="DM59" s="378"/>
      <c r="DN59" s="378"/>
      <c r="DO59" s="378"/>
      <c r="DP59" s="378"/>
      <c r="DQ59" s="378"/>
      <c r="DR59" s="378"/>
      <c r="DS59" s="378"/>
      <c r="DT59" s="378"/>
      <c r="DU59" s="378"/>
      <c r="DV59" s="378"/>
      <c r="DW59" s="378"/>
      <c r="DX59" s="378"/>
      <c r="DY59" s="378"/>
      <c r="DZ59" s="378"/>
      <c r="EA59" s="378"/>
      <c r="EB59" s="378"/>
      <c r="EC59" s="378"/>
      <c r="ED59" s="378"/>
      <c r="EE59" s="378"/>
      <c r="EF59" s="378"/>
      <c r="EG59" s="378"/>
      <c r="EH59" s="378"/>
      <c r="EI59" s="378"/>
      <c r="EJ59" s="378"/>
      <c r="EK59" s="378"/>
      <c r="EL59" s="378"/>
      <c r="EM59" s="378"/>
      <c r="EN59" s="378"/>
      <c r="EO59" s="378"/>
      <c r="EP59" s="378"/>
      <c r="EQ59" s="378"/>
      <c r="ER59" s="378"/>
      <c r="ES59" s="378"/>
      <c r="ET59" s="378"/>
      <c r="EU59" s="378"/>
      <c r="EV59" s="378"/>
      <c r="EW59" s="378"/>
      <c r="EX59" s="378"/>
      <c r="EY59" s="378"/>
      <c r="EZ59" s="378"/>
      <c r="FA59" s="378"/>
      <c r="FB59" s="378"/>
      <c r="FC59" s="378"/>
      <c r="FD59" s="378"/>
      <c r="FE59" s="378"/>
      <c r="FF59" s="378"/>
      <c r="FG59" s="378"/>
      <c r="FH59" s="378"/>
      <c r="FI59" s="378"/>
      <c r="FJ59" s="378"/>
      <c r="FK59" s="378"/>
      <c r="FL59" s="378"/>
      <c r="FM59" s="378"/>
      <c r="FN59" s="378"/>
      <c r="FO59" s="378"/>
      <c r="FP59" s="378"/>
      <c r="FQ59" s="378"/>
      <c r="FR59" s="378"/>
      <c r="FS59" s="378"/>
      <c r="FT59" s="378"/>
      <c r="FU59" s="378"/>
      <c r="FV59" s="378"/>
      <c r="FW59" s="378"/>
      <c r="FX59" s="378"/>
      <c r="FY59" s="378"/>
      <c r="FZ59" s="378"/>
      <c r="GA59" s="378"/>
      <c r="GB59" s="378"/>
      <c r="GC59" s="378"/>
      <c r="GD59" s="378"/>
      <c r="GE59" s="378"/>
      <c r="GF59" s="378"/>
      <c r="GG59" s="378"/>
      <c r="GH59" s="378"/>
      <c r="GI59" s="378"/>
      <c r="GJ59" s="378"/>
      <c r="GK59" s="378"/>
      <c r="GL59" s="378"/>
      <c r="GM59" s="378"/>
      <c r="GN59" s="378"/>
      <c r="GO59" s="378"/>
      <c r="GP59" s="378"/>
      <c r="GQ59" s="378"/>
      <c r="GR59" s="378"/>
      <c r="GS59" s="378"/>
      <c r="GT59" s="378"/>
      <c r="GU59" s="378"/>
      <c r="GV59" s="378"/>
      <c r="GW59" s="378"/>
      <c r="GX59" s="378"/>
      <c r="GY59" s="378"/>
      <c r="GZ59" s="378"/>
      <c r="HA59" s="378"/>
      <c r="HB59" s="378"/>
      <c r="HC59" s="378"/>
      <c r="HD59" s="378"/>
      <c r="HE59" s="378"/>
      <c r="HF59" s="378"/>
      <c r="HG59" s="378"/>
      <c r="HH59" s="378"/>
      <c r="HI59" s="378"/>
      <c r="HJ59" s="378"/>
      <c r="HK59" s="378"/>
      <c r="HL59" s="378"/>
      <c r="HM59" s="378"/>
      <c r="HN59" s="378"/>
      <c r="HO59" s="378"/>
      <c r="HP59" s="378"/>
      <c r="HQ59" s="378"/>
      <c r="HR59" s="378"/>
      <c r="HS59" s="378"/>
      <c r="HT59" s="378"/>
      <c r="HU59" s="378"/>
      <c r="HV59" s="378"/>
      <c r="HW59" s="378"/>
      <c r="HX59" s="378"/>
      <c r="HY59" s="378"/>
      <c r="HZ59" s="378"/>
      <c r="IA59" s="378"/>
      <c r="IB59" s="378"/>
      <c r="IC59" s="378"/>
      <c r="ID59" s="378"/>
      <c r="IE59" s="378"/>
      <c r="IF59" s="378"/>
      <c r="IG59" s="378"/>
      <c r="IH59" s="378"/>
      <c r="II59" s="378"/>
      <c r="IJ59" s="378"/>
      <c r="IK59" s="378"/>
      <c r="IL59" s="378"/>
      <c r="IM59" s="378"/>
      <c r="IN59" s="378"/>
      <c r="IO59" s="378"/>
      <c r="IP59" s="378"/>
      <c r="IQ59" s="378"/>
      <c r="IR59" s="378"/>
      <c r="IS59" s="378"/>
      <c r="IT59" s="378"/>
      <c r="IU59" s="378"/>
      <c r="IV59" s="378"/>
      <c r="IW59" s="378"/>
      <c r="IX59" s="378"/>
      <c r="IY59" s="378"/>
      <c r="IZ59" s="378"/>
      <c r="JA59" s="378"/>
    </row>
    <row r="60" spans="2:261" s="379" customFormat="1">
      <c r="B60" s="374"/>
      <c r="C60" s="375"/>
      <c r="D60" s="403"/>
      <c r="E60" s="416"/>
      <c r="F60" s="416"/>
      <c r="G60" s="418"/>
      <c r="H60" s="376"/>
      <c r="I60" s="377"/>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8"/>
      <c r="AZ60" s="378"/>
      <c r="BA60" s="378"/>
      <c r="BB60" s="378"/>
      <c r="BC60" s="378"/>
      <c r="BD60" s="378"/>
      <c r="BE60" s="378"/>
      <c r="BF60" s="378"/>
      <c r="BG60" s="378"/>
      <c r="BH60" s="378"/>
      <c r="BI60" s="378"/>
      <c r="BJ60" s="378"/>
      <c r="BK60" s="378"/>
      <c r="BL60" s="378"/>
      <c r="BM60" s="378"/>
      <c r="BN60" s="378"/>
      <c r="BO60" s="378"/>
      <c r="BP60" s="378"/>
      <c r="BQ60" s="378"/>
      <c r="BR60" s="378"/>
      <c r="BS60" s="378"/>
      <c r="BT60" s="378"/>
      <c r="BU60" s="378"/>
      <c r="BV60" s="378"/>
      <c r="BW60" s="378"/>
      <c r="BX60" s="378"/>
      <c r="BY60" s="378"/>
      <c r="BZ60" s="378"/>
      <c r="CA60" s="378"/>
      <c r="CB60" s="378"/>
      <c r="CC60" s="378"/>
      <c r="CD60" s="378"/>
      <c r="CE60" s="378"/>
      <c r="CF60" s="378"/>
      <c r="CG60" s="378"/>
      <c r="CH60" s="378"/>
      <c r="CI60" s="378"/>
      <c r="CJ60" s="378"/>
      <c r="CK60" s="378"/>
      <c r="CL60" s="378"/>
      <c r="CM60" s="378"/>
      <c r="CN60" s="378"/>
      <c r="CO60" s="378"/>
      <c r="CP60" s="378"/>
      <c r="CQ60" s="378"/>
      <c r="CR60" s="378"/>
      <c r="CS60" s="378"/>
      <c r="CT60" s="378"/>
      <c r="CU60" s="378"/>
      <c r="CV60" s="378"/>
      <c r="CW60" s="378"/>
      <c r="CX60" s="378"/>
      <c r="CY60" s="378"/>
      <c r="CZ60" s="378"/>
      <c r="DA60" s="378"/>
      <c r="DB60" s="378"/>
      <c r="DC60" s="378"/>
      <c r="DD60" s="378"/>
      <c r="DE60" s="378"/>
      <c r="DF60" s="378"/>
      <c r="DG60" s="378"/>
      <c r="DH60" s="378"/>
      <c r="DI60" s="378"/>
      <c r="DJ60" s="378"/>
      <c r="DK60" s="378"/>
      <c r="DL60" s="378"/>
      <c r="DM60" s="378"/>
      <c r="DN60" s="378"/>
      <c r="DO60" s="378"/>
      <c r="DP60" s="378"/>
      <c r="DQ60" s="378"/>
      <c r="DR60" s="378"/>
      <c r="DS60" s="378"/>
      <c r="DT60" s="378"/>
      <c r="DU60" s="378"/>
      <c r="DV60" s="378"/>
      <c r="DW60" s="378"/>
      <c r="DX60" s="378"/>
      <c r="DY60" s="378"/>
      <c r="DZ60" s="378"/>
      <c r="EA60" s="378"/>
      <c r="EB60" s="378"/>
      <c r="EC60" s="378"/>
      <c r="ED60" s="378"/>
      <c r="EE60" s="378"/>
      <c r="EF60" s="378"/>
      <c r="EG60" s="378"/>
      <c r="EH60" s="378"/>
      <c r="EI60" s="378"/>
      <c r="EJ60" s="378"/>
      <c r="EK60" s="378"/>
      <c r="EL60" s="378"/>
      <c r="EM60" s="378"/>
      <c r="EN60" s="378"/>
      <c r="EO60" s="378"/>
      <c r="EP60" s="378"/>
      <c r="EQ60" s="378"/>
      <c r="ER60" s="378"/>
      <c r="ES60" s="378"/>
      <c r="ET60" s="378"/>
      <c r="EU60" s="378"/>
      <c r="EV60" s="378"/>
      <c r="EW60" s="378"/>
      <c r="EX60" s="378"/>
      <c r="EY60" s="378"/>
      <c r="EZ60" s="378"/>
      <c r="FA60" s="378"/>
      <c r="FB60" s="378"/>
      <c r="FC60" s="378"/>
      <c r="FD60" s="378"/>
      <c r="FE60" s="378"/>
      <c r="FF60" s="378"/>
      <c r="FG60" s="378"/>
      <c r="FH60" s="378"/>
      <c r="FI60" s="378"/>
      <c r="FJ60" s="378"/>
      <c r="FK60" s="378"/>
      <c r="FL60" s="378"/>
      <c r="FM60" s="378"/>
      <c r="FN60" s="378"/>
      <c r="FO60" s="378"/>
      <c r="FP60" s="378"/>
      <c r="FQ60" s="378"/>
      <c r="FR60" s="378"/>
      <c r="FS60" s="378"/>
      <c r="FT60" s="378"/>
      <c r="FU60" s="378"/>
      <c r="FV60" s="378"/>
      <c r="FW60" s="378"/>
      <c r="FX60" s="378"/>
      <c r="FY60" s="378"/>
      <c r="FZ60" s="378"/>
      <c r="GA60" s="378"/>
      <c r="GB60" s="378"/>
      <c r="GC60" s="378"/>
      <c r="GD60" s="378"/>
      <c r="GE60" s="378"/>
      <c r="GF60" s="378"/>
      <c r="GG60" s="378"/>
      <c r="GH60" s="378"/>
      <c r="GI60" s="378"/>
      <c r="GJ60" s="378"/>
      <c r="GK60" s="378"/>
      <c r="GL60" s="378"/>
      <c r="GM60" s="378"/>
      <c r="GN60" s="378"/>
      <c r="GO60" s="378"/>
      <c r="GP60" s="378"/>
      <c r="GQ60" s="378"/>
      <c r="GR60" s="378"/>
      <c r="GS60" s="378"/>
      <c r="GT60" s="378"/>
      <c r="GU60" s="378"/>
      <c r="GV60" s="378"/>
      <c r="GW60" s="378"/>
      <c r="GX60" s="378"/>
      <c r="GY60" s="378"/>
      <c r="GZ60" s="378"/>
      <c r="HA60" s="378"/>
      <c r="HB60" s="378"/>
      <c r="HC60" s="378"/>
      <c r="HD60" s="378"/>
      <c r="HE60" s="378"/>
      <c r="HF60" s="378"/>
      <c r="HG60" s="378"/>
      <c r="HH60" s="378"/>
      <c r="HI60" s="378"/>
      <c r="HJ60" s="378"/>
      <c r="HK60" s="378"/>
      <c r="HL60" s="378"/>
      <c r="HM60" s="378"/>
      <c r="HN60" s="378"/>
      <c r="HO60" s="378"/>
      <c r="HP60" s="378"/>
      <c r="HQ60" s="378"/>
      <c r="HR60" s="378"/>
      <c r="HS60" s="378"/>
      <c r="HT60" s="378"/>
      <c r="HU60" s="378"/>
      <c r="HV60" s="378"/>
      <c r="HW60" s="378"/>
      <c r="HX60" s="378"/>
      <c r="HY60" s="378"/>
      <c r="HZ60" s="378"/>
      <c r="IA60" s="378"/>
      <c r="IB60" s="378"/>
      <c r="IC60" s="378"/>
      <c r="ID60" s="378"/>
      <c r="IE60" s="378"/>
      <c r="IF60" s="378"/>
      <c r="IG60" s="378"/>
      <c r="IH60" s="378"/>
      <c r="II60" s="378"/>
      <c r="IJ60" s="378"/>
      <c r="IK60" s="378"/>
      <c r="IL60" s="378"/>
      <c r="IM60" s="378"/>
      <c r="IN60" s="378"/>
      <c r="IO60" s="378"/>
      <c r="IP60" s="378"/>
      <c r="IQ60" s="378"/>
      <c r="IR60" s="378"/>
      <c r="IS60" s="378"/>
      <c r="IT60" s="378"/>
      <c r="IU60" s="378"/>
      <c r="IV60" s="378"/>
      <c r="IW60" s="378"/>
      <c r="IX60" s="378"/>
      <c r="IY60" s="378"/>
      <c r="IZ60" s="378"/>
      <c r="JA60" s="378"/>
    </row>
    <row r="61" spans="2:261" s="379" customFormat="1" ht="17" thickBot="1">
      <c r="B61" s="374"/>
      <c r="C61" s="375"/>
      <c r="D61" s="403"/>
      <c r="E61" s="417" t="str">
        <f>'Planning Template'!F11&amp;" "&amp;F10&amp;" Story Report:"</f>
        <v xml:space="preserve">  Story Report:</v>
      </c>
      <c r="F61" s="394"/>
      <c r="G61" s="394"/>
      <c r="H61" s="376"/>
      <c r="I61" s="377"/>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8"/>
      <c r="BV61" s="378"/>
      <c r="BW61" s="378"/>
      <c r="BX61" s="378"/>
      <c r="BY61" s="378"/>
      <c r="BZ61" s="378"/>
      <c r="CA61" s="378"/>
      <c r="CB61" s="378"/>
      <c r="CC61" s="378"/>
      <c r="CD61" s="378"/>
      <c r="CE61" s="378"/>
      <c r="CF61" s="378"/>
      <c r="CG61" s="378"/>
      <c r="CH61" s="378"/>
      <c r="CI61" s="378"/>
      <c r="CJ61" s="378"/>
      <c r="CK61" s="378"/>
      <c r="CL61" s="378"/>
      <c r="CM61" s="378"/>
      <c r="CN61" s="378"/>
      <c r="CO61" s="378"/>
      <c r="CP61" s="378"/>
      <c r="CQ61" s="378"/>
      <c r="CR61" s="378"/>
      <c r="CS61" s="378"/>
      <c r="CT61" s="378"/>
      <c r="CU61" s="378"/>
      <c r="CV61" s="378"/>
      <c r="CW61" s="378"/>
      <c r="CX61" s="378"/>
      <c r="CY61" s="378"/>
      <c r="CZ61" s="378"/>
      <c r="DA61" s="378"/>
      <c r="DB61" s="378"/>
      <c r="DC61" s="378"/>
      <c r="DD61" s="378"/>
      <c r="DE61" s="378"/>
      <c r="DF61" s="378"/>
      <c r="DG61" s="378"/>
      <c r="DH61" s="378"/>
      <c r="DI61" s="378"/>
      <c r="DJ61" s="378"/>
      <c r="DK61" s="378"/>
      <c r="DL61" s="378"/>
      <c r="DM61" s="378"/>
      <c r="DN61" s="378"/>
      <c r="DO61" s="378"/>
      <c r="DP61" s="378"/>
      <c r="DQ61" s="378"/>
      <c r="DR61" s="378"/>
      <c r="DS61" s="378"/>
      <c r="DT61" s="378"/>
      <c r="DU61" s="378"/>
      <c r="DV61" s="378"/>
      <c r="DW61" s="378"/>
      <c r="DX61" s="378"/>
      <c r="DY61" s="378"/>
      <c r="DZ61" s="378"/>
      <c r="EA61" s="378"/>
      <c r="EB61" s="378"/>
      <c r="EC61" s="378"/>
      <c r="ED61" s="378"/>
      <c r="EE61" s="378"/>
      <c r="EF61" s="378"/>
      <c r="EG61" s="378"/>
      <c r="EH61" s="378"/>
      <c r="EI61" s="378"/>
      <c r="EJ61" s="378"/>
      <c r="EK61" s="378"/>
      <c r="EL61" s="378"/>
      <c r="EM61" s="378"/>
      <c r="EN61" s="378"/>
      <c r="EO61" s="378"/>
      <c r="EP61" s="378"/>
      <c r="EQ61" s="378"/>
      <c r="ER61" s="378"/>
      <c r="ES61" s="378"/>
      <c r="ET61" s="378"/>
      <c r="EU61" s="378"/>
      <c r="EV61" s="378"/>
      <c r="EW61" s="378"/>
      <c r="EX61" s="378"/>
      <c r="EY61" s="378"/>
      <c r="EZ61" s="378"/>
      <c r="FA61" s="378"/>
      <c r="FB61" s="378"/>
      <c r="FC61" s="378"/>
      <c r="FD61" s="378"/>
      <c r="FE61" s="378"/>
      <c r="FF61" s="378"/>
      <c r="FG61" s="378"/>
      <c r="FH61" s="378"/>
      <c r="FI61" s="378"/>
      <c r="FJ61" s="378"/>
      <c r="FK61" s="378"/>
      <c r="FL61" s="378"/>
      <c r="FM61" s="378"/>
      <c r="FN61" s="378"/>
      <c r="FO61" s="378"/>
      <c r="FP61" s="378"/>
      <c r="FQ61" s="378"/>
      <c r="FR61" s="378"/>
      <c r="FS61" s="378"/>
      <c r="FT61" s="378"/>
      <c r="FU61" s="378"/>
      <c r="FV61" s="378"/>
      <c r="FW61" s="378"/>
      <c r="FX61" s="378"/>
      <c r="FY61" s="378"/>
      <c r="FZ61" s="378"/>
      <c r="GA61" s="378"/>
      <c r="GB61" s="378"/>
      <c r="GC61" s="378"/>
      <c r="GD61" s="378"/>
      <c r="GE61" s="378"/>
      <c r="GF61" s="378"/>
      <c r="GG61" s="378"/>
      <c r="GH61" s="378"/>
      <c r="GI61" s="378"/>
      <c r="GJ61" s="378"/>
      <c r="GK61" s="378"/>
      <c r="GL61" s="378"/>
      <c r="GM61" s="378"/>
      <c r="GN61" s="378"/>
      <c r="GO61" s="378"/>
      <c r="GP61" s="378"/>
      <c r="GQ61" s="378"/>
      <c r="GR61" s="378"/>
      <c r="GS61" s="378"/>
      <c r="GT61" s="378"/>
      <c r="GU61" s="378"/>
      <c r="GV61" s="378"/>
      <c r="GW61" s="378"/>
      <c r="GX61" s="378"/>
      <c r="GY61" s="378"/>
      <c r="GZ61" s="378"/>
      <c r="HA61" s="378"/>
      <c r="HB61" s="378"/>
      <c r="HC61" s="378"/>
      <c r="HD61" s="378"/>
      <c r="HE61" s="378"/>
      <c r="HF61" s="378"/>
      <c r="HG61" s="378"/>
      <c r="HH61" s="378"/>
      <c r="HI61" s="378"/>
      <c r="HJ61" s="378"/>
      <c r="HK61" s="378"/>
      <c r="HL61" s="378"/>
      <c r="HM61" s="378"/>
      <c r="HN61" s="378"/>
      <c r="HO61" s="378"/>
      <c r="HP61" s="378"/>
      <c r="HQ61" s="378"/>
      <c r="HR61" s="378"/>
      <c r="HS61" s="378"/>
      <c r="HT61" s="378"/>
      <c r="HU61" s="378"/>
      <c r="HV61" s="378"/>
      <c r="HW61" s="378"/>
      <c r="HX61" s="378"/>
      <c r="HY61" s="378"/>
      <c r="HZ61" s="378"/>
      <c r="IA61" s="378"/>
      <c r="IB61" s="378"/>
      <c r="IC61" s="378"/>
      <c r="ID61" s="378"/>
      <c r="IE61" s="378"/>
      <c r="IF61" s="378"/>
      <c r="IG61" s="378"/>
      <c r="IH61" s="378"/>
      <c r="II61" s="378"/>
      <c r="IJ61" s="378"/>
      <c r="IK61" s="378"/>
      <c r="IL61" s="378"/>
      <c r="IM61" s="378"/>
      <c r="IN61" s="378"/>
      <c r="IO61" s="378"/>
      <c r="IP61" s="378"/>
      <c r="IQ61" s="378"/>
      <c r="IR61" s="378"/>
      <c r="IS61" s="378"/>
      <c r="IT61" s="378"/>
      <c r="IU61" s="378"/>
      <c r="IV61" s="378"/>
      <c r="IW61" s="378"/>
      <c r="IX61" s="378"/>
      <c r="IY61" s="378"/>
      <c r="IZ61" s="378"/>
      <c r="JA61" s="378"/>
    </row>
    <row r="62" spans="2:261" s="379" customFormat="1">
      <c r="B62" s="374"/>
      <c r="C62" s="375"/>
      <c r="D62" s="419">
        <f>D57+1</f>
        <v>10</v>
      </c>
      <c r="E62" s="420" t="s">
        <v>5063</v>
      </c>
      <c r="F62" s="421"/>
      <c r="G62" s="422"/>
      <c r="H62" s="376"/>
      <c r="I62" s="377"/>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78"/>
      <c r="DF62" s="378"/>
      <c r="DG62" s="378"/>
      <c r="DH62" s="378"/>
      <c r="DI62" s="378"/>
      <c r="DJ62" s="378"/>
      <c r="DK62" s="378"/>
      <c r="DL62" s="378"/>
      <c r="DM62" s="378"/>
      <c r="DN62" s="378"/>
      <c r="DO62" s="378"/>
      <c r="DP62" s="378"/>
      <c r="DQ62" s="378"/>
      <c r="DR62" s="378"/>
      <c r="DS62" s="378"/>
      <c r="DT62" s="378"/>
      <c r="DU62" s="378"/>
      <c r="DV62" s="378"/>
      <c r="DW62" s="378"/>
      <c r="DX62" s="378"/>
      <c r="DY62" s="378"/>
      <c r="DZ62" s="378"/>
      <c r="EA62" s="378"/>
      <c r="EB62" s="378"/>
      <c r="EC62" s="378"/>
      <c r="ED62" s="378"/>
      <c r="EE62" s="378"/>
      <c r="EF62" s="378"/>
      <c r="EG62" s="378"/>
      <c r="EH62" s="378"/>
      <c r="EI62" s="378"/>
      <c r="EJ62" s="378"/>
      <c r="EK62" s="378"/>
      <c r="EL62" s="378"/>
      <c r="EM62" s="378"/>
      <c r="EN62" s="378"/>
      <c r="EO62" s="378"/>
      <c r="EP62" s="378"/>
      <c r="EQ62" s="378"/>
      <c r="ER62" s="378"/>
      <c r="ES62" s="378"/>
      <c r="ET62" s="378"/>
      <c r="EU62" s="378"/>
      <c r="EV62" s="378"/>
      <c r="EW62" s="378"/>
      <c r="EX62" s="378"/>
      <c r="EY62" s="378"/>
      <c r="EZ62" s="378"/>
      <c r="FA62" s="378"/>
      <c r="FB62" s="378"/>
      <c r="FC62" s="378"/>
      <c r="FD62" s="378"/>
      <c r="FE62" s="378"/>
      <c r="FF62" s="378"/>
      <c r="FG62" s="378"/>
      <c r="FH62" s="378"/>
      <c r="FI62" s="378"/>
      <c r="FJ62" s="378"/>
      <c r="FK62" s="378"/>
      <c r="FL62" s="378"/>
      <c r="FM62" s="378"/>
      <c r="FN62" s="378"/>
      <c r="FO62" s="378"/>
      <c r="FP62" s="378"/>
      <c r="FQ62" s="378"/>
      <c r="FR62" s="378"/>
      <c r="FS62" s="378"/>
      <c r="FT62" s="378"/>
      <c r="FU62" s="378"/>
      <c r="FV62" s="378"/>
      <c r="FW62" s="378"/>
      <c r="FX62" s="378"/>
      <c r="FY62" s="378"/>
      <c r="FZ62" s="378"/>
      <c r="GA62" s="378"/>
      <c r="GB62" s="378"/>
      <c r="GC62" s="378"/>
      <c r="GD62" s="378"/>
      <c r="GE62" s="378"/>
      <c r="GF62" s="378"/>
      <c r="GG62" s="378"/>
      <c r="GH62" s="378"/>
      <c r="GI62" s="378"/>
      <c r="GJ62" s="378"/>
      <c r="GK62" s="378"/>
      <c r="GL62" s="378"/>
      <c r="GM62" s="378"/>
      <c r="GN62" s="378"/>
      <c r="GO62" s="378"/>
      <c r="GP62" s="378"/>
      <c r="GQ62" s="378"/>
      <c r="GR62" s="378"/>
      <c r="GS62" s="378"/>
      <c r="GT62" s="378"/>
      <c r="GU62" s="378"/>
      <c r="GV62" s="378"/>
      <c r="GW62" s="378"/>
      <c r="GX62" s="378"/>
      <c r="GY62" s="378"/>
      <c r="GZ62" s="378"/>
      <c r="HA62" s="378"/>
      <c r="HB62" s="378"/>
      <c r="HC62" s="378"/>
      <c r="HD62" s="378"/>
      <c r="HE62" s="378"/>
      <c r="HF62" s="378"/>
      <c r="HG62" s="378"/>
      <c r="HH62" s="378"/>
      <c r="HI62" s="378"/>
      <c r="HJ62" s="378"/>
      <c r="HK62" s="378"/>
      <c r="HL62" s="378"/>
      <c r="HM62" s="378"/>
      <c r="HN62" s="378"/>
      <c r="HO62" s="378"/>
      <c r="HP62" s="378"/>
      <c r="HQ62" s="378"/>
      <c r="HR62" s="378"/>
      <c r="HS62" s="378"/>
      <c r="HT62" s="378"/>
      <c r="HU62" s="378"/>
      <c r="HV62" s="378"/>
      <c r="HW62" s="378"/>
      <c r="HX62" s="378"/>
      <c r="HY62" s="378"/>
      <c r="HZ62" s="378"/>
      <c r="IA62" s="378"/>
      <c r="IB62" s="378"/>
      <c r="IC62" s="378"/>
      <c r="ID62" s="378"/>
      <c r="IE62" s="378"/>
      <c r="IF62" s="378"/>
      <c r="IG62" s="378"/>
      <c r="IH62" s="378"/>
      <c r="II62" s="378"/>
      <c r="IJ62" s="378"/>
      <c r="IK62" s="378"/>
      <c r="IL62" s="378"/>
      <c r="IM62" s="378"/>
      <c r="IN62" s="378"/>
      <c r="IO62" s="378"/>
      <c r="IP62" s="378"/>
      <c r="IQ62" s="378"/>
      <c r="IR62" s="378"/>
      <c r="IS62" s="378"/>
      <c r="IT62" s="378"/>
      <c r="IU62" s="378"/>
      <c r="IV62" s="378"/>
      <c r="IW62" s="378"/>
      <c r="IX62" s="378"/>
      <c r="IY62" s="378"/>
      <c r="IZ62" s="378"/>
      <c r="JA62" s="378"/>
    </row>
    <row r="63" spans="2:261" s="379" customFormat="1">
      <c r="B63" s="374"/>
      <c r="C63" s="375"/>
      <c r="D63" s="423"/>
      <c r="E63" s="398"/>
      <c r="F63" s="395"/>
      <c r="G63" s="424"/>
      <c r="H63" s="376"/>
      <c r="I63" s="377"/>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8"/>
      <c r="AY63" s="378"/>
      <c r="AZ63" s="378"/>
      <c r="BA63" s="378"/>
      <c r="BB63" s="378"/>
      <c r="BC63" s="378"/>
      <c r="BD63" s="378"/>
      <c r="BE63" s="378"/>
      <c r="BF63" s="378"/>
      <c r="BG63" s="378"/>
      <c r="BH63" s="378"/>
      <c r="BI63" s="378"/>
      <c r="BJ63" s="378"/>
      <c r="BK63" s="378"/>
      <c r="BL63" s="378"/>
      <c r="BM63" s="378"/>
      <c r="BN63" s="378"/>
      <c r="BO63" s="378"/>
      <c r="BP63" s="378"/>
      <c r="BQ63" s="378"/>
      <c r="BR63" s="378"/>
      <c r="BS63" s="378"/>
      <c r="BT63" s="378"/>
      <c r="BU63" s="378"/>
      <c r="BV63" s="378"/>
      <c r="BW63" s="378"/>
      <c r="BX63" s="378"/>
      <c r="BY63" s="378"/>
      <c r="BZ63" s="378"/>
      <c r="CA63" s="378"/>
      <c r="CB63" s="378"/>
      <c r="CC63" s="378"/>
      <c r="CD63" s="378"/>
      <c r="CE63" s="378"/>
      <c r="CF63" s="378"/>
      <c r="CG63" s="378"/>
      <c r="CH63" s="378"/>
      <c r="CI63" s="378"/>
      <c r="CJ63" s="378"/>
      <c r="CK63" s="378"/>
      <c r="CL63" s="378"/>
      <c r="CM63" s="378"/>
      <c r="CN63" s="378"/>
      <c r="CO63" s="378"/>
      <c r="CP63" s="378"/>
      <c r="CQ63" s="378"/>
      <c r="CR63" s="378"/>
      <c r="CS63" s="378"/>
      <c r="CT63" s="378"/>
      <c r="CU63" s="378"/>
      <c r="CV63" s="378"/>
      <c r="CW63" s="378"/>
      <c r="CX63" s="378"/>
      <c r="CY63" s="378"/>
      <c r="CZ63" s="378"/>
      <c r="DA63" s="378"/>
      <c r="DB63" s="378"/>
      <c r="DC63" s="378"/>
      <c r="DD63" s="378"/>
      <c r="DE63" s="378"/>
      <c r="DF63" s="378"/>
      <c r="DG63" s="378"/>
      <c r="DH63" s="378"/>
      <c r="DI63" s="378"/>
      <c r="DJ63" s="378"/>
      <c r="DK63" s="378"/>
      <c r="DL63" s="378"/>
      <c r="DM63" s="378"/>
      <c r="DN63" s="378"/>
      <c r="DO63" s="378"/>
      <c r="DP63" s="378"/>
      <c r="DQ63" s="378"/>
      <c r="DR63" s="378"/>
      <c r="DS63" s="378"/>
      <c r="DT63" s="378"/>
      <c r="DU63" s="378"/>
      <c r="DV63" s="378"/>
      <c r="DW63" s="378"/>
      <c r="DX63" s="378"/>
      <c r="DY63" s="378"/>
      <c r="DZ63" s="378"/>
      <c r="EA63" s="378"/>
      <c r="EB63" s="378"/>
      <c r="EC63" s="378"/>
      <c r="ED63" s="378"/>
      <c r="EE63" s="378"/>
      <c r="EF63" s="378"/>
      <c r="EG63" s="378"/>
      <c r="EH63" s="378"/>
      <c r="EI63" s="378"/>
      <c r="EJ63" s="378"/>
      <c r="EK63" s="378"/>
      <c r="EL63" s="378"/>
      <c r="EM63" s="378"/>
      <c r="EN63" s="378"/>
      <c r="EO63" s="378"/>
      <c r="EP63" s="378"/>
      <c r="EQ63" s="378"/>
      <c r="ER63" s="378"/>
      <c r="ES63" s="378"/>
      <c r="ET63" s="378"/>
      <c r="EU63" s="378"/>
      <c r="EV63" s="378"/>
      <c r="EW63" s="378"/>
      <c r="EX63" s="378"/>
      <c r="EY63" s="378"/>
      <c r="EZ63" s="378"/>
      <c r="FA63" s="378"/>
      <c r="FB63" s="378"/>
      <c r="FC63" s="378"/>
      <c r="FD63" s="378"/>
      <c r="FE63" s="378"/>
      <c r="FF63" s="378"/>
      <c r="FG63" s="378"/>
      <c r="FH63" s="378"/>
      <c r="FI63" s="378"/>
      <c r="FJ63" s="378"/>
      <c r="FK63" s="378"/>
      <c r="FL63" s="378"/>
      <c r="FM63" s="378"/>
      <c r="FN63" s="378"/>
      <c r="FO63" s="378"/>
      <c r="FP63" s="378"/>
      <c r="FQ63" s="378"/>
      <c r="FR63" s="378"/>
      <c r="FS63" s="378"/>
      <c r="FT63" s="378"/>
      <c r="FU63" s="378"/>
      <c r="FV63" s="378"/>
      <c r="FW63" s="378"/>
      <c r="FX63" s="378"/>
      <c r="FY63" s="378"/>
      <c r="FZ63" s="378"/>
      <c r="GA63" s="378"/>
      <c r="GB63" s="378"/>
      <c r="GC63" s="378"/>
      <c r="GD63" s="378"/>
      <c r="GE63" s="378"/>
      <c r="GF63" s="378"/>
      <c r="GG63" s="378"/>
      <c r="GH63" s="378"/>
      <c r="GI63" s="378"/>
      <c r="GJ63" s="378"/>
      <c r="GK63" s="378"/>
      <c r="GL63" s="378"/>
      <c r="GM63" s="378"/>
      <c r="GN63" s="378"/>
      <c r="GO63" s="378"/>
      <c r="GP63" s="378"/>
      <c r="GQ63" s="378"/>
      <c r="GR63" s="378"/>
      <c r="GS63" s="378"/>
      <c r="GT63" s="378"/>
      <c r="GU63" s="378"/>
      <c r="GV63" s="378"/>
      <c r="GW63" s="378"/>
      <c r="GX63" s="378"/>
      <c r="GY63" s="378"/>
      <c r="GZ63" s="378"/>
      <c r="HA63" s="378"/>
      <c r="HB63" s="378"/>
      <c r="HC63" s="378"/>
      <c r="HD63" s="378"/>
      <c r="HE63" s="378"/>
      <c r="HF63" s="378"/>
      <c r="HG63" s="378"/>
      <c r="HH63" s="378"/>
      <c r="HI63" s="378"/>
      <c r="HJ63" s="378"/>
      <c r="HK63" s="378"/>
      <c r="HL63" s="378"/>
      <c r="HM63" s="378"/>
      <c r="HN63" s="378"/>
      <c r="HO63" s="378"/>
      <c r="HP63" s="378"/>
      <c r="HQ63" s="378"/>
      <c r="HR63" s="378"/>
      <c r="HS63" s="378"/>
      <c r="HT63" s="378"/>
      <c r="HU63" s="378"/>
      <c r="HV63" s="378"/>
      <c r="HW63" s="378"/>
      <c r="HX63" s="378"/>
      <c r="HY63" s="378"/>
      <c r="HZ63" s="378"/>
      <c r="IA63" s="378"/>
      <c r="IB63" s="378"/>
      <c r="IC63" s="378"/>
      <c r="ID63" s="378"/>
      <c r="IE63" s="378"/>
      <c r="IF63" s="378"/>
      <c r="IG63" s="378"/>
      <c r="IH63" s="378"/>
      <c r="II63" s="378"/>
      <c r="IJ63" s="378"/>
      <c r="IK63" s="378"/>
      <c r="IL63" s="378"/>
      <c r="IM63" s="378"/>
      <c r="IN63" s="378"/>
      <c r="IO63" s="378"/>
      <c r="IP63" s="378"/>
      <c r="IQ63" s="378"/>
      <c r="IR63" s="378"/>
      <c r="IS63" s="378"/>
      <c r="IT63" s="378"/>
      <c r="IU63" s="378"/>
      <c r="IV63" s="378"/>
      <c r="IW63" s="378"/>
      <c r="IX63" s="378"/>
      <c r="IY63" s="378"/>
      <c r="IZ63" s="378"/>
      <c r="JA63" s="378"/>
    </row>
    <row r="64" spans="2:261" s="379" customFormat="1">
      <c r="B64" s="374"/>
      <c r="C64" s="375"/>
      <c r="D64" s="423">
        <f>D62+1</f>
        <v>11</v>
      </c>
      <c r="E64" s="398" t="s">
        <v>5064</v>
      </c>
      <c r="F64" s="390"/>
      <c r="G64" s="424"/>
      <c r="H64" s="376"/>
      <c r="I64" s="377"/>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8"/>
      <c r="BV64" s="378"/>
      <c r="BW64" s="378"/>
      <c r="BX64" s="378"/>
      <c r="BY64" s="378"/>
      <c r="BZ64" s="378"/>
      <c r="CA64" s="378"/>
      <c r="CB64" s="378"/>
      <c r="CC64" s="378"/>
      <c r="CD64" s="378"/>
      <c r="CE64" s="378"/>
      <c r="CF64" s="378"/>
      <c r="CG64" s="378"/>
      <c r="CH64" s="378"/>
      <c r="CI64" s="378"/>
      <c r="CJ64" s="378"/>
      <c r="CK64" s="378"/>
      <c r="CL64" s="378"/>
      <c r="CM64" s="378"/>
      <c r="CN64" s="378"/>
      <c r="CO64" s="378"/>
      <c r="CP64" s="378"/>
      <c r="CQ64" s="378"/>
      <c r="CR64" s="378"/>
      <c r="CS64" s="378"/>
      <c r="CT64" s="378"/>
      <c r="CU64" s="378"/>
      <c r="CV64" s="378"/>
      <c r="CW64" s="378"/>
      <c r="CX64" s="378"/>
      <c r="CY64" s="378"/>
      <c r="CZ64" s="378"/>
      <c r="DA64" s="378"/>
      <c r="DB64" s="378"/>
      <c r="DC64" s="378"/>
      <c r="DD64" s="378"/>
      <c r="DE64" s="378"/>
      <c r="DF64" s="378"/>
      <c r="DG64" s="378"/>
      <c r="DH64" s="378"/>
      <c r="DI64" s="378"/>
      <c r="DJ64" s="378"/>
      <c r="DK64" s="378"/>
      <c r="DL64" s="378"/>
      <c r="DM64" s="378"/>
      <c r="DN64" s="378"/>
      <c r="DO64" s="378"/>
      <c r="DP64" s="378"/>
      <c r="DQ64" s="378"/>
      <c r="DR64" s="378"/>
      <c r="DS64" s="378"/>
      <c r="DT64" s="378"/>
      <c r="DU64" s="378"/>
      <c r="DV64" s="378"/>
      <c r="DW64" s="378"/>
      <c r="DX64" s="378"/>
      <c r="DY64" s="378"/>
      <c r="DZ64" s="378"/>
      <c r="EA64" s="378"/>
      <c r="EB64" s="378"/>
      <c r="EC64" s="378"/>
      <c r="ED64" s="378"/>
      <c r="EE64" s="378"/>
      <c r="EF64" s="378"/>
      <c r="EG64" s="378"/>
      <c r="EH64" s="378"/>
      <c r="EI64" s="378"/>
      <c r="EJ64" s="378"/>
      <c r="EK64" s="378"/>
      <c r="EL64" s="378"/>
      <c r="EM64" s="378"/>
      <c r="EN64" s="378"/>
      <c r="EO64" s="378"/>
      <c r="EP64" s="378"/>
      <c r="EQ64" s="378"/>
      <c r="ER64" s="378"/>
      <c r="ES64" s="378"/>
      <c r="ET64" s="378"/>
      <c r="EU64" s="378"/>
      <c r="EV64" s="378"/>
      <c r="EW64" s="378"/>
      <c r="EX64" s="378"/>
      <c r="EY64" s="378"/>
      <c r="EZ64" s="378"/>
      <c r="FA64" s="378"/>
      <c r="FB64" s="378"/>
      <c r="FC64" s="378"/>
      <c r="FD64" s="378"/>
      <c r="FE64" s="378"/>
      <c r="FF64" s="378"/>
      <c r="FG64" s="378"/>
      <c r="FH64" s="378"/>
      <c r="FI64" s="378"/>
      <c r="FJ64" s="378"/>
      <c r="FK64" s="378"/>
      <c r="FL64" s="378"/>
      <c r="FM64" s="378"/>
      <c r="FN64" s="378"/>
      <c r="FO64" s="378"/>
      <c r="FP64" s="378"/>
      <c r="FQ64" s="378"/>
      <c r="FR64" s="378"/>
      <c r="FS64" s="378"/>
      <c r="FT64" s="378"/>
      <c r="FU64" s="378"/>
      <c r="FV64" s="378"/>
      <c r="FW64" s="378"/>
      <c r="FX64" s="378"/>
      <c r="FY64" s="378"/>
      <c r="FZ64" s="378"/>
      <c r="GA64" s="378"/>
      <c r="GB64" s="378"/>
      <c r="GC64" s="378"/>
      <c r="GD64" s="378"/>
      <c r="GE64" s="378"/>
      <c r="GF64" s="378"/>
      <c r="GG64" s="378"/>
      <c r="GH64" s="378"/>
      <c r="GI64" s="378"/>
      <c r="GJ64" s="378"/>
      <c r="GK64" s="378"/>
      <c r="GL64" s="378"/>
      <c r="GM64" s="378"/>
      <c r="GN64" s="378"/>
      <c r="GO64" s="378"/>
      <c r="GP64" s="378"/>
      <c r="GQ64" s="378"/>
      <c r="GR64" s="378"/>
      <c r="GS64" s="378"/>
      <c r="GT64" s="378"/>
      <c r="GU64" s="378"/>
      <c r="GV64" s="378"/>
      <c r="GW64" s="378"/>
      <c r="GX64" s="378"/>
      <c r="GY64" s="378"/>
      <c r="GZ64" s="378"/>
      <c r="HA64" s="378"/>
      <c r="HB64" s="378"/>
      <c r="HC64" s="378"/>
      <c r="HD64" s="378"/>
      <c r="HE64" s="378"/>
      <c r="HF64" s="378"/>
      <c r="HG64" s="378"/>
      <c r="HH64" s="378"/>
      <c r="HI64" s="378"/>
      <c r="HJ64" s="378"/>
      <c r="HK64" s="378"/>
      <c r="HL64" s="378"/>
      <c r="HM64" s="378"/>
      <c r="HN64" s="378"/>
      <c r="HO64" s="378"/>
      <c r="HP64" s="378"/>
      <c r="HQ64" s="378"/>
      <c r="HR64" s="378"/>
      <c r="HS64" s="378"/>
      <c r="HT64" s="378"/>
      <c r="HU64" s="378"/>
      <c r="HV64" s="378"/>
      <c r="HW64" s="378"/>
      <c r="HX64" s="378"/>
      <c r="HY64" s="378"/>
      <c r="HZ64" s="378"/>
      <c r="IA64" s="378"/>
      <c r="IB64" s="378"/>
      <c r="IC64" s="378"/>
      <c r="ID64" s="378"/>
      <c r="IE64" s="378"/>
      <c r="IF64" s="378"/>
      <c r="IG64" s="378"/>
      <c r="IH64" s="378"/>
      <c r="II64" s="378"/>
      <c r="IJ64" s="378"/>
      <c r="IK64" s="378"/>
      <c r="IL64" s="378"/>
      <c r="IM64" s="378"/>
      <c r="IN64" s="378"/>
      <c r="IO64" s="378"/>
      <c r="IP64" s="378"/>
      <c r="IQ64" s="378"/>
      <c r="IR64" s="378"/>
      <c r="IS64" s="378"/>
      <c r="IT64" s="378"/>
      <c r="IU64" s="378"/>
      <c r="IV64" s="378"/>
      <c r="IW64" s="378"/>
      <c r="IX64" s="378"/>
      <c r="IY64" s="378"/>
      <c r="IZ64" s="378"/>
      <c r="JA64" s="378"/>
    </row>
    <row r="65" spans="2:261" s="379" customFormat="1">
      <c r="B65" s="374"/>
      <c r="C65" s="375"/>
      <c r="D65" s="423"/>
      <c r="E65" s="398"/>
      <c r="F65" s="395"/>
      <c r="G65" s="424"/>
      <c r="H65" s="376"/>
      <c r="I65" s="377"/>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8"/>
      <c r="BF65" s="378"/>
      <c r="BG65" s="378"/>
      <c r="BH65" s="378"/>
      <c r="BI65" s="378"/>
      <c r="BJ65" s="378"/>
      <c r="BK65" s="378"/>
      <c r="BL65" s="378"/>
      <c r="BM65" s="378"/>
      <c r="BN65" s="378"/>
      <c r="BO65" s="378"/>
      <c r="BP65" s="378"/>
      <c r="BQ65" s="378"/>
      <c r="BR65" s="378"/>
      <c r="BS65" s="378"/>
      <c r="BT65" s="378"/>
      <c r="BU65" s="378"/>
      <c r="BV65" s="378"/>
      <c r="BW65" s="378"/>
      <c r="BX65" s="378"/>
      <c r="BY65" s="378"/>
      <c r="BZ65" s="378"/>
      <c r="CA65" s="378"/>
      <c r="CB65" s="378"/>
      <c r="CC65" s="378"/>
      <c r="CD65" s="378"/>
      <c r="CE65" s="378"/>
      <c r="CF65" s="378"/>
      <c r="CG65" s="378"/>
      <c r="CH65" s="378"/>
      <c r="CI65" s="378"/>
      <c r="CJ65" s="378"/>
      <c r="CK65" s="378"/>
      <c r="CL65" s="378"/>
      <c r="CM65" s="378"/>
      <c r="CN65" s="378"/>
      <c r="CO65" s="378"/>
      <c r="CP65" s="378"/>
      <c r="CQ65" s="378"/>
      <c r="CR65" s="378"/>
      <c r="CS65" s="378"/>
      <c r="CT65" s="378"/>
      <c r="CU65" s="378"/>
      <c r="CV65" s="378"/>
      <c r="CW65" s="378"/>
      <c r="CX65" s="378"/>
      <c r="CY65" s="378"/>
      <c r="CZ65" s="378"/>
      <c r="DA65" s="378"/>
      <c r="DB65" s="378"/>
      <c r="DC65" s="378"/>
      <c r="DD65" s="378"/>
      <c r="DE65" s="378"/>
      <c r="DF65" s="378"/>
      <c r="DG65" s="378"/>
      <c r="DH65" s="378"/>
      <c r="DI65" s="378"/>
      <c r="DJ65" s="378"/>
      <c r="DK65" s="378"/>
      <c r="DL65" s="378"/>
      <c r="DM65" s="378"/>
      <c r="DN65" s="378"/>
      <c r="DO65" s="378"/>
      <c r="DP65" s="378"/>
      <c r="DQ65" s="378"/>
      <c r="DR65" s="378"/>
      <c r="DS65" s="378"/>
      <c r="DT65" s="378"/>
      <c r="DU65" s="378"/>
      <c r="DV65" s="378"/>
      <c r="DW65" s="378"/>
      <c r="DX65" s="378"/>
      <c r="DY65" s="378"/>
      <c r="DZ65" s="378"/>
      <c r="EA65" s="378"/>
      <c r="EB65" s="378"/>
      <c r="EC65" s="378"/>
      <c r="ED65" s="378"/>
      <c r="EE65" s="378"/>
      <c r="EF65" s="378"/>
      <c r="EG65" s="378"/>
      <c r="EH65" s="378"/>
      <c r="EI65" s="378"/>
      <c r="EJ65" s="378"/>
      <c r="EK65" s="378"/>
      <c r="EL65" s="378"/>
      <c r="EM65" s="378"/>
      <c r="EN65" s="378"/>
      <c r="EO65" s="378"/>
      <c r="EP65" s="378"/>
      <c r="EQ65" s="378"/>
      <c r="ER65" s="378"/>
      <c r="ES65" s="378"/>
      <c r="ET65" s="378"/>
      <c r="EU65" s="378"/>
      <c r="EV65" s="378"/>
      <c r="EW65" s="378"/>
      <c r="EX65" s="378"/>
      <c r="EY65" s="378"/>
      <c r="EZ65" s="378"/>
      <c r="FA65" s="378"/>
      <c r="FB65" s="378"/>
      <c r="FC65" s="378"/>
      <c r="FD65" s="378"/>
      <c r="FE65" s="378"/>
      <c r="FF65" s="378"/>
      <c r="FG65" s="378"/>
      <c r="FH65" s="378"/>
      <c r="FI65" s="378"/>
      <c r="FJ65" s="378"/>
      <c r="FK65" s="378"/>
      <c r="FL65" s="378"/>
      <c r="FM65" s="378"/>
      <c r="FN65" s="378"/>
      <c r="FO65" s="378"/>
      <c r="FP65" s="378"/>
      <c r="FQ65" s="378"/>
      <c r="FR65" s="378"/>
      <c r="FS65" s="378"/>
      <c r="FT65" s="378"/>
      <c r="FU65" s="378"/>
      <c r="FV65" s="378"/>
      <c r="FW65" s="378"/>
      <c r="FX65" s="378"/>
      <c r="FY65" s="378"/>
      <c r="FZ65" s="378"/>
      <c r="GA65" s="378"/>
      <c r="GB65" s="378"/>
      <c r="GC65" s="378"/>
      <c r="GD65" s="378"/>
      <c r="GE65" s="378"/>
      <c r="GF65" s="378"/>
      <c r="GG65" s="378"/>
      <c r="GH65" s="378"/>
      <c r="GI65" s="378"/>
      <c r="GJ65" s="378"/>
      <c r="GK65" s="378"/>
      <c r="GL65" s="378"/>
      <c r="GM65" s="378"/>
      <c r="GN65" s="378"/>
      <c r="GO65" s="378"/>
      <c r="GP65" s="378"/>
      <c r="GQ65" s="378"/>
      <c r="GR65" s="378"/>
      <c r="GS65" s="378"/>
      <c r="GT65" s="378"/>
      <c r="GU65" s="378"/>
      <c r="GV65" s="378"/>
      <c r="GW65" s="378"/>
      <c r="GX65" s="378"/>
      <c r="GY65" s="378"/>
      <c r="GZ65" s="378"/>
      <c r="HA65" s="378"/>
      <c r="HB65" s="378"/>
      <c r="HC65" s="378"/>
      <c r="HD65" s="378"/>
      <c r="HE65" s="378"/>
      <c r="HF65" s="378"/>
      <c r="HG65" s="378"/>
      <c r="HH65" s="378"/>
      <c r="HI65" s="378"/>
      <c r="HJ65" s="378"/>
      <c r="HK65" s="378"/>
      <c r="HL65" s="378"/>
      <c r="HM65" s="378"/>
      <c r="HN65" s="378"/>
      <c r="HO65" s="378"/>
      <c r="HP65" s="378"/>
      <c r="HQ65" s="378"/>
      <c r="HR65" s="378"/>
      <c r="HS65" s="378"/>
      <c r="HT65" s="378"/>
      <c r="HU65" s="378"/>
      <c r="HV65" s="378"/>
      <c r="HW65" s="378"/>
      <c r="HX65" s="378"/>
      <c r="HY65" s="378"/>
      <c r="HZ65" s="378"/>
      <c r="IA65" s="378"/>
      <c r="IB65" s="378"/>
      <c r="IC65" s="378"/>
      <c r="ID65" s="378"/>
      <c r="IE65" s="378"/>
      <c r="IF65" s="378"/>
      <c r="IG65" s="378"/>
      <c r="IH65" s="378"/>
      <c r="II65" s="378"/>
      <c r="IJ65" s="378"/>
      <c r="IK65" s="378"/>
      <c r="IL65" s="378"/>
      <c r="IM65" s="378"/>
      <c r="IN65" s="378"/>
      <c r="IO65" s="378"/>
      <c r="IP65" s="378"/>
      <c r="IQ65" s="378"/>
      <c r="IR65" s="378"/>
      <c r="IS65" s="378"/>
      <c r="IT65" s="378"/>
      <c r="IU65" s="378"/>
      <c r="IV65" s="378"/>
      <c r="IW65" s="378"/>
      <c r="IX65" s="378"/>
      <c r="IY65" s="378"/>
      <c r="IZ65" s="378"/>
      <c r="JA65" s="378"/>
    </row>
    <row r="66" spans="2:261" s="379" customFormat="1">
      <c r="B66" s="374"/>
      <c r="C66" s="375"/>
      <c r="D66" s="423">
        <f>D64+1</f>
        <v>12</v>
      </c>
      <c r="E66" s="398" t="s">
        <v>5065</v>
      </c>
      <c r="F66" s="390"/>
      <c r="G66" s="424"/>
      <c r="H66" s="376"/>
      <c r="I66" s="377"/>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8"/>
      <c r="AY66" s="378"/>
      <c r="AZ66" s="378"/>
      <c r="BA66" s="378"/>
      <c r="BB66" s="378"/>
      <c r="BC66" s="378"/>
      <c r="BD66" s="378"/>
      <c r="BE66" s="378"/>
      <c r="BF66" s="378"/>
      <c r="BG66" s="378"/>
      <c r="BH66" s="378"/>
      <c r="BI66" s="378"/>
      <c r="BJ66" s="378"/>
      <c r="BK66" s="378"/>
      <c r="BL66" s="378"/>
      <c r="BM66" s="378"/>
      <c r="BN66" s="378"/>
      <c r="BO66" s="378"/>
      <c r="BP66" s="378"/>
      <c r="BQ66" s="378"/>
      <c r="BR66" s="378"/>
      <c r="BS66" s="378"/>
      <c r="BT66" s="378"/>
      <c r="BU66" s="378"/>
      <c r="BV66" s="378"/>
      <c r="BW66" s="378"/>
      <c r="BX66" s="378"/>
      <c r="BY66" s="378"/>
      <c r="BZ66" s="378"/>
      <c r="CA66" s="378"/>
      <c r="CB66" s="378"/>
      <c r="CC66" s="378"/>
      <c r="CD66" s="378"/>
      <c r="CE66" s="378"/>
      <c r="CF66" s="378"/>
      <c r="CG66" s="378"/>
      <c r="CH66" s="378"/>
      <c r="CI66" s="378"/>
      <c r="CJ66" s="378"/>
      <c r="CK66" s="378"/>
      <c r="CL66" s="378"/>
      <c r="CM66" s="378"/>
      <c r="CN66" s="378"/>
      <c r="CO66" s="378"/>
      <c r="CP66" s="378"/>
      <c r="CQ66" s="378"/>
      <c r="CR66" s="378"/>
      <c r="CS66" s="378"/>
      <c r="CT66" s="378"/>
      <c r="CU66" s="378"/>
      <c r="CV66" s="378"/>
      <c r="CW66" s="378"/>
      <c r="CX66" s="378"/>
      <c r="CY66" s="378"/>
      <c r="CZ66" s="378"/>
      <c r="DA66" s="378"/>
      <c r="DB66" s="378"/>
      <c r="DC66" s="378"/>
      <c r="DD66" s="378"/>
      <c r="DE66" s="378"/>
      <c r="DF66" s="378"/>
      <c r="DG66" s="378"/>
      <c r="DH66" s="378"/>
      <c r="DI66" s="378"/>
      <c r="DJ66" s="378"/>
      <c r="DK66" s="378"/>
      <c r="DL66" s="378"/>
      <c r="DM66" s="378"/>
      <c r="DN66" s="378"/>
      <c r="DO66" s="378"/>
      <c r="DP66" s="378"/>
      <c r="DQ66" s="378"/>
      <c r="DR66" s="378"/>
      <c r="DS66" s="378"/>
      <c r="DT66" s="378"/>
      <c r="DU66" s="378"/>
      <c r="DV66" s="378"/>
      <c r="DW66" s="378"/>
      <c r="DX66" s="378"/>
      <c r="DY66" s="378"/>
      <c r="DZ66" s="378"/>
      <c r="EA66" s="378"/>
      <c r="EB66" s="378"/>
      <c r="EC66" s="378"/>
      <c r="ED66" s="378"/>
      <c r="EE66" s="378"/>
      <c r="EF66" s="378"/>
      <c r="EG66" s="378"/>
      <c r="EH66" s="378"/>
      <c r="EI66" s="378"/>
      <c r="EJ66" s="378"/>
      <c r="EK66" s="378"/>
      <c r="EL66" s="378"/>
      <c r="EM66" s="378"/>
      <c r="EN66" s="378"/>
      <c r="EO66" s="378"/>
      <c r="EP66" s="378"/>
      <c r="EQ66" s="378"/>
      <c r="ER66" s="378"/>
      <c r="ES66" s="378"/>
      <c r="ET66" s="378"/>
      <c r="EU66" s="378"/>
      <c r="EV66" s="378"/>
      <c r="EW66" s="378"/>
      <c r="EX66" s="378"/>
      <c r="EY66" s="378"/>
      <c r="EZ66" s="378"/>
      <c r="FA66" s="378"/>
      <c r="FB66" s="378"/>
      <c r="FC66" s="378"/>
      <c r="FD66" s="378"/>
      <c r="FE66" s="378"/>
      <c r="FF66" s="378"/>
      <c r="FG66" s="378"/>
      <c r="FH66" s="378"/>
      <c r="FI66" s="378"/>
      <c r="FJ66" s="378"/>
      <c r="FK66" s="378"/>
      <c r="FL66" s="378"/>
      <c r="FM66" s="378"/>
      <c r="FN66" s="378"/>
      <c r="FO66" s="378"/>
      <c r="FP66" s="378"/>
      <c r="FQ66" s="378"/>
      <c r="FR66" s="378"/>
      <c r="FS66" s="378"/>
      <c r="FT66" s="378"/>
      <c r="FU66" s="378"/>
      <c r="FV66" s="378"/>
      <c r="FW66" s="378"/>
      <c r="FX66" s="378"/>
      <c r="FY66" s="378"/>
      <c r="FZ66" s="378"/>
      <c r="GA66" s="378"/>
      <c r="GB66" s="378"/>
      <c r="GC66" s="378"/>
      <c r="GD66" s="378"/>
      <c r="GE66" s="378"/>
      <c r="GF66" s="378"/>
      <c r="GG66" s="378"/>
      <c r="GH66" s="378"/>
      <c r="GI66" s="378"/>
      <c r="GJ66" s="378"/>
      <c r="GK66" s="378"/>
      <c r="GL66" s="378"/>
      <c r="GM66" s="378"/>
      <c r="GN66" s="378"/>
      <c r="GO66" s="378"/>
      <c r="GP66" s="378"/>
      <c r="GQ66" s="378"/>
      <c r="GR66" s="378"/>
      <c r="GS66" s="378"/>
      <c r="GT66" s="378"/>
      <c r="GU66" s="378"/>
      <c r="GV66" s="378"/>
      <c r="GW66" s="378"/>
      <c r="GX66" s="378"/>
      <c r="GY66" s="378"/>
      <c r="GZ66" s="378"/>
      <c r="HA66" s="378"/>
      <c r="HB66" s="378"/>
      <c r="HC66" s="378"/>
      <c r="HD66" s="378"/>
      <c r="HE66" s="378"/>
      <c r="HF66" s="378"/>
      <c r="HG66" s="378"/>
      <c r="HH66" s="378"/>
      <c r="HI66" s="378"/>
      <c r="HJ66" s="378"/>
      <c r="HK66" s="378"/>
      <c r="HL66" s="378"/>
      <c r="HM66" s="378"/>
      <c r="HN66" s="378"/>
      <c r="HO66" s="378"/>
      <c r="HP66" s="378"/>
      <c r="HQ66" s="378"/>
      <c r="HR66" s="378"/>
      <c r="HS66" s="378"/>
      <c r="HT66" s="378"/>
      <c r="HU66" s="378"/>
      <c r="HV66" s="378"/>
      <c r="HW66" s="378"/>
      <c r="HX66" s="378"/>
      <c r="HY66" s="378"/>
      <c r="HZ66" s="378"/>
      <c r="IA66" s="378"/>
      <c r="IB66" s="378"/>
      <c r="IC66" s="378"/>
      <c r="ID66" s="378"/>
      <c r="IE66" s="378"/>
      <c r="IF66" s="378"/>
      <c r="IG66" s="378"/>
      <c r="IH66" s="378"/>
      <c r="II66" s="378"/>
      <c r="IJ66" s="378"/>
      <c r="IK66" s="378"/>
      <c r="IL66" s="378"/>
      <c r="IM66" s="378"/>
      <c r="IN66" s="378"/>
      <c r="IO66" s="378"/>
      <c r="IP66" s="378"/>
      <c r="IQ66" s="378"/>
      <c r="IR66" s="378"/>
      <c r="IS66" s="378"/>
      <c r="IT66" s="378"/>
      <c r="IU66" s="378"/>
      <c r="IV66" s="378"/>
      <c r="IW66" s="378"/>
      <c r="IX66" s="378"/>
      <c r="IY66" s="378"/>
      <c r="IZ66" s="378"/>
      <c r="JA66" s="378"/>
    </row>
    <row r="67" spans="2:261" s="379" customFormat="1" ht="86" customHeight="1">
      <c r="B67" s="374"/>
      <c r="C67" s="375"/>
      <c r="D67" s="423"/>
      <c r="E67" s="388"/>
      <c r="F67" s="395"/>
      <c r="G67" s="425"/>
      <c r="H67" s="376"/>
      <c r="I67" s="377"/>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8"/>
      <c r="AY67" s="378"/>
      <c r="AZ67" s="378"/>
      <c r="BA67" s="378"/>
      <c r="BB67" s="378"/>
      <c r="BC67" s="378"/>
      <c r="BD67" s="378"/>
      <c r="BE67" s="378"/>
      <c r="BF67" s="378"/>
      <c r="BG67" s="378"/>
      <c r="BH67" s="378"/>
      <c r="BI67" s="378"/>
      <c r="BJ67" s="378"/>
      <c r="BK67" s="378"/>
      <c r="BL67" s="378"/>
      <c r="BM67" s="378"/>
      <c r="BN67" s="378"/>
      <c r="BO67" s="378"/>
      <c r="BP67" s="378"/>
      <c r="BQ67" s="378"/>
      <c r="BR67" s="378"/>
      <c r="BS67" s="378"/>
      <c r="BT67" s="378"/>
      <c r="BU67" s="378"/>
      <c r="BV67" s="378"/>
      <c r="BW67" s="378"/>
      <c r="BX67" s="378"/>
      <c r="BY67" s="378"/>
      <c r="BZ67" s="378"/>
      <c r="CA67" s="378"/>
      <c r="CB67" s="378"/>
      <c r="CC67" s="378"/>
      <c r="CD67" s="378"/>
      <c r="CE67" s="378"/>
      <c r="CF67" s="378"/>
      <c r="CG67" s="378"/>
      <c r="CH67" s="378"/>
      <c r="CI67" s="378"/>
      <c r="CJ67" s="378"/>
      <c r="CK67" s="378"/>
      <c r="CL67" s="378"/>
      <c r="CM67" s="378"/>
      <c r="CN67" s="378"/>
      <c r="CO67" s="378"/>
      <c r="CP67" s="378"/>
      <c r="CQ67" s="378"/>
      <c r="CR67" s="378"/>
      <c r="CS67" s="378"/>
      <c r="CT67" s="378"/>
      <c r="CU67" s="378"/>
      <c r="CV67" s="378"/>
      <c r="CW67" s="378"/>
      <c r="CX67" s="378"/>
      <c r="CY67" s="378"/>
      <c r="CZ67" s="378"/>
      <c r="DA67" s="378"/>
      <c r="DB67" s="378"/>
      <c r="DC67" s="378"/>
      <c r="DD67" s="378"/>
      <c r="DE67" s="378"/>
      <c r="DF67" s="378"/>
      <c r="DG67" s="378"/>
      <c r="DH67" s="378"/>
      <c r="DI67" s="378"/>
      <c r="DJ67" s="378"/>
      <c r="DK67" s="378"/>
      <c r="DL67" s="378"/>
      <c r="DM67" s="378"/>
      <c r="DN67" s="378"/>
      <c r="DO67" s="378"/>
      <c r="DP67" s="378"/>
      <c r="DQ67" s="378"/>
      <c r="DR67" s="378"/>
      <c r="DS67" s="378"/>
      <c r="DT67" s="378"/>
      <c r="DU67" s="378"/>
      <c r="DV67" s="378"/>
      <c r="DW67" s="378"/>
      <c r="DX67" s="378"/>
      <c r="DY67" s="378"/>
      <c r="DZ67" s="378"/>
      <c r="EA67" s="378"/>
      <c r="EB67" s="378"/>
      <c r="EC67" s="378"/>
      <c r="ED67" s="378"/>
      <c r="EE67" s="378"/>
      <c r="EF67" s="378"/>
      <c r="EG67" s="378"/>
      <c r="EH67" s="378"/>
      <c r="EI67" s="378"/>
      <c r="EJ67" s="378"/>
      <c r="EK67" s="378"/>
      <c r="EL67" s="378"/>
      <c r="EM67" s="378"/>
      <c r="EN67" s="378"/>
      <c r="EO67" s="378"/>
      <c r="EP67" s="378"/>
      <c r="EQ67" s="378"/>
      <c r="ER67" s="378"/>
      <c r="ES67" s="378"/>
      <c r="ET67" s="378"/>
      <c r="EU67" s="378"/>
      <c r="EV67" s="378"/>
      <c r="EW67" s="378"/>
      <c r="EX67" s="378"/>
      <c r="EY67" s="378"/>
      <c r="EZ67" s="378"/>
      <c r="FA67" s="378"/>
      <c r="FB67" s="378"/>
      <c r="FC67" s="378"/>
      <c r="FD67" s="378"/>
      <c r="FE67" s="378"/>
      <c r="FF67" s="378"/>
      <c r="FG67" s="378"/>
      <c r="FH67" s="378"/>
      <c r="FI67" s="378"/>
      <c r="FJ67" s="378"/>
      <c r="FK67" s="378"/>
      <c r="FL67" s="378"/>
      <c r="FM67" s="378"/>
      <c r="FN67" s="378"/>
      <c r="FO67" s="378"/>
      <c r="FP67" s="378"/>
      <c r="FQ67" s="378"/>
      <c r="FR67" s="378"/>
      <c r="FS67" s="378"/>
      <c r="FT67" s="378"/>
      <c r="FU67" s="378"/>
      <c r="FV67" s="378"/>
      <c r="FW67" s="378"/>
      <c r="FX67" s="378"/>
      <c r="FY67" s="378"/>
      <c r="FZ67" s="378"/>
      <c r="GA67" s="378"/>
      <c r="GB67" s="378"/>
      <c r="GC67" s="378"/>
      <c r="GD67" s="378"/>
      <c r="GE67" s="378"/>
      <c r="GF67" s="378"/>
      <c r="GG67" s="378"/>
      <c r="GH67" s="378"/>
      <c r="GI67" s="378"/>
      <c r="GJ67" s="378"/>
      <c r="GK67" s="378"/>
      <c r="GL67" s="378"/>
      <c r="GM67" s="378"/>
      <c r="GN67" s="378"/>
      <c r="GO67" s="378"/>
      <c r="GP67" s="378"/>
      <c r="GQ67" s="378"/>
      <c r="GR67" s="378"/>
      <c r="GS67" s="378"/>
      <c r="GT67" s="378"/>
      <c r="GU67" s="378"/>
      <c r="GV67" s="378"/>
      <c r="GW67" s="378"/>
      <c r="GX67" s="378"/>
      <c r="GY67" s="378"/>
      <c r="GZ67" s="378"/>
      <c r="HA67" s="378"/>
      <c r="HB67" s="378"/>
      <c r="HC67" s="378"/>
      <c r="HD67" s="378"/>
      <c r="HE67" s="378"/>
      <c r="HF67" s="378"/>
      <c r="HG67" s="378"/>
      <c r="HH67" s="378"/>
      <c r="HI67" s="378"/>
      <c r="HJ67" s="378"/>
      <c r="HK67" s="378"/>
      <c r="HL67" s="378"/>
      <c r="HM67" s="378"/>
      <c r="HN67" s="378"/>
      <c r="HO67" s="378"/>
      <c r="HP67" s="378"/>
      <c r="HQ67" s="378"/>
      <c r="HR67" s="378"/>
      <c r="HS67" s="378"/>
      <c r="HT67" s="378"/>
      <c r="HU67" s="378"/>
      <c r="HV67" s="378"/>
      <c r="HW67" s="378"/>
      <c r="HX67" s="378"/>
      <c r="HY67" s="378"/>
      <c r="HZ67" s="378"/>
      <c r="IA67" s="378"/>
      <c r="IB67" s="378"/>
      <c r="IC67" s="378"/>
      <c r="ID67" s="378"/>
      <c r="IE67" s="378"/>
      <c r="IF67" s="378"/>
      <c r="IG67" s="378"/>
      <c r="IH67" s="378"/>
      <c r="II67" s="378"/>
      <c r="IJ67" s="378"/>
      <c r="IK67" s="378"/>
      <c r="IL67" s="378"/>
      <c r="IM67" s="378"/>
      <c r="IN67" s="378"/>
      <c r="IO67" s="378"/>
      <c r="IP67" s="378"/>
      <c r="IQ67" s="378"/>
      <c r="IR67" s="378"/>
      <c r="IS67" s="378"/>
      <c r="IT67" s="378"/>
      <c r="IU67" s="378"/>
      <c r="IV67" s="378"/>
      <c r="IW67" s="378"/>
      <c r="IX67" s="378"/>
      <c r="IY67" s="378"/>
      <c r="IZ67" s="378"/>
      <c r="JA67" s="378"/>
    </row>
    <row r="68" spans="2:261" s="379" customFormat="1" ht="17" thickBot="1">
      <c r="B68" s="413"/>
      <c r="C68" s="375"/>
      <c r="D68" s="426"/>
      <c r="E68" s="427"/>
      <c r="F68" s="427"/>
      <c r="G68" s="428"/>
      <c r="H68" s="376"/>
      <c r="I68" s="414"/>
      <c r="J68" s="378"/>
      <c r="K68" s="378"/>
      <c r="L68" s="378"/>
      <c r="M68" s="378"/>
      <c r="N68" s="378"/>
      <c r="O68" s="378"/>
      <c r="P68" s="378"/>
      <c r="Q68" s="378"/>
      <c r="R68" s="378"/>
      <c r="S68" s="378"/>
      <c r="T68" s="378"/>
      <c r="U68" s="378"/>
      <c r="V68" s="378"/>
      <c r="W68" s="378"/>
      <c r="X68" s="378"/>
      <c r="Y68" s="378"/>
      <c r="Z68" s="378"/>
      <c r="AA68" s="378"/>
      <c r="AB68" s="378"/>
      <c r="AC68" s="378"/>
      <c r="AD68" s="378"/>
      <c r="AE68" s="378"/>
      <c r="AF68" s="378"/>
      <c r="AG68" s="378"/>
      <c r="AH68" s="378"/>
      <c r="AI68" s="378"/>
      <c r="AJ68" s="378"/>
      <c r="AK68" s="378"/>
      <c r="AL68" s="378"/>
      <c r="AM68" s="378"/>
      <c r="AN68" s="378"/>
      <c r="AO68" s="378"/>
      <c r="AP68" s="378"/>
      <c r="AQ68" s="378"/>
      <c r="AR68" s="378"/>
      <c r="AS68" s="378"/>
      <c r="AT68" s="378"/>
      <c r="AU68" s="378"/>
      <c r="AV68" s="378"/>
      <c r="AW68" s="378"/>
      <c r="AX68" s="378"/>
      <c r="AY68" s="378"/>
      <c r="AZ68" s="378"/>
      <c r="BA68" s="378"/>
      <c r="BB68" s="378"/>
      <c r="BC68" s="378"/>
      <c r="BD68" s="378"/>
      <c r="BE68" s="378"/>
      <c r="BF68" s="378"/>
      <c r="BG68" s="378"/>
      <c r="BH68" s="378"/>
      <c r="BI68" s="378"/>
      <c r="BJ68" s="378"/>
      <c r="BK68" s="378"/>
      <c r="BL68" s="378"/>
      <c r="BM68" s="378"/>
      <c r="BN68" s="378"/>
      <c r="BO68" s="378"/>
      <c r="BP68" s="378"/>
      <c r="BQ68" s="378"/>
      <c r="BR68" s="378"/>
      <c r="BS68" s="378"/>
      <c r="BT68" s="378"/>
      <c r="BU68" s="378"/>
      <c r="BV68" s="378"/>
      <c r="BW68" s="378"/>
      <c r="BX68" s="378"/>
      <c r="BY68" s="378"/>
      <c r="BZ68" s="378"/>
      <c r="CA68" s="378"/>
      <c r="CB68" s="378"/>
      <c r="CC68" s="378"/>
      <c r="CD68" s="378"/>
      <c r="CE68" s="378"/>
      <c r="CF68" s="378"/>
      <c r="CG68" s="378"/>
      <c r="CH68" s="378"/>
      <c r="CI68" s="378"/>
      <c r="CJ68" s="378"/>
      <c r="CK68" s="378"/>
      <c r="CL68" s="378"/>
      <c r="CM68" s="378"/>
      <c r="CN68" s="378"/>
      <c r="CO68" s="378"/>
      <c r="CP68" s="378"/>
      <c r="CQ68" s="378"/>
      <c r="CR68" s="378"/>
      <c r="CS68" s="378"/>
      <c r="CT68" s="378"/>
      <c r="CU68" s="378"/>
      <c r="CV68" s="378"/>
      <c r="CW68" s="378"/>
      <c r="CX68" s="378"/>
      <c r="CY68" s="378"/>
      <c r="CZ68" s="378"/>
      <c r="DA68" s="378"/>
      <c r="DB68" s="378"/>
      <c r="DC68" s="378"/>
      <c r="DD68" s="378"/>
      <c r="DE68" s="378"/>
      <c r="DF68" s="378"/>
      <c r="DG68" s="378"/>
      <c r="DH68" s="378"/>
      <c r="DI68" s="378"/>
      <c r="DJ68" s="378"/>
      <c r="DK68" s="378"/>
      <c r="DL68" s="378"/>
      <c r="DM68" s="378"/>
      <c r="DN68" s="378"/>
      <c r="DO68" s="378"/>
      <c r="DP68" s="378"/>
      <c r="DQ68" s="378"/>
      <c r="DR68" s="378"/>
      <c r="DS68" s="378"/>
      <c r="DT68" s="378"/>
      <c r="DU68" s="378"/>
      <c r="DV68" s="378"/>
      <c r="DW68" s="378"/>
      <c r="DX68" s="378"/>
      <c r="DY68" s="378"/>
      <c r="DZ68" s="378"/>
      <c r="EA68" s="378"/>
      <c r="EB68" s="378"/>
      <c r="EC68" s="378"/>
      <c r="ED68" s="378"/>
      <c r="EE68" s="378"/>
      <c r="EF68" s="378"/>
      <c r="EG68" s="378"/>
      <c r="EH68" s="378"/>
      <c r="EI68" s="378"/>
      <c r="EJ68" s="378"/>
      <c r="EK68" s="378"/>
      <c r="EL68" s="378"/>
      <c r="EM68" s="378"/>
      <c r="EN68" s="378"/>
      <c r="EO68" s="378"/>
      <c r="EP68" s="378"/>
      <c r="EQ68" s="378"/>
      <c r="ER68" s="378"/>
      <c r="ES68" s="378"/>
      <c r="ET68" s="378"/>
      <c r="EU68" s="378"/>
      <c r="EV68" s="378"/>
      <c r="EW68" s="378"/>
      <c r="EX68" s="378"/>
      <c r="EY68" s="378"/>
      <c r="EZ68" s="378"/>
      <c r="FA68" s="378"/>
      <c r="FB68" s="378"/>
      <c r="FC68" s="378"/>
      <c r="FD68" s="378"/>
      <c r="FE68" s="378"/>
      <c r="FF68" s="378"/>
      <c r="FG68" s="378"/>
      <c r="FH68" s="378"/>
      <c r="FI68" s="378"/>
      <c r="FJ68" s="378"/>
      <c r="FK68" s="378"/>
      <c r="FL68" s="378"/>
      <c r="FM68" s="378"/>
      <c r="FN68" s="378"/>
      <c r="FO68" s="378"/>
      <c r="FP68" s="378"/>
      <c r="FQ68" s="378"/>
      <c r="FR68" s="378"/>
      <c r="FS68" s="378"/>
      <c r="FT68" s="378"/>
      <c r="FU68" s="378"/>
      <c r="FV68" s="378"/>
      <c r="FW68" s="378"/>
      <c r="FX68" s="378"/>
      <c r="FY68" s="378"/>
      <c r="FZ68" s="378"/>
      <c r="GA68" s="378"/>
      <c r="GB68" s="378"/>
      <c r="GC68" s="378"/>
      <c r="GD68" s="378"/>
      <c r="GE68" s="378"/>
      <c r="GF68" s="378"/>
      <c r="GG68" s="378"/>
      <c r="GH68" s="378"/>
      <c r="GI68" s="378"/>
      <c r="GJ68" s="378"/>
      <c r="GK68" s="378"/>
      <c r="GL68" s="378"/>
      <c r="GM68" s="378"/>
      <c r="GN68" s="378"/>
      <c r="GO68" s="378"/>
      <c r="GP68" s="378"/>
      <c r="GQ68" s="378"/>
      <c r="GR68" s="378"/>
      <c r="GS68" s="378"/>
      <c r="GT68" s="378"/>
      <c r="GU68" s="378"/>
      <c r="GV68" s="378"/>
      <c r="GW68" s="378"/>
      <c r="GX68" s="378"/>
      <c r="GY68" s="378"/>
      <c r="GZ68" s="378"/>
      <c r="HA68" s="378"/>
      <c r="HB68" s="378"/>
      <c r="HC68" s="378"/>
      <c r="HD68" s="378"/>
      <c r="HE68" s="378"/>
      <c r="HF68" s="378"/>
      <c r="HG68" s="378"/>
      <c r="HH68" s="378"/>
      <c r="HI68" s="378"/>
      <c r="HJ68" s="378"/>
      <c r="HK68" s="378"/>
      <c r="HL68" s="378"/>
      <c r="HM68" s="378"/>
      <c r="HN68" s="378"/>
      <c r="HO68" s="378"/>
      <c r="HP68" s="378"/>
      <c r="HQ68" s="378"/>
      <c r="HR68" s="378"/>
      <c r="HS68" s="378"/>
      <c r="HT68" s="378"/>
      <c r="HU68" s="378"/>
      <c r="HV68" s="378"/>
      <c r="HW68" s="378"/>
      <c r="HX68" s="378"/>
      <c r="HY68" s="378"/>
      <c r="HZ68" s="378"/>
      <c r="IA68" s="378"/>
      <c r="IB68" s="378"/>
      <c r="IC68" s="378"/>
      <c r="ID68" s="378"/>
      <c r="IE68" s="378"/>
      <c r="IF68" s="378"/>
      <c r="IG68" s="378"/>
      <c r="IH68" s="378"/>
      <c r="II68" s="378"/>
      <c r="IJ68" s="378"/>
      <c r="IK68" s="378"/>
      <c r="IL68" s="378"/>
      <c r="IM68" s="378"/>
      <c r="IN68" s="378"/>
      <c r="IO68" s="378"/>
      <c r="IP68" s="378"/>
      <c r="IQ68" s="378"/>
      <c r="IR68" s="378"/>
      <c r="IS68" s="378"/>
      <c r="IT68" s="378"/>
      <c r="IU68" s="378"/>
      <c r="IV68" s="378"/>
      <c r="IW68" s="378"/>
      <c r="IX68" s="378"/>
      <c r="IY68" s="378"/>
      <c r="IZ68" s="378"/>
      <c r="JA68" s="378"/>
    </row>
    <row r="69" spans="2:261" s="379" customFormat="1">
      <c r="B69" s="413"/>
      <c r="C69" s="375"/>
      <c r="D69" s="403"/>
      <c r="E69" s="393"/>
      <c r="F69" s="393"/>
      <c r="G69" s="400"/>
      <c r="H69" s="376"/>
      <c r="I69" s="414"/>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K69" s="378"/>
      <c r="AL69" s="378"/>
      <c r="AM69" s="378"/>
      <c r="AN69" s="378"/>
      <c r="AO69" s="378"/>
      <c r="AP69" s="378"/>
      <c r="AQ69" s="378"/>
      <c r="AR69" s="378"/>
      <c r="AS69" s="378"/>
      <c r="AT69" s="378"/>
      <c r="AU69" s="378"/>
      <c r="AV69" s="378"/>
      <c r="AW69" s="378"/>
      <c r="AX69" s="378"/>
      <c r="AY69" s="378"/>
      <c r="AZ69" s="378"/>
      <c r="BA69" s="378"/>
      <c r="BB69" s="378"/>
      <c r="BC69" s="378"/>
      <c r="BD69" s="378"/>
      <c r="BE69" s="378"/>
      <c r="BF69" s="378"/>
      <c r="BG69" s="378"/>
      <c r="BH69" s="378"/>
      <c r="BI69" s="378"/>
      <c r="BJ69" s="378"/>
      <c r="BK69" s="378"/>
      <c r="BL69" s="378"/>
      <c r="BM69" s="378"/>
      <c r="BN69" s="378"/>
      <c r="BO69" s="378"/>
      <c r="BP69" s="378"/>
      <c r="BQ69" s="378"/>
      <c r="BR69" s="378"/>
      <c r="BS69" s="378"/>
      <c r="BT69" s="378"/>
      <c r="BU69" s="378"/>
      <c r="BV69" s="378"/>
      <c r="BW69" s="378"/>
      <c r="BX69" s="378"/>
      <c r="BY69" s="378"/>
      <c r="BZ69" s="378"/>
      <c r="CA69" s="378"/>
      <c r="CB69" s="378"/>
      <c r="CC69" s="378"/>
      <c r="CD69" s="378"/>
      <c r="CE69" s="378"/>
      <c r="CF69" s="378"/>
      <c r="CG69" s="378"/>
      <c r="CH69" s="378"/>
      <c r="CI69" s="378"/>
      <c r="CJ69" s="378"/>
      <c r="CK69" s="378"/>
      <c r="CL69" s="378"/>
      <c r="CM69" s="378"/>
      <c r="CN69" s="378"/>
      <c r="CO69" s="378"/>
      <c r="CP69" s="378"/>
      <c r="CQ69" s="378"/>
      <c r="CR69" s="378"/>
      <c r="CS69" s="378"/>
      <c r="CT69" s="378"/>
      <c r="CU69" s="378"/>
      <c r="CV69" s="378"/>
      <c r="CW69" s="378"/>
      <c r="CX69" s="378"/>
      <c r="CY69" s="378"/>
      <c r="CZ69" s="378"/>
      <c r="DA69" s="378"/>
      <c r="DB69" s="378"/>
      <c r="DC69" s="378"/>
      <c r="DD69" s="378"/>
      <c r="DE69" s="378"/>
      <c r="DF69" s="378"/>
      <c r="DG69" s="378"/>
      <c r="DH69" s="378"/>
      <c r="DI69" s="378"/>
      <c r="DJ69" s="378"/>
      <c r="DK69" s="378"/>
      <c r="DL69" s="378"/>
      <c r="DM69" s="378"/>
      <c r="DN69" s="378"/>
      <c r="DO69" s="378"/>
      <c r="DP69" s="378"/>
      <c r="DQ69" s="378"/>
      <c r="DR69" s="378"/>
      <c r="DS69" s="378"/>
      <c r="DT69" s="378"/>
      <c r="DU69" s="378"/>
      <c r="DV69" s="378"/>
      <c r="DW69" s="378"/>
      <c r="DX69" s="378"/>
      <c r="DY69" s="378"/>
      <c r="DZ69" s="378"/>
      <c r="EA69" s="378"/>
      <c r="EB69" s="378"/>
      <c r="EC69" s="378"/>
      <c r="ED69" s="378"/>
      <c r="EE69" s="378"/>
      <c r="EF69" s="378"/>
      <c r="EG69" s="378"/>
      <c r="EH69" s="378"/>
      <c r="EI69" s="378"/>
      <c r="EJ69" s="378"/>
      <c r="EK69" s="378"/>
      <c r="EL69" s="378"/>
      <c r="EM69" s="378"/>
      <c r="EN69" s="378"/>
      <c r="EO69" s="378"/>
      <c r="EP69" s="378"/>
      <c r="EQ69" s="378"/>
      <c r="ER69" s="378"/>
      <c r="ES69" s="378"/>
      <c r="ET69" s="378"/>
      <c r="EU69" s="378"/>
      <c r="EV69" s="378"/>
      <c r="EW69" s="378"/>
      <c r="EX69" s="378"/>
      <c r="EY69" s="378"/>
      <c r="EZ69" s="378"/>
      <c r="FA69" s="378"/>
      <c r="FB69" s="378"/>
      <c r="FC69" s="378"/>
      <c r="FD69" s="378"/>
      <c r="FE69" s="378"/>
      <c r="FF69" s="378"/>
      <c r="FG69" s="378"/>
      <c r="FH69" s="378"/>
      <c r="FI69" s="378"/>
      <c r="FJ69" s="378"/>
      <c r="FK69" s="378"/>
      <c r="FL69" s="378"/>
      <c r="FM69" s="378"/>
      <c r="FN69" s="378"/>
      <c r="FO69" s="378"/>
      <c r="FP69" s="378"/>
      <c r="FQ69" s="378"/>
      <c r="FR69" s="378"/>
      <c r="FS69" s="378"/>
      <c r="FT69" s="378"/>
      <c r="FU69" s="378"/>
      <c r="FV69" s="378"/>
      <c r="FW69" s="378"/>
      <c r="FX69" s="378"/>
      <c r="FY69" s="378"/>
      <c r="FZ69" s="378"/>
      <c r="GA69" s="378"/>
      <c r="GB69" s="378"/>
      <c r="GC69" s="378"/>
      <c r="GD69" s="378"/>
      <c r="GE69" s="378"/>
      <c r="GF69" s="378"/>
      <c r="GG69" s="378"/>
      <c r="GH69" s="378"/>
      <c r="GI69" s="378"/>
      <c r="GJ69" s="378"/>
      <c r="GK69" s="378"/>
      <c r="GL69" s="378"/>
      <c r="GM69" s="378"/>
      <c r="GN69" s="378"/>
      <c r="GO69" s="378"/>
      <c r="GP69" s="378"/>
      <c r="GQ69" s="378"/>
      <c r="GR69" s="378"/>
      <c r="GS69" s="378"/>
      <c r="GT69" s="378"/>
      <c r="GU69" s="378"/>
      <c r="GV69" s="378"/>
      <c r="GW69" s="378"/>
      <c r="GX69" s="378"/>
      <c r="GY69" s="378"/>
      <c r="GZ69" s="378"/>
      <c r="HA69" s="378"/>
      <c r="HB69" s="378"/>
      <c r="HC69" s="378"/>
      <c r="HD69" s="378"/>
      <c r="HE69" s="378"/>
      <c r="HF69" s="378"/>
      <c r="HG69" s="378"/>
      <c r="HH69" s="378"/>
      <c r="HI69" s="378"/>
      <c r="HJ69" s="378"/>
      <c r="HK69" s="378"/>
      <c r="HL69" s="378"/>
      <c r="HM69" s="378"/>
      <c r="HN69" s="378"/>
      <c r="HO69" s="378"/>
      <c r="HP69" s="378"/>
      <c r="HQ69" s="378"/>
      <c r="HR69" s="378"/>
      <c r="HS69" s="378"/>
      <c r="HT69" s="378"/>
      <c r="HU69" s="378"/>
      <c r="HV69" s="378"/>
      <c r="HW69" s="378"/>
      <c r="HX69" s="378"/>
      <c r="HY69" s="378"/>
      <c r="HZ69" s="378"/>
      <c r="IA69" s="378"/>
      <c r="IB69" s="378"/>
      <c r="IC69" s="378"/>
      <c r="ID69" s="378"/>
      <c r="IE69" s="378"/>
      <c r="IF69" s="378"/>
      <c r="IG69" s="378"/>
      <c r="IH69" s="378"/>
      <c r="II69" s="378"/>
      <c r="IJ69" s="378"/>
      <c r="IK69" s="378"/>
      <c r="IL69" s="378"/>
      <c r="IM69" s="378"/>
      <c r="IN69" s="378"/>
      <c r="IO69" s="378"/>
      <c r="IP69" s="378"/>
      <c r="IQ69" s="378"/>
      <c r="IR69" s="378"/>
      <c r="IS69" s="378"/>
      <c r="IT69" s="378"/>
      <c r="IU69" s="378"/>
      <c r="IV69" s="378"/>
      <c r="IW69" s="378"/>
      <c r="IX69" s="378"/>
      <c r="IY69" s="378"/>
      <c r="IZ69" s="378"/>
      <c r="JA69" s="378"/>
    </row>
    <row r="70" spans="2:261" s="379" customFormat="1" ht="17" thickBot="1">
      <c r="B70" s="413"/>
      <c r="C70" s="375"/>
      <c r="D70" s="403"/>
      <c r="E70" s="393" t="s">
        <v>5066</v>
      </c>
      <c r="F70" s="393"/>
      <c r="G70" s="400"/>
      <c r="H70" s="376"/>
      <c r="I70" s="414"/>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78"/>
      <c r="AK70" s="378"/>
      <c r="AL70" s="378"/>
      <c r="AM70" s="378"/>
      <c r="AN70" s="378"/>
      <c r="AO70" s="378"/>
      <c r="AP70" s="378"/>
      <c r="AQ70" s="378"/>
      <c r="AR70" s="378"/>
      <c r="AS70" s="378"/>
      <c r="AT70" s="378"/>
      <c r="AU70" s="378"/>
      <c r="AV70" s="378"/>
      <c r="AW70" s="378"/>
      <c r="AX70" s="378"/>
      <c r="AY70" s="378"/>
      <c r="AZ70" s="378"/>
      <c r="BA70" s="378"/>
      <c r="BB70" s="378"/>
      <c r="BC70" s="378"/>
      <c r="BD70" s="378"/>
      <c r="BE70" s="378"/>
      <c r="BF70" s="378"/>
      <c r="BG70" s="378"/>
      <c r="BH70" s="378"/>
      <c r="BI70" s="378"/>
      <c r="BJ70" s="378"/>
      <c r="BK70" s="378"/>
      <c r="BL70" s="378"/>
      <c r="BM70" s="378"/>
      <c r="BN70" s="378"/>
      <c r="BO70" s="378"/>
      <c r="BP70" s="378"/>
      <c r="BQ70" s="378"/>
      <c r="BR70" s="378"/>
      <c r="BS70" s="378"/>
      <c r="BT70" s="378"/>
      <c r="BU70" s="378"/>
      <c r="BV70" s="378"/>
      <c r="BW70" s="378"/>
      <c r="BX70" s="378"/>
      <c r="BY70" s="378"/>
      <c r="BZ70" s="378"/>
      <c r="CA70" s="378"/>
      <c r="CB70" s="378"/>
      <c r="CC70" s="378"/>
      <c r="CD70" s="378"/>
      <c r="CE70" s="378"/>
      <c r="CF70" s="378"/>
      <c r="CG70" s="378"/>
      <c r="CH70" s="378"/>
      <c r="CI70" s="378"/>
      <c r="CJ70" s="378"/>
      <c r="CK70" s="378"/>
      <c r="CL70" s="378"/>
      <c r="CM70" s="378"/>
      <c r="CN70" s="378"/>
      <c r="CO70" s="378"/>
      <c r="CP70" s="378"/>
      <c r="CQ70" s="378"/>
      <c r="CR70" s="378"/>
      <c r="CS70" s="378"/>
      <c r="CT70" s="378"/>
      <c r="CU70" s="378"/>
      <c r="CV70" s="378"/>
      <c r="CW70" s="378"/>
      <c r="CX70" s="378"/>
      <c r="CY70" s="378"/>
      <c r="CZ70" s="378"/>
      <c r="DA70" s="378"/>
      <c r="DB70" s="378"/>
      <c r="DC70" s="378"/>
      <c r="DD70" s="378"/>
      <c r="DE70" s="378"/>
      <c r="DF70" s="378"/>
      <c r="DG70" s="378"/>
      <c r="DH70" s="378"/>
      <c r="DI70" s="378"/>
      <c r="DJ70" s="378"/>
      <c r="DK70" s="378"/>
      <c r="DL70" s="378"/>
      <c r="DM70" s="378"/>
      <c r="DN70" s="378"/>
      <c r="DO70" s="378"/>
      <c r="DP70" s="378"/>
      <c r="DQ70" s="378"/>
      <c r="DR70" s="378"/>
      <c r="DS70" s="378"/>
      <c r="DT70" s="378"/>
      <c r="DU70" s="378"/>
      <c r="DV70" s="378"/>
      <c r="DW70" s="378"/>
      <c r="DX70" s="378"/>
      <c r="DY70" s="378"/>
      <c r="DZ70" s="378"/>
      <c r="EA70" s="378"/>
      <c r="EB70" s="378"/>
      <c r="EC70" s="378"/>
      <c r="ED70" s="378"/>
      <c r="EE70" s="378"/>
      <c r="EF70" s="378"/>
      <c r="EG70" s="378"/>
      <c r="EH70" s="378"/>
      <c r="EI70" s="378"/>
      <c r="EJ70" s="378"/>
      <c r="EK70" s="378"/>
      <c r="EL70" s="378"/>
      <c r="EM70" s="378"/>
      <c r="EN70" s="378"/>
      <c r="EO70" s="378"/>
      <c r="EP70" s="378"/>
      <c r="EQ70" s="378"/>
      <c r="ER70" s="378"/>
      <c r="ES70" s="378"/>
      <c r="ET70" s="378"/>
      <c r="EU70" s="378"/>
      <c r="EV70" s="378"/>
      <c r="EW70" s="378"/>
      <c r="EX70" s="378"/>
      <c r="EY70" s="378"/>
      <c r="EZ70" s="378"/>
      <c r="FA70" s="378"/>
      <c r="FB70" s="378"/>
      <c r="FC70" s="378"/>
      <c r="FD70" s="378"/>
      <c r="FE70" s="378"/>
      <c r="FF70" s="378"/>
      <c r="FG70" s="378"/>
      <c r="FH70" s="378"/>
      <c r="FI70" s="378"/>
      <c r="FJ70" s="378"/>
      <c r="FK70" s="378"/>
      <c r="FL70" s="378"/>
      <c r="FM70" s="378"/>
      <c r="FN70" s="378"/>
      <c r="FO70" s="378"/>
      <c r="FP70" s="378"/>
      <c r="FQ70" s="378"/>
      <c r="FR70" s="378"/>
      <c r="FS70" s="378"/>
      <c r="FT70" s="378"/>
      <c r="FU70" s="378"/>
      <c r="FV70" s="378"/>
      <c r="FW70" s="378"/>
      <c r="FX70" s="378"/>
      <c r="FY70" s="378"/>
      <c r="FZ70" s="378"/>
      <c r="GA70" s="378"/>
      <c r="GB70" s="378"/>
      <c r="GC70" s="378"/>
      <c r="GD70" s="378"/>
      <c r="GE70" s="378"/>
      <c r="GF70" s="378"/>
      <c r="GG70" s="378"/>
      <c r="GH70" s="378"/>
      <c r="GI70" s="378"/>
      <c r="GJ70" s="378"/>
      <c r="GK70" s="378"/>
      <c r="GL70" s="378"/>
      <c r="GM70" s="378"/>
      <c r="GN70" s="378"/>
      <c r="GO70" s="378"/>
      <c r="GP70" s="378"/>
      <c r="GQ70" s="378"/>
      <c r="GR70" s="378"/>
      <c r="GS70" s="378"/>
      <c r="GT70" s="378"/>
      <c r="GU70" s="378"/>
      <c r="GV70" s="378"/>
      <c r="GW70" s="378"/>
      <c r="GX70" s="378"/>
      <c r="GY70" s="378"/>
      <c r="GZ70" s="378"/>
      <c r="HA70" s="378"/>
      <c r="HB70" s="378"/>
      <c r="HC70" s="378"/>
      <c r="HD70" s="378"/>
      <c r="HE70" s="378"/>
      <c r="HF70" s="378"/>
      <c r="HG70" s="378"/>
      <c r="HH70" s="378"/>
      <c r="HI70" s="378"/>
      <c r="HJ70" s="378"/>
      <c r="HK70" s="378"/>
      <c r="HL70" s="378"/>
      <c r="HM70" s="378"/>
      <c r="HN70" s="378"/>
      <c r="HO70" s="378"/>
      <c r="HP70" s="378"/>
      <c r="HQ70" s="378"/>
      <c r="HR70" s="378"/>
      <c r="HS70" s="378"/>
      <c r="HT70" s="378"/>
      <c r="HU70" s="378"/>
      <c r="HV70" s="378"/>
      <c r="HW70" s="378"/>
      <c r="HX70" s="378"/>
      <c r="HY70" s="378"/>
      <c r="HZ70" s="378"/>
      <c r="IA70" s="378"/>
      <c r="IB70" s="378"/>
      <c r="IC70" s="378"/>
      <c r="ID70" s="378"/>
      <c r="IE70" s="378"/>
      <c r="IF70" s="378"/>
      <c r="IG70" s="378"/>
      <c r="IH70" s="378"/>
      <c r="II70" s="378"/>
      <c r="IJ70" s="378"/>
      <c r="IK70" s="378"/>
      <c r="IL70" s="378"/>
      <c r="IM70" s="378"/>
      <c r="IN70" s="378"/>
      <c r="IO70" s="378"/>
      <c r="IP70" s="378"/>
      <c r="IQ70" s="378"/>
      <c r="IR70" s="378"/>
      <c r="IS70" s="378"/>
      <c r="IT70" s="378"/>
      <c r="IU70" s="378"/>
      <c r="IV70" s="378"/>
      <c r="IW70" s="378"/>
      <c r="IX70" s="378"/>
      <c r="IY70" s="378"/>
      <c r="IZ70" s="378"/>
      <c r="JA70" s="378"/>
    </row>
    <row r="71" spans="2:261" s="29" customFormat="1">
      <c r="B71" s="25"/>
      <c r="C71" s="32"/>
      <c r="D71" s="57">
        <f>D66+1</f>
        <v>13</v>
      </c>
      <c r="E71" s="58" t="str">
        <f>"How many Adventists with a "&amp;'Planning Template'!$F$43&amp;" ("&amp;'Planning Template'!$F$45&amp;") background within 10km of the project?"</f>
        <v>How many Adventists with a  () background within 10km of the project?</v>
      </c>
      <c r="F71" s="84"/>
      <c r="G71" s="81"/>
      <c r="H71" s="34"/>
      <c r="I71" s="415"/>
      <c r="J71" s="28"/>
      <c r="K71" s="185"/>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row>
    <row r="72" spans="2:261" s="29" customFormat="1">
      <c r="B72" s="25"/>
      <c r="C72" s="32"/>
      <c r="D72" s="61"/>
      <c r="E72" s="74" t="s">
        <v>100</v>
      </c>
      <c r="F72" s="38">
        <f>'Planning Template'!F53</f>
        <v>0</v>
      </c>
      <c r="G72" s="75"/>
      <c r="H72" s="34"/>
      <c r="I72" s="27"/>
      <c r="J72" s="28"/>
      <c r="K72" s="185"/>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row>
    <row r="73" spans="2:261" s="29" customFormat="1">
      <c r="B73" s="25"/>
      <c r="C73" s="32"/>
      <c r="D73" s="61">
        <f>D71+1</f>
        <v>14</v>
      </c>
      <c r="E73" s="65" t="str">
        <f>"How many people on average attended the project's Sabbath worship/care group(s) in "&amp;'Planning Template'!F11&amp;"-"&amp;$F$10&amp;"?"</f>
        <v>How many people on average attended the project's Sabbath worship/care group(s) in -?</v>
      </c>
      <c r="F73" s="70"/>
      <c r="G73" s="75"/>
      <c r="H73" s="34"/>
      <c r="I73" s="27"/>
      <c r="J73" s="28"/>
      <c r="K73" s="185"/>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row>
    <row r="74" spans="2:261" s="29" customFormat="1">
      <c r="B74" s="25"/>
      <c r="C74" s="32"/>
      <c r="D74" s="61"/>
      <c r="E74" s="74" t="s">
        <v>111</v>
      </c>
      <c r="F74" s="38">
        <f>'Planning Template'!F55</f>
        <v>0</v>
      </c>
      <c r="G74" s="75"/>
      <c r="H74" s="34"/>
      <c r="I74" s="27"/>
      <c r="J74" s="28"/>
      <c r="K74" s="185"/>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row>
    <row r="75" spans="2:261" s="29" customFormat="1">
      <c r="B75" s="25"/>
      <c r="C75" s="32"/>
      <c r="D75" s="61">
        <f>D73+1</f>
        <v>15</v>
      </c>
      <c r="E75" s="85" t="str">
        <f>"What is the total number of people baptized because of the project from January 1, "&amp;'Planning Template'!F11&amp;" to the end of "&amp;$F$10&amp;"?"</f>
        <v>What is the total number of people baptized because of the project from January 1,  to the end of ?</v>
      </c>
      <c r="F75" s="70"/>
      <c r="G75" s="75"/>
      <c r="H75" s="34"/>
      <c r="I75" s="27"/>
      <c r="J75" s="28"/>
      <c r="K75" s="185"/>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row>
    <row r="76" spans="2:261" s="29" customFormat="1">
      <c r="B76" s="25"/>
      <c r="C76" s="32"/>
      <c r="D76" s="61"/>
      <c r="E76" s="86" t="s">
        <v>112</v>
      </c>
      <c r="F76" s="38">
        <f>'Planning Template'!F57</f>
        <v>0</v>
      </c>
      <c r="G76" s="75"/>
      <c r="H76" s="34"/>
      <c r="I76" s="27"/>
      <c r="J76" s="28"/>
      <c r="K76" s="185"/>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row>
    <row r="77" spans="2:261" s="29" customFormat="1">
      <c r="B77" s="25"/>
      <c r="C77" s="32"/>
      <c r="D77" s="61">
        <f>D75+1</f>
        <v>16</v>
      </c>
      <c r="E77" s="85" t="str">
        <f>"How many people are actively preparing for baptism as of the end of "&amp;$F$10&amp;"?"</f>
        <v>How many people are actively preparing for baptism as of the end of ?</v>
      </c>
      <c r="F77" s="70"/>
      <c r="G77" s="75"/>
      <c r="H77" s="34"/>
      <c r="I77" s="27"/>
      <c r="J77" s="28"/>
      <c r="K77" s="185"/>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row>
    <row r="78" spans="2:261" s="29" customFormat="1">
      <c r="B78" s="25"/>
      <c r="C78" s="32"/>
      <c r="D78" s="61"/>
      <c r="E78" s="411" t="s">
        <v>113</v>
      </c>
      <c r="F78" s="38">
        <f>'Planning Template'!F59</f>
        <v>0</v>
      </c>
      <c r="G78" s="75"/>
      <c r="H78" s="34"/>
      <c r="I78" s="27"/>
      <c r="J78" s="28"/>
      <c r="K78" s="185"/>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row>
    <row r="79" spans="2:261" s="29" customFormat="1">
      <c r="B79" s="25"/>
      <c r="C79" s="32"/>
      <c r="D79" s="61">
        <f>D77+1</f>
        <v>17</v>
      </c>
      <c r="E79" s="85" t="str">
        <f>"What kind of group has been established as of the end of "&amp;$F$10&amp;"?"</f>
        <v>What kind of group has been established as of the end of ?</v>
      </c>
      <c r="F79" s="70"/>
      <c r="G79" s="75"/>
      <c r="H79" s="34"/>
      <c r="I79" s="27"/>
      <c r="J79" s="28"/>
      <c r="K79" s="185"/>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row>
    <row r="80" spans="2:261" s="29" customFormat="1">
      <c r="B80" s="25"/>
      <c r="C80" s="32"/>
      <c r="D80" s="61"/>
      <c r="E80" s="412" t="s">
        <v>116</v>
      </c>
      <c r="F80" s="38"/>
      <c r="G80" s="75"/>
      <c r="H80" s="34"/>
      <c r="I80" s="27"/>
      <c r="J80" s="28"/>
      <c r="K80" s="185"/>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row>
    <row r="81" spans="2:261" s="29" customFormat="1" ht="17" thickBot="1">
      <c r="B81" s="25"/>
      <c r="C81" s="32"/>
      <c r="D81" s="66"/>
      <c r="E81" s="87"/>
      <c r="F81" s="79"/>
      <c r="G81" s="80"/>
      <c r="H81" s="34"/>
      <c r="I81" s="27"/>
      <c r="J81" s="28"/>
      <c r="K81" s="185"/>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row>
    <row r="82" spans="2:261" s="379" customFormat="1">
      <c r="B82" s="374"/>
      <c r="C82" s="375"/>
      <c r="D82" s="403"/>
      <c r="E82" s="393"/>
      <c r="F82" s="393"/>
      <c r="G82" s="400"/>
      <c r="H82" s="376"/>
      <c r="I82" s="377"/>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378"/>
      <c r="AL82" s="378"/>
      <c r="AM82" s="378"/>
      <c r="AN82" s="378"/>
      <c r="AO82" s="378"/>
      <c r="AP82" s="378"/>
      <c r="AQ82" s="378"/>
      <c r="AR82" s="378"/>
      <c r="AS82" s="378"/>
      <c r="AT82" s="378"/>
      <c r="AU82" s="378"/>
      <c r="AV82" s="378"/>
      <c r="AW82" s="378"/>
      <c r="AX82" s="378"/>
      <c r="AY82" s="378"/>
      <c r="AZ82" s="378"/>
      <c r="BA82" s="378"/>
      <c r="BB82" s="378"/>
      <c r="BC82" s="378"/>
      <c r="BD82" s="378"/>
      <c r="BE82" s="378"/>
      <c r="BF82" s="378"/>
      <c r="BG82" s="378"/>
      <c r="BH82" s="378"/>
      <c r="BI82" s="378"/>
      <c r="BJ82" s="378"/>
      <c r="BK82" s="378"/>
      <c r="BL82" s="378"/>
      <c r="BM82" s="378"/>
      <c r="BN82" s="378"/>
      <c r="BO82" s="378"/>
      <c r="BP82" s="378"/>
      <c r="BQ82" s="378"/>
      <c r="BR82" s="378"/>
      <c r="BS82" s="378"/>
      <c r="BT82" s="378"/>
      <c r="BU82" s="378"/>
      <c r="BV82" s="378"/>
      <c r="BW82" s="378"/>
      <c r="BX82" s="378"/>
      <c r="BY82" s="378"/>
      <c r="BZ82" s="378"/>
      <c r="CA82" s="378"/>
      <c r="CB82" s="378"/>
      <c r="CC82" s="378"/>
      <c r="CD82" s="378"/>
      <c r="CE82" s="378"/>
      <c r="CF82" s="378"/>
      <c r="CG82" s="378"/>
      <c r="CH82" s="378"/>
      <c r="CI82" s="378"/>
      <c r="CJ82" s="378"/>
      <c r="CK82" s="378"/>
      <c r="CL82" s="378"/>
      <c r="CM82" s="378"/>
      <c r="CN82" s="378"/>
      <c r="CO82" s="378"/>
      <c r="CP82" s="378"/>
      <c r="CQ82" s="378"/>
      <c r="CR82" s="378"/>
      <c r="CS82" s="378"/>
      <c r="CT82" s="378"/>
      <c r="CU82" s="378"/>
      <c r="CV82" s="378"/>
      <c r="CW82" s="378"/>
      <c r="CX82" s="378"/>
      <c r="CY82" s="378"/>
      <c r="CZ82" s="378"/>
      <c r="DA82" s="378"/>
      <c r="DB82" s="378"/>
      <c r="DC82" s="378"/>
      <c r="DD82" s="378"/>
      <c r="DE82" s="378"/>
      <c r="DF82" s="378"/>
      <c r="DG82" s="378"/>
      <c r="DH82" s="378"/>
      <c r="DI82" s="378"/>
      <c r="DJ82" s="378"/>
      <c r="DK82" s="378"/>
      <c r="DL82" s="378"/>
      <c r="DM82" s="378"/>
      <c r="DN82" s="378"/>
      <c r="DO82" s="378"/>
      <c r="DP82" s="378"/>
      <c r="DQ82" s="378"/>
      <c r="DR82" s="378"/>
      <c r="DS82" s="378"/>
      <c r="DT82" s="378"/>
      <c r="DU82" s="378"/>
      <c r="DV82" s="378"/>
      <c r="DW82" s="378"/>
      <c r="DX82" s="378"/>
      <c r="DY82" s="378"/>
      <c r="DZ82" s="378"/>
      <c r="EA82" s="378"/>
      <c r="EB82" s="378"/>
      <c r="EC82" s="378"/>
      <c r="ED82" s="378"/>
      <c r="EE82" s="378"/>
      <c r="EF82" s="378"/>
      <c r="EG82" s="378"/>
      <c r="EH82" s="378"/>
      <c r="EI82" s="378"/>
      <c r="EJ82" s="378"/>
      <c r="EK82" s="378"/>
      <c r="EL82" s="378"/>
      <c r="EM82" s="378"/>
      <c r="EN82" s="378"/>
      <c r="EO82" s="378"/>
      <c r="EP82" s="378"/>
      <c r="EQ82" s="378"/>
      <c r="ER82" s="378"/>
      <c r="ES82" s="378"/>
      <c r="ET82" s="378"/>
      <c r="EU82" s="378"/>
      <c r="EV82" s="378"/>
      <c r="EW82" s="378"/>
      <c r="EX82" s="378"/>
      <c r="EY82" s="378"/>
      <c r="EZ82" s="378"/>
      <c r="FA82" s="378"/>
      <c r="FB82" s="378"/>
      <c r="FC82" s="378"/>
      <c r="FD82" s="378"/>
      <c r="FE82" s="378"/>
      <c r="FF82" s="378"/>
      <c r="FG82" s="378"/>
      <c r="FH82" s="378"/>
      <c r="FI82" s="378"/>
      <c r="FJ82" s="378"/>
      <c r="FK82" s="378"/>
      <c r="FL82" s="378"/>
      <c r="FM82" s="378"/>
      <c r="FN82" s="378"/>
      <c r="FO82" s="378"/>
      <c r="FP82" s="378"/>
      <c r="FQ82" s="378"/>
      <c r="FR82" s="378"/>
      <c r="FS82" s="378"/>
      <c r="FT82" s="378"/>
      <c r="FU82" s="378"/>
      <c r="FV82" s="378"/>
      <c r="FW82" s="378"/>
      <c r="FX82" s="378"/>
      <c r="FY82" s="378"/>
      <c r="FZ82" s="378"/>
      <c r="GA82" s="378"/>
      <c r="GB82" s="378"/>
      <c r="GC82" s="378"/>
      <c r="GD82" s="378"/>
      <c r="GE82" s="378"/>
      <c r="GF82" s="378"/>
      <c r="GG82" s="378"/>
      <c r="GH82" s="378"/>
      <c r="GI82" s="378"/>
      <c r="GJ82" s="378"/>
      <c r="GK82" s="378"/>
      <c r="GL82" s="378"/>
      <c r="GM82" s="378"/>
      <c r="GN82" s="378"/>
      <c r="GO82" s="378"/>
      <c r="GP82" s="378"/>
      <c r="GQ82" s="378"/>
      <c r="GR82" s="378"/>
      <c r="GS82" s="378"/>
      <c r="GT82" s="378"/>
      <c r="GU82" s="378"/>
      <c r="GV82" s="378"/>
      <c r="GW82" s="378"/>
      <c r="GX82" s="378"/>
      <c r="GY82" s="378"/>
      <c r="GZ82" s="378"/>
      <c r="HA82" s="378"/>
      <c r="HB82" s="378"/>
      <c r="HC82" s="378"/>
      <c r="HD82" s="378"/>
      <c r="HE82" s="378"/>
      <c r="HF82" s="378"/>
      <c r="HG82" s="378"/>
      <c r="HH82" s="378"/>
      <c r="HI82" s="378"/>
      <c r="HJ82" s="378"/>
      <c r="HK82" s="378"/>
      <c r="HL82" s="378"/>
      <c r="HM82" s="378"/>
      <c r="HN82" s="378"/>
      <c r="HO82" s="378"/>
      <c r="HP82" s="378"/>
      <c r="HQ82" s="378"/>
      <c r="HR82" s="378"/>
      <c r="HS82" s="378"/>
      <c r="HT82" s="378"/>
      <c r="HU82" s="378"/>
      <c r="HV82" s="378"/>
      <c r="HW82" s="378"/>
      <c r="HX82" s="378"/>
      <c r="HY82" s="378"/>
      <c r="HZ82" s="378"/>
      <c r="IA82" s="378"/>
      <c r="IB82" s="378"/>
      <c r="IC82" s="378"/>
      <c r="ID82" s="378"/>
      <c r="IE82" s="378"/>
      <c r="IF82" s="378"/>
      <c r="IG82" s="378"/>
      <c r="IH82" s="378"/>
      <c r="II82" s="378"/>
      <c r="IJ82" s="378"/>
      <c r="IK82" s="378"/>
      <c r="IL82" s="378"/>
      <c r="IM82" s="378"/>
      <c r="IN82" s="378"/>
      <c r="IO82" s="378"/>
      <c r="IP82" s="378"/>
      <c r="IQ82" s="378"/>
      <c r="IR82" s="378"/>
      <c r="IS82" s="378"/>
      <c r="IT82" s="378"/>
      <c r="IU82" s="378"/>
      <c r="IV82" s="378"/>
      <c r="IW82" s="378"/>
      <c r="IX82" s="378"/>
      <c r="IY82" s="378"/>
      <c r="IZ82" s="378"/>
      <c r="JA82" s="378"/>
    </row>
    <row r="83" spans="2:261" s="379" customFormat="1">
      <c r="B83" s="374"/>
      <c r="C83" s="446"/>
      <c r="D83" s="447"/>
      <c r="E83" s="448" t="s">
        <v>5072</v>
      </c>
      <c r="F83" s="449"/>
      <c r="G83" s="449"/>
      <c r="H83" s="450"/>
      <c r="I83" s="377"/>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8"/>
      <c r="DE83" s="378"/>
      <c r="DF83" s="378"/>
      <c r="DG83" s="378"/>
      <c r="DH83" s="378"/>
      <c r="DI83" s="378"/>
      <c r="DJ83" s="378"/>
      <c r="DK83" s="378"/>
      <c r="DL83" s="378"/>
      <c r="DM83" s="378"/>
      <c r="DN83" s="378"/>
      <c r="DO83" s="378"/>
      <c r="DP83" s="378"/>
      <c r="DQ83" s="378"/>
      <c r="DR83" s="378"/>
      <c r="DS83" s="378"/>
      <c r="DT83" s="378"/>
      <c r="DU83" s="378"/>
      <c r="DV83" s="378"/>
      <c r="DW83" s="378"/>
      <c r="DX83" s="378"/>
      <c r="DY83" s="378"/>
      <c r="DZ83" s="378"/>
      <c r="EA83" s="378"/>
      <c r="EB83" s="378"/>
      <c r="EC83" s="378"/>
      <c r="ED83" s="378"/>
      <c r="EE83" s="378"/>
      <c r="EF83" s="378"/>
      <c r="EG83" s="378"/>
      <c r="EH83" s="378"/>
      <c r="EI83" s="378"/>
      <c r="EJ83" s="378"/>
      <c r="EK83" s="378"/>
      <c r="EL83" s="378"/>
      <c r="EM83" s="378"/>
      <c r="EN83" s="378"/>
      <c r="EO83" s="378"/>
      <c r="EP83" s="378"/>
      <c r="EQ83" s="378"/>
      <c r="ER83" s="378"/>
      <c r="ES83" s="378"/>
      <c r="ET83" s="378"/>
      <c r="EU83" s="378"/>
      <c r="EV83" s="378"/>
      <c r="EW83" s="378"/>
      <c r="EX83" s="378"/>
      <c r="EY83" s="378"/>
      <c r="EZ83" s="378"/>
      <c r="FA83" s="378"/>
      <c r="FB83" s="378"/>
      <c r="FC83" s="378"/>
      <c r="FD83" s="378"/>
      <c r="FE83" s="378"/>
      <c r="FF83" s="378"/>
      <c r="FG83" s="378"/>
      <c r="FH83" s="378"/>
      <c r="FI83" s="378"/>
      <c r="FJ83" s="378"/>
      <c r="FK83" s="378"/>
      <c r="FL83" s="378"/>
      <c r="FM83" s="378"/>
      <c r="FN83" s="378"/>
      <c r="FO83" s="378"/>
      <c r="FP83" s="378"/>
      <c r="FQ83" s="378"/>
      <c r="FR83" s="378"/>
      <c r="FS83" s="378"/>
      <c r="FT83" s="378"/>
      <c r="FU83" s="378"/>
      <c r="FV83" s="378"/>
      <c r="FW83" s="378"/>
      <c r="FX83" s="378"/>
      <c r="FY83" s="378"/>
      <c r="FZ83" s="378"/>
      <c r="GA83" s="378"/>
      <c r="GB83" s="378"/>
      <c r="GC83" s="378"/>
      <c r="GD83" s="378"/>
      <c r="GE83" s="378"/>
      <c r="GF83" s="378"/>
      <c r="GG83" s="378"/>
      <c r="GH83" s="378"/>
      <c r="GI83" s="378"/>
      <c r="GJ83" s="378"/>
      <c r="GK83" s="378"/>
      <c r="GL83" s="378"/>
      <c r="GM83" s="378"/>
      <c r="GN83" s="378"/>
      <c r="GO83" s="378"/>
      <c r="GP83" s="378"/>
      <c r="GQ83" s="378"/>
      <c r="GR83" s="378"/>
      <c r="GS83" s="378"/>
      <c r="GT83" s="378"/>
      <c r="GU83" s="378"/>
      <c r="GV83" s="378"/>
      <c r="GW83" s="378"/>
      <c r="GX83" s="378"/>
      <c r="GY83" s="378"/>
      <c r="GZ83" s="378"/>
      <c r="HA83" s="378"/>
      <c r="HB83" s="378"/>
      <c r="HC83" s="378"/>
      <c r="HD83" s="378"/>
      <c r="HE83" s="378"/>
      <c r="HF83" s="378"/>
      <c r="HG83" s="378"/>
      <c r="HH83" s="378"/>
      <c r="HI83" s="378"/>
      <c r="HJ83" s="378"/>
      <c r="HK83" s="378"/>
      <c r="HL83" s="378"/>
      <c r="HM83" s="378"/>
      <c r="HN83" s="378"/>
      <c r="HO83" s="378"/>
      <c r="HP83" s="378"/>
      <c r="HQ83" s="378"/>
      <c r="HR83" s="378"/>
      <c r="HS83" s="378"/>
      <c r="HT83" s="378"/>
      <c r="HU83" s="378"/>
      <c r="HV83" s="378"/>
      <c r="HW83" s="378"/>
      <c r="HX83" s="378"/>
      <c r="HY83" s="378"/>
      <c r="HZ83" s="378"/>
      <c r="IA83" s="378"/>
      <c r="IB83" s="378"/>
      <c r="IC83" s="378"/>
      <c r="ID83" s="378"/>
      <c r="IE83" s="378"/>
      <c r="IF83" s="378"/>
      <c r="IG83" s="378"/>
      <c r="IH83" s="378"/>
      <c r="II83" s="378"/>
      <c r="IJ83" s="378"/>
      <c r="IK83" s="378"/>
      <c r="IL83" s="378"/>
      <c r="IM83" s="378"/>
      <c r="IN83" s="378"/>
      <c r="IO83" s="378"/>
      <c r="IP83" s="378"/>
      <c r="IQ83" s="378"/>
      <c r="IR83" s="378"/>
      <c r="IS83" s="378"/>
      <c r="IT83" s="378"/>
      <c r="IU83" s="378"/>
      <c r="IV83" s="378"/>
      <c r="IW83" s="378"/>
      <c r="IX83" s="378"/>
      <c r="IY83" s="378"/>
      <c r="IZ83" s="378"/>
      <c r="JA83" s="378"/>
    </row>
    <row r="84" spans="2:261" s="379" customFormat="1">
      <c r="B84" s="374"/>
      <c r="C84" s="399"/>
      <c r="D84" s="403"/>
      <c r="E84" s="452" t="s">
        <v>5067</v>
      </c>
      <c r="F84" s="400"/>
      <c r="G84" s="400"/>
      <c r="H84" s="401"/>
      <c r="I84" s="377"/>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378"/>
      <c r="AL84" s="378"/>
      <c r="AM84" s="378"/>
      <c r="AN84" s="378"/>
      <c r="AO84" s="378"/>
      <c r="AP84" s="378"/>
      <c r="AQ84" s="378"/>
      <c r="AR84" s="378"/>
      <c r="AS84" s="378"/>
      <c r="AT84" s="378"/>
      <c r="AU84" s="378"/>
      <c r="AV84" s="378"/>
      <c r="AW84" s="378"/>
      <c r="AX84" s="378"/>
      <c r="AY84" s="378"/>
      <c r="AZ84" s="378"/>
      <c r="BA84" s="378"/>
      <c r="BB84" s="378"/>
      <c r="BC84" s="378"/>
      <c r="BD84" s="378"/>
      <c r="BE84" s="378"/>
      <c r="BF84" s="378"/>
      <c r="BG84" s="378"/>
      <c r="BH84" s="378"/>
      <c r="BI84" s="378"/>
      <c r="BJ84" s="378"/>
      <c r="BK84" s="378"/>
      <c r="BL84" s="378"/>
      <c r="BM84" s="378"/>
      <c r="BN84" s="378"/>
      <c r="BO84" s="378"/>
      <c r="BP84" s="378"/>
      <c r="BQ84" s="378"/>
      <c r="BR84" s="378"/>
      <c r="BS84" s="378"/>
      <c r="BT84" s="378"/>
      <c r="BU84" s="378"/>
      <c r="BV84" s="378"/>
      <c r="BW84" s="378"/>
      <c r="BX84" s="378"/>
      <c r="BY84" s="378"/>
      <c r="BZ84" s="378"/>
      <c r="CA84" s="378"/>
      <c r="CB84" s="378"/>
      <c r="CC84" s="378"/>
      <c r="CD84" s="378"/>
      <c r="CE84" s="378"/>
      <c r="CF84" s="378"/>
      <c r="CG84" s="378"/>
      <c r="CH84" s="378"/>
      <c r="CI84" s="378"/>
      <c r="CJ84" s="378"/>
      <c r="CK84" s="378"/>
      <c r="CL84" s="378"/>
      <c r="CM84" s="378"/>
      <c r="CN84" s="378"/>
      <c r="CO84" s="378"/>
      <c r="CP84" s="378"/>
      <c r="CQ84" s="378"/>
      <c r="CR84" s="378"/>
      <c r="CS84" s="378"/>
      <c r="CT84" s="378"/>
      <c r="CU84" s="378"/>
      <c r="CV84" s="378"/>
      <c r="CW84" s="378"/>
      <c r="CX84" s="378"/>
      <c r="CY84" s="378"/>
      <c r="CZ84" s="378"/>
      <c r="DA84" s="378"/>
      <c r="DB84" s="378"/>
      <c r="DC84" s="378"/>
      <c r="DD84" s="378"/>
      <c r="DE84" s="378"/>
      <c r="DF84" s="378"/>
      <c r="DG84" s="378"/>
      <c r="DH84" s="378"/>
      <c r="DI84" s="378"/>
      <c r="DJ84" s="378"/>
      <c r="DK84" s="378"/>
      <c r="DL84" s="378"/>
      <c r="DM84" s="378"/>
      <c r="DN84" s="378"/>
      <c r="DO84" s="378"/>
      <c r="DP84" s="378"/>
      <c r="DQ84" s="378"/>
      <c r="DR84" s="378"/>
      <c r="DS84" s="378"/>
      <c r="DT84" s="378"/>
      <c r="DU84" s="378"/>
      <c r="DV84" s="378"/>
      <c r="DW84" s="378"/>
      <c r="DX84" s="378"/>
      <c r="DY84" s="378"/>
      <c r="DZ84" s="378"/>
      <c r="EA84" s="378"/>
      <c r="EB84" s="378"/>
      <c r="EC84" s="378"/>
      <c r="ED84" s="378"/>
      <c r="EE84" s="378"/>
      <c r="EF84" s="378"/>
      <c r="EG84" s="378"/>
      <c r="EH84" s="378"/>
      <c r="EI84" s="378"/>
      <c r="EJ84" s="378"/>
      <c r="EK84" s="378"/>
      <c r="EL84" s="378"/>
      <c r="EM84" s="378"/>
      <c r="EN84" s="378"/>
      <c r="EO84" s="378"/>
      <c r="EP84" s="378"/>
      <c r="EQ84" s="378"/>
      <c r="ER84" s="378"/>
      <c r="ES84" s="378"/>
      <c r="ET84" s="378"/>
      <c r="EU84" s="378"/>
      <c r="EV84" s="378"/>
      <c r="EW84" s="378"/>
      <c r="EX84" s="378"/>
      <c r="EY84" s="378"/>
      <c r="EZ84" s="378"/>
      <c r="FA84" s="378"/>
      <c r="FB84" s="378"/>
      <c r="FC84" s="378"/>
      <c r="FD84" s="378"/>
      <c r="FE84" s="378"/>
      <c r="FF84" s="378"/>
      <c r="FG84" s="378"/>
      <c r="FH84" s="378"/>
      <c r="FI84" s="378"/>
      <c r="FJ84" s="378"/>
      <c r="FK84" s="378"/>
      <c r="FL84" s="378"/>
      <c r="FM84" s="378"/>
      <c r="FN84" s="378"/>
      <c r="FO84" s="378"/>
      <c r="FP84" s="378"/>
      <c r="FQ84" s="378"/>
      <c r="FR84" s="378"/>
      <c r="FS84" s="378"/>
      <c r="FT84" s="378"/>
      <c r="FU84" s="378"/>
      <c r="FV84" s="378"/>
      <c r="FW84" s="378"/>
      <c r="FX84" s="378"/>
      <c r="FY84" s="378"/>
      <c r="FZ84" s="378"/>
      <c r="GA84" s="378"/>
      <c r="GB84" s="378"/>
      <c r="GC84" s="378"/>
      <c r="GD84" s="378"/>
      <c r="GE84" s="378"/>
      <c r="GF84" s="378"/>
      <c r="GG84" s="378"/>
      <c r="GH84" s="378"/>
      <c r="GI84" s="378"/>
      <c r="GJ84" s="378"/>
      <c r="GK84" s="378"/>
      <c r="GL84" s="378"/>
      <c r="GM84" s="378"/>
      <c r="GN84" s="378"/>
      <c r="GO84" s="378"/>
      <c r="GP84" s="378"/>
      <c r="GQ84" s="378"/>
      <c r="GR84" s="378"/>
      <c r="GS84" s="378"/>
      <c r="GT84" s="378"/>
      <c r="GU84" s="378"/>
      <c r="GV84" s="378"/>
      <c r="GW84" s="378"/>
      <c r="GX84" s="378"/>
      <c r="GY84" s="378"/>
      <c r="GZ84" s="378"/>
      <c r="HA84" s="378"/>
      <c r="HB84" s="378"/>
      <c r="HC84" s="378"/>
      <c r="HD84" s="378"/>
      <c r="HE84" s="378"/>
      <c r="HF84" s="378"/>
      <c r="HG84" s="378"/>
      <c r="HH84" s="378"/>
      <c r="HI84" s="378"/>
      <c r="HJ84" s="378"/>
      <c r="HK84" s="378"/>
      <c r="HL84" s="378"/>
      <c r="HM84" s="378"/>
      <c r="HN84" s="378"/>
      <c r="HO84" s="378"/>
      <c r="HP84" s="378"/>
      <c r="HQ84" s="378"/>
      <c r="HR84" s="378"/>
      <c r="HS84" s="378"/>
      <c r="HT84" s="378"/>
      <c r="HU84" s="378"/>
      <c r="HV84" s="378"/>
      <c r="HW84" s="378"/>
      <c r="HX84" s="378"/>
      <c r="HY84" s="378"/>
      <c r="HZ84" s="378"/>
      <c r="IA84" s="378"/>
      <c r="IB84" s="378"/>
      <c r="IC84" s="378"/>
      <c r="ID84" s="378"/>
      <c r="IE84" s="378"/>
      <c r="IF84" s="378"/>
      <c r="IG84" s="378"/>
      <c r="IH84" s="378"/>
      <c r="II84" s="378"/>
      <c r="IJ84" s="378"/>
      <c r="IK84" s="378"/>
      <c r="IL84" s="378"/>
      <c r="IM84" s="378"/>
      <c r="IN84" s="378"/>
      <c r="IO84" s="378"/>
      <c r="IP84" s="378"/>
      <c r="IQ84" s="378"/>
      <c r="IR84" s="378"/>
      <c r="IS84" s="378"/>
      <c r="IT84" s="378"/>
      <c r="IU84" s="378"/>
      <c r="IV84" s="378"/>
      <c r="IW84" s="378"/>
      <c r="IX84" s="378"/>
      <c r="IY84" s="378"/>
      <c r="IZ84" s="378"/>
      <c r="JA84" s="378"/>
    </row>
    <row r="85" spans="2:261" s="379" customFormat="1">
      <c r="B85" s="374"/>
      <c r="C85" s="399"/>
      <c r="D85" s="403"/>
      <c r="E85" s="452" t="s">
        <v>5068</v>
      </c>
      <c r="F85" s="400"/>
      <c r="G85" s="400"/>
      <c r="H85" s="401"/>
      <c r="I85" s="377"/>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378"/>
      <c r="AL85" s="378"/>
      <c r="AM85" s="378"/>
      <c r="AN85" s="378"/>
      <c r="AO85" s="378"/>
      <c r="AP85" s="378"/>
      <c r="AQ85" s="378"/>
      <c r="AR85" s="378"/>
      <c r="AS85" s="378"/>
      <c r="AT85" s="378"/>
      <c r="AU85" s="378"/>
      <c r="AV85" s="378"/>
      <c r="AW85" s="378"/>
      <c r="AX85" s="378"/>
      <c r="AY85" s="378"/>
      <c r="AZ85" s="378"/>
      <c r="BA85" s="378"/>
      <c r="BB85" s="378"/>
      <c r="BC85" s="378"/>
      <c r="BD85" s="378"/>
      <c r="BE85" s="378"/>
      <c r="BF85" s="378"/>
      <c r="BG85" s="378"/>
      <c r="BH85" s="378"/>
      <c r="BI85" s="378"/>
      <c r="BJ85" s="378"/>
      <c r="BK85" s="378"/>
      <c r="BL85" s="378"/>
      <c r="BM85" s="378"/>
      <c r="BN85" s="378"/>
      <c r="BO85" s="378"/>
      <c r="BP85" s="378"/>
      <c r="BQ85" s="378"/>
      <c r="BR85" s="378"/>
      <c r="BS85" s="378"/>
      <c r="BT85" s="378"/>
      <c r="BU85" s="378"/>
      <c r="BV85" s="378"/>
      <c r="BW85" s="378"/>
      <c r="BX85" s="378"/>
      <c r="BY85" s="378"/>
      <c r="BZ85" s="378"/>
      <c r="CA85" s="378"/>
      <c r="CB85" s="378"/>
      <c r="CC85" s="378"/>
      <c r="CD85" s="378"/>
      <c r="CE85" s="378"/>
      <c r="CF85" s="378"/>
      <c r="CG85" s="378"/>
      <c r="CH85" s="378"/>
      <c r="CI85" s="378"/>
      <c r="CJ85" s="378"/>
      <c r="CK85" s="378"/>
      <c r="CL85" s="378"/>
      <c r="CM85" s="378"/>
      <c r="CN85" s="378"/>
      <c r="CO85" s="378"/>
      <c r="CP85" s="378"/>
      <c r="CQ85" s="378"/>
      <c r="CR85" s="378"/>
      <c r="CS85" s="378"/>
      <c r="CT85" s="378"/>
      <c r="CU85" s="378"/>
      <c r="CV85" s="378"/>
      <c r="CW85" s="378"/>
      <c r="CX85" s="378"/>
      <c r="CY85" s="378"/>
      <c r="CZ85" s="378"/>
      <c r="DA85" s="378"/>
      <c r="DB85" s="378"/>
      <c r="DC85" s="378"/>
      <c r="DD85" s="378"/>
      <c r="DE85" s="378"/>
      <c r="DF85" s="378"/>
      <c r="DG85" s="378"/>
      <c r="DH85" s="378"/>
      <c r="DI85" s="378"/>
      <c r="DJ85" s="378"/>
      <c r="DK85" s="378"/>
      <c r="DL85" s="378"/>
      <c r="DM85" s="378"/>
      <c r="DN85" s="378"/>
      <c r="DO85" s="378"/>
      <c r="DP85" s="378"/>
      <c r="DQ85" s="378"/>
      <c r="DR85" s="378"/>
      <c r="DS85" s="378"/>
      <c r="DT85" s="378"/>
      <c r="DU85" s="378"/>
      <c r="DV85" s="378"/>
      <c r="DW85" s="378"/>
      <c r="DX85" s="378"/>
      <c r="DY85" s="378"/>
      <c r="DZ85" s="378"/>
      <c r="EA85" s="378"/>
      <c r="EB85" s="378"/>
      <c r="EC85" s="378"/>
      <c r="ED85" s="378"/>
      <c r="EE85" s="378"/>
      <c r="EF85" s="378"/>
      <c r="EG85" s="378"/>
      <c r="EH85" s="378"/>
      <c r="EI85" s="378"/>
      <c r="EJ85" s="378"/>
      <c r="EK85" s="378"/>
      <c r="EL85" s="378"/>
      <c r="EM85" s="378"/>
      <c r="EN85" s="378"/>
      <c r="EO85" s="378"/>
      <c r="EP85" s="378"/>
      <c r="EQ85" s="378"/>
      <c r="ER85" s="378"/>
      <c r="ES85" s="378"/>
      <c r="ET85" s="378"/>
      <c r="EU85" s="378"/>
      <c r="EV85" s="378"/>
      <c r="EW85" s="378"/>
      <c r="EX85" s="378"/>
      <c r="EY85" s="378"/>
      <c r="EZ85" s="378"/>
      <c r="FA85" s="378"/>
      <c r="FB85" s="378"/>
      <c r="FC85" s="378"/>
      <c r="FD85" s="378"/>
      <c r="FE85" s="378"/>
      <c r="FF85" s="378"/>
      <c r="FG85" s="378"/>
      <c r="FH85" s="378"/>
      <c r="FI85" s="378"/>
      <c r="FJ85" s="378"/>
      <c r="FK85" s="378"/>
      <c r="FL85" s="378"/>
      <c r="FM85" s="378"/>
      <c r="FN85" s="378"/>
      <c r="FO85" s="378"/>
      <c r="FP85" s="378"/>
      <c r="FQ85" s="378"/>
      <c r="FR85" s="378"/>
      <c r="FS85" s="378"/>
      <c r="FT85" s="378"/>
      <c r="FU85" s="378"/>
      <c r="FV85" s="378"/>
      <c r="FW85" s="378"/>
      <c r="FX85" s="378"/>
      <c r="FY85" s="378"/>
      <c r="FZ85" s="378"/>
      <c r="GA85" s="378"/>
      <c r="GB85" s="378"/>
      <c r="GC85" s="378"/>
      <c r="GD85" s="378"/>
      <c r="GE85" s="378"/>
      <c r="GF85" s="378"/>
      <c r="GG85" s="378"/>
      <c r="GH85" s="378"/>
      <c r="GI85" s="378"/>
      <c r="GJ85" s="378"/>
      <c r="GK85" s="378"/>
      <c r="GL85" s="378"/>
      <c r="GM85" s="378"/>
      <c r="GN85" s="378"/>
      <c r="GO85" s="378"/>
      <c r="GP85" s="378"/>
      <c r="GQ85" s="378"/>
      <c r="GR85" s="378"/>
      <c r="GS85" s="378"/>
      <c r="GT85" s="378"/>
      <c r="GU85" s="378"/>
      <c r="GV85" s="378"/>
      <c r="GW85" s="378"/>
      <c r="GX85" s="378"/>
      <c r="GY85" s="378"/>
      <c r="GZ85" s="378"/>
      <c r="HA85" s="378"/>
      <c r="HB85" s="378"/>
      <c r="HC85" s="378"/>
      <c r="HD85" s="378"/>
      <c r="HE85" s="378"/>
      <c r="HF85" s="378"/>
      <c r="HG85" s="378"/>
      <c r="HH85" s="378"/>
      <c r="HI85" s="378"/>
      <c r="HJ85" s="378"/>
      <c r="HK85" s="378"/>
      <c r="HL85" s="378"/>
      <c r="HM85" s="378"/>
      <c r="HN85" s="378"/>
      <c r="HO85" s="378"/>
      <c r="HP85" s="378"/>
      <c r="HQ85" s="378"/>
      <c r="HR85" s="378"/>
      <c r="HS85" s="378"/>
      <c r="HT85" s="378"/>
      <c r="HU85" s="378"/>
      <c r="HV85" s="378"/>
      <c r="HW85" s="378"/>
      <c r="HX85" s="378"/>
      <c r="HY85" s="378"/>
      <c r="HZ85" s="378"/>
      <c r="IA85" s="378"/>
      <c r="IB85" s="378"/>
      <c r="IC85" s="378"/>
      <c r="ID85" s="378"/>
      <c r="IE85" s="378"/>
      <c r="IF85" s="378"/>
      <c r="IG85" s="378"/>
      <c r="IH85" s="378"/>
      <c r="II85" s="378"/>
      <c r="IJ85" s="378"/>
      <c r="IK85" s="378"/>
      <c r="IL85" s="378"/>
      <c r="IM85" s="378"/>
      <c r="IN85" s="378"/>
      <c r="IO85" s="378"/>
      <c r="IP85" s="378"/>
      <c r="IQ85" s="378"/>
      <c r="IR85" s="378"/>
      <c r="IS85" s="378"/>
      <c r="IT85" s="378"/>
      <c r="IU85" s="378"/>
      <c r="IV85" s="378"/>
      <c r="IW85" s="378"/>
      <c r="IX85" s="378"/>
      <c r="IY85" s="378"/>
      <c r="IZ85" s="378"/>
      <c r="JA85" s="378"/>
    </row>
    <row r="86" spans="2:261" s="379" customFormat="1">
      <c r="B86" s="374"/>
      <c r="C86" s="399"/>
      <c r="D86" s="403"/>
      <c r="E86" s="451"/>
      <c r="F86" s="400"/>
      <c r="G86" s="400"/>
      <c r="H86" s="401"/>
      <c r="I86" s="377"/>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378"/>
      <c r="AL86" s="378"/>
      <c r="AM86" s="378"/>
      <c r="AN86" s="378"/>
      <c r="AO86" s="378"/>
      <c r="AP86" s="378"/>
      <c r="AQ86" s="378"/>
      <c r="AR86" s="378"/>
      <c r="AS86" s="378"/>
      <c r="AT86" s="378"/>
      <c r="AU86" s="378"/>
      <c r="AV86" s="378"/>
      <c r="AW86" s="378"/>
      <c r="AX86" s="378"/>
      <c r="AY86" s="378"/>
      <c r="AZ86" s="378"/>
      <c r="BA86" s="378"/>
      <c r="BB86" s="378"/>
      <c r="BC86" s="378"/>
      <c r="BD86" s="378"/>
      <c r="BE86" s="378"/>
      <c r="BF86" s="378"/>
      <c r="BG86" s="378"/>
      <c r="BH86" s="378"/>
      <c r="BI86" s="378"/>
      <c r="BJ86" s="378"/>
      <c r="BK86" s="378"/>
      <c r="BL86" s="378"/>
      <c r="BM86" s="378"/>
      <c r="BN86" s="378"/>
      <c r="BO86" s="378"/>
      <c r="BP86" s="378"/>
      <c r="BQ86" s="378"/>
      <c r="BR86" s="378"/>
      <c r="BS86" s="378"/>
      <c r="BT86" s="378"/>
      <c r="BU86" s="378"/>
      <c r="BV86" s="378"/>
      <c r="BW86" s="378"/>
      <c r="BX86" s="378"/>
      <c r="BY86" s="378"/>
      <c r="BZ86" s="378"/>
      <c r="CA86" s="378"/>
      <c r="CB86" s="378"/>
      <c r="CC86" s="378"/>
      <c r="CD86" s="378"/>
      <c r="CE86" s="378"/>
      <c r="CF86" s="378"/>
      <c r="CG86" s="378"/>
      <c r="CH86" s="378"/>
      <c r="CI86" s="378"/>
      <c r="CJ86" s="378"/>
      <c r="CK86" s="378"/>
      <c r="CL86" s="378"/>
      <c r="CM86" s="378"/>
      <c r="CN86" s="378"/>
      <c r="CO86" s="378"/>
      <c r="CP86" s="378"/>
      <c r="CQ86" s="378"/>
      <c r="CR86" s="378"/>
      <c r="CS86" s="378"/>
      <c r="CT86" s="378"/>
      <c r="CU86" s="378"/>
      <c r="CV86" s="378"/>
      <c r="CW86" s="378"/>
      <c r="CX86" s="378"/>
      <c r="CY86" s="378"/>
      <c r="CZ86" s="378"/>
      <c r="DA86" s="378"/>
      <c r="DB86" s="378"/>
      <c r="DC86" s="378"/>
      <c r="DD86" s="378"/>
      <c r="DE86" s="378"/>
      <c r="DF86" s="378"/>
      <c r="DG86" s="378"/>
      <c r="DH86" s="378"/>
      <c r="DI86" s="378"/>
      <c r="DJ86" s="378"/>
      <c r="DK86" s="378"/>
      <c r="DL86" s="378"/>
      <c r="DM86" s="378"/>
      <c r="DN86" s="378"/>
      <c r="DO86" s="378"/>
      <c r="DP86" s="378"/>
      <c r="DQ86" s="378"/>
      <c r="DR86" s="378"/>
      <c r="DS86" s="378"/>
      <c r="DT86" s="378"/>
      <c r="DU86" s="378"/>
      <c r="DV86" s="378"/>
      <c r="DW86" s="378"/>
      <c r="DX86" s="378"/>
      <c r="DY86" s="378"/>
      <c r="DZ86" s="378"/>
      <c r="EA86" s="378"/>
      <c r="EB86" s="378"/>
      <c r="EC86" s="378"/>
      <c r="ED86" s="378"/>
      <c r="EE86" s="378"/>
      <c r="EF86" s="378"/>
      <c r="EG86" s="378"/>
      <c r="EH86" s="378"/>
      <c r="EI86" s="378"/>
      <c r="EJ86" s="378"/>
      <c r="EK86" s="378"/>
      <c r="EL86" s="378"/>
      <c r="EM86" s="378"/>
      <c r="EN86" s="378"/>
      <c r="EO86" s="378"/>
      <c r="EP86" s="378"/>
      <c r="EQ86" s="378"/>
      <c r="ER86" s="378"/>
      <c r="ES86" s="378"/>
      <c r="ET86" s="378"/>
      <c r="EU86" s="378"/>
      <c r="EV86" s="378"/>
      <c r="EW86" s="378"/>
      <c r="EX86" s="378"/>
      <c r="EY86" s="378"/>
      <c r="EZ86" s="378"/>
      <c r="FA86" s="378"/>
      <c r="FB86" s="378"/>
      <c r="FC86" s="378"/>
      <c r="FD86" s="378"/>
      <c r="FE86" s="378"/>
      <c r="FF86" s="378"/>
      <c r="FG86" s="378"/>
      <c r="FH86" s="378"/>
      <c r="FI86" s="378"/>
      <c r="FJ86" s="378"/>
      <c r="FK86" s="378"/>
      <c r="FL86" s="378"/>
      <c r="FM86" s="378"/>
      <c r="FN86" s="378"/>
      <c r="FO86" s="378"/>
      <c r="FP86" s="378"/>
      <c r="FQ86" s="378"/>
      <c r="FR86" s="378"/>
      <c r="FS86" s="378"/>
      <c r="FT86" s="378"/>
      <c r="FU86" s="378"/>
      <c r="FV86" s="378"/>
      <c r="FW86" s="378"/>
      <c r="FX86" s="378"/>
      <c r="FY86" s="378"/>
      <c r="FZ86" s="378"/>
      <c r="GA86" s="378"/>
      <c r="GB86" s="378"/>
      <c r="GC86" s="378"/>
      <c r="GD86" s="378"/>
      <c r="GE86" s="378"/>
      <c r="GF86" s="378"/>
      <c r="GG86" s="378"/>
      <c r="GH86" s="378"/>
      <c r="GI86" s="378"/>
      <c r="GJ86" s="378"/>
      <c r="GK86" s="378"/>
      <c r="GL86" s="378"/>
      <c r="GM86" s="378"/>
      <c r="GN86" s="378"/>
      <c r="GO86" s="378"/>
      <c r="GP86" s="378"/>
      <c r="GQ86" s="378"/>
      <c r="GR86" s="378"/>
      <c r="GS86" s="378"/>
      <c r="GT86" s="378"/>
      <c r="GU86" s="378"/>
      <c r="GV86" s="378"/>
      <c r="GW86" s="378"/>
      <c r="GX86" s="378"/>
      <c r="GY86" s="378"/>
      <c r="GZ86" s="378"/>
      <c r="HA86" s="378"/>
      <c r="HB86" s="378"/>
      <c r="HC86" s="378"/>
      <c r="HD86" s="378"/>
      <c r="HE86" s="378"/>
      <c r="HF86" s="378"/>
      <c r="HG86" s="378"/>
      <c r="HH86" s="378"/>
      <c r="HI86" s="378"/>
      <c r="HJ86" s="378"/>
      <c r="HK86" s="378"/>
      <c r="HL86" s="378"/>
      <c r="HM86" s="378"/>
      <c r="HN86" s="378"/>
      <c r="HO86" s="378"/>
      <c r="HP86" s="378"/>
      <c r="HQ86" s="378"/>
      <c r="HR86" s="378"/>
      <c r="HS86" s="378"/>
      <c r="HT86" s="378"/>
      <c r="HU86" s="378"/>
      <c r="HV86" s="378"/>
      <c r="HW86" s="378"/>
      <c r="HX86" s="378"/>
      <c r="HY86" s="378"/>
      <c r="HZ86" s="378"/>
      <c r="IA86" s="378"/>
      <c r="IB86" s="378"/>
      <c r="IC86" s="378"/>
      <c r="ID86" s="378"/>
      <c r="IE86" s="378"/>
      <c r="IF86" s="378"/>
      <c r="IG86" s="378"/>
      <c r="IH86" s="378"/>
      <c r="II86" s="378"/>
      <c r="IJ86" s="378"/>
      <c r="IK86" s="378"/>
      <c r="IL86" s="378"/>
      <c r="IM86" s="378"/>
      <c r="IN86" s="378"/>
      <c r="IO86" s="378"/>
      <c r="IP86" s="378"/>
      <c r="IQ86" s="378"/>
      <c r="IR86" s="378"/>
      <c r="IS86" s="378"/>
      <c r="IT86" s="378"/>
      <c r="IU86" s="378"/>
      <c r="IV86" s="378"/>
      <c r="IW86" s="378"/>
      <c r="IX86" s="378"/>
      <c r="IY86" s="378"/>
      <c r="IZ86" s="378"/>
      <c r="JA86" s="378"/>
    </row>
    <row r="87" spans="2:261" s="379" customFormat="1">
      <c r="B87" s="374"/>
      <c r="C87" s="399"/>
      <c r="D87" s="403"/>
      <c r="E87" s="452" t="s">
        <v>5071</v>
      </c>
      <c r="F87" s="400"/>
      <c r="G87" s="400"/>
      <c r="H87" s="401"/>
      <c r="I87" s="377"/>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378"/>
      <c r="AL87" s="378"/>
      <c r="AM87" s="378"/>
      <c r="AN87" s="378"/>
      <c r="AO87" s="378"/>
      <c r="AP87" s="378"/>
      <c r="AQ87" s="378"/>
      <c r="AR87" s="378"/>
      <c r="AS87" s="378"/>
      <c r="AT87" s="378"/>
      <c r="AU87" s="378"/>
      <c r="AV87" s="378"/>
      <c r="AW87" s="378"/>
      <c r="AX87" s="378"/>
      <c r="AY87" s="378"/>
      <c r="AZ87" s="378"/>
      <c r="BA87" s="378"/>
      <c r="BB87" s="378"/>
      <c r="BC87" s="378"/>
      <c r="BD87" s="378"/>
      <c r="BE87" s="378"/>
      <c r="BF87" s="378"/>
      <c r="BG87" s="378"/>
      <c r="BH87" s="378"/>
      <c r="BI87" s="378"/>
      <c r="BJ87" s="378"/>
      <c r="BK87" s="378"/>
      <c r="BL87" s="378"/>
      <c r="BM87" s="378"/>
      <c r="BN87" s="378"/>
      <c r="BO87" s="378"/>
      <c r="BP87" s="378"/>
      <c r="BQ87" s="378"/>
      <c r="BR87" s="378"/>
      <c r="BS87" s="378"/>
      <c r="BT87" s="378"/>
      <c r="BU87" s="378"/>
      <c r="BV87" s="378"/>
      <c r="BW87" s="378"/>
      <c r="BX87" s="378"/>
      <c r="BY87" s="378"/>
      <c r="BZ87" s="378"/>
      <c r="CA87" s="378"/>
      <c r="CB87" s="378"/>
      <c r="CC87" s="378"/>
      <c r="CD87" s="378"/>
      <c r="CE87" s="378"/>
      <c r="CF87" s="378"/>
      <c r="CG87" s="378"/>
      <c r="CH87" s="378"/>
      <c r="CI87" s="378"/>
      <c r="CJ87" s="378"/>
      <c r="CK87" s="378"/>
      <c r="CL87" s="378"/>
      <c r="CM87" s="378"/>
      <c r="CN87" s="378"/>
      <c r="CO87" s="378"/>
      <c r="CP87" s="378"/>
      <c r="CQ87" s="378"/>
      <c r="CR87" s="378"/>
      <c r="CS87" s="378"/>
      <c r="CT87" s="378"/>
      <c r="CU87" s="378"/>
      <c r="CV87" s="378"/>
      <c r="CW87" s="378"/>
      <c r="CX87" s="378"/>
      <c r="CY87" s="378"/>
      <c r="CZ87" s="378"/>
      <c r="DA87" s="378"/>
      <c r="DB87" s="378"/>
      <c r="DC87" s="378"/>
      <c r="DD87" s="378"/>
      <c r="DE87" s="378"/>
      <c r="DF87" s="378"/>
      <c r="DG87" s="378"/>
      <c r="DH87" s="378"/>
      <c r="DI87" s="378"/>
      <c r="DJ87" s="378"/>
      <c r="DK87" s="378"/>
      <c r="DL87" s="378"/>
      <c r="DM87" s="378"/>
      <c r="DN87" s="378"/>
      <c r="DO87" s="378"/>
      <c r="DP87" s="378"/>
      <c r="DQ87" s="378"/>
      <c r="DR87" s="378"/>
      <c r="DS87" s="378"/>
      <c r="DT87" s="378"/>
      <c r="DU87" s="378"/>
      <c r="DV87" s="378"/>
      <c r="DW87" s="378"/>
      <c r="DX87" s="378"/>
      <c r="DY87" s="378"/>
      <c r="DZ87" s="378"/>
      <c r="EA87" s="378"/>
      <c r="EB87" s="378"/>
      <c r="EC87" s="378"/>
      <c r="ED87" s="378"/>
      <c r="EE87" s="378"/>
      <c r="EF87" s="378"/>
      <c r="EG87" s="378"/>
      <c r="EH87" s="378"/>
      <c r="EI87" s="378"/>
      <c r="EJ87" s="378"/>
      <c r="EK87" s="378"/>
      <c r="EL87" s="378"/>
      <c r="EM87" s="378"/>
      <c r="EN87" s="378"/>
      <c r="EO87" s="378"/>
      <c r="EP87" s="378"/>
      <c r="EQ87" s="378"/>
      <c r="ER87" s="378"/>
      <c r="ES87" s="378"/>
      <c r="ET87" s="378"/>
      <c r="EU87" s="378"/>
      <c r="EV87" s="378"/>
      <c r="EW87" s="378"/>
      <c r="EX87" s="378"/>
      <c r="EY87" s="378"/>
      <c r="EZ87" s="378"/>
      <c r="FA87" s="378"/>
      <c r="FB87" s="378"/>
      <c r="FC87" s="378"/>
      <c r="FD87" s="378"/>
      <c r="FE87" s="378"/>
      <c r="FF87" s="378"/>
      <c r="FG87" s="378"/>
      <c r="FH87" s="378"/>
      <c r="FI87" s="378"/>
      <c r="FJ87" s="378"/>
      <c r="FK87" s="378"/>
      <c r="FL87" s="378"/>
      <c r="FM87" s="378"/>
      <c r="FN87" s="378"/>
      <c r="FO87" s="378"/>
      <c r="FP87" s="378"/>
      <c r="FQ87" s="378"/>
      <c r="FR87" s="378"/>
      <c r="FS87" s="378"/>
      <c r="FT87" s="378"/>
      <c r="FU87" s="378"/>
      <c r="FV87" s="378"/>
      <c r="FW87" s="378"/>
      <c r="FX87" s="378"/>
      <c r="FY87" s="378"/>
      <c r="FZ87" s="378"/>
      <c r="GA87" s="378"/>
      <c r="GB87" s="378"/>
      <c r="GC87" s="378"/>
      <c r="GD87" s="378"/>
      <c r="GE87" s="378"/>
      <c r="GF87" s="378"/>
      <c r="GG87" s="378"/>
      <c r="GH87" s="378"/>
      <c r="GI87" s="378"/>
      <c r="GJ87" s="378"/>
      <c r="GK87" s="378"/>
      <c r="GL87" s="378"/>
      <c r="GM87" s="378"/>
      <c r="GN87" s="378"/>
      <c r="GO87" s="378"/>
      <c r="GP87" s="378"/>
      <c r="GQ87" s="378"/>
      <c r="GR87" s="378"/>
      <c r="GS87" s="378"/>
      <c r="GT87" s="378"/>
      <c r="GU87" s="378"/>
      <c r="GV87" s="378"/>
      <c r="GW87" s="378"/>
      <c r="GX87" s="378"/>
      <c r="GY87" s="378"/>
      <c r="GZ87" s="378"/>
      <c r="HA87" s="378"/>
      <c r="HB87" s="378"/>
      <c r="HC87" s="378"/>
      <c r="HD87" s="378"/>
      <c r="HE87" s="378"/>
      <c r="HF87" s="378"/>
      <c r="HG87" s="378"/>
      <c r="HH87" s="378"/>
      <c r="HI87" s="378"/>
      <c r="HJ87" s="378"/>
      <c r="HK87" s="378"/>
      <c r="HL87" s="378"/>
      <c r="HM87" s="378"/>
      <c r="HN87" s="378"/>
      <c r="HO87" s="378"/>
      <c r="HP87" s="378"/>
      <c r="HQ87" s="378"/>
      <c r="HR87" s="378"/>
      <c r="HS87" s="378"/>
      <c r="HT87" s="378"/>
      <c r="HU87" s="378"/>
      <c r="HV87" s="378"/>
      <c r="HW87" s="378"/>
      <c r="HX87" s="378"/>
      <c r="HY87" s="378"/>
      <c r="HZ87" s="378"/>
      <c r="IA87" s="378"/>
      <c r="IB87" s="378"/>
      <c r="IC87" s="378"/>
      <c r="ID87" s="378"/>
      <c r="IE87" s="378"/>
      <c r="IF87" s="378"/>
      <c r="IG87" s="378"/>
      <c r="IH87" s="378"/>
      <c r="II87" s="378"/>
      <c r="IJ87" s="378"/>
      <c r="IK87" s="378"/>
      <c r="IL87" s="378"/>
      <c r="IM87" s="378"/>
      <c r="IN87" s="378"/>
      <c r="IO87" s="378"/>
      <c r="IP87" s="378"/>
      <c r="IQ87" s="378"/>
      <c r="IR87" s="378"/>
      <c r="IS87" s="378"/>
      <c r="IT87" s="378"/>
      <c r="IU87" s="378"/>
      <c r="IV87" s="378"/>
      <c r="IW87" s="378"/>
      <c r="IX87" s="378"/>
      <c r="IY87" s="378"/>
      <c r="IZ87" s="378"/>
      <c r="JA87" s="378"/>
    </row>
    <row r="88" spans="2:261" s="379" customFormat="1" ht="14">
      <c r="B88" s="374"/>
      <c r="C88" s="375"/>
      <c r="D88" s="402"/>
      <c r="E88" s="346"/>
      <c r="F88" s="408" t="str">
        <f>'Jordan Data'!E9&amp;": "&amp;'Jordan Data'!E8&amp;"—"&amp;'Planning Template'!$F$11&amp;"-"&amp;$F$10&amp;" "&amp;"Project Report"</f>
        <v>GM: -  —- Project Report</v>
      </c>
      <c r="G88" s="346"/>
      <c r="H88" s="376"/>
      <c r="I88" s="377"/>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378"/>
      <c r="AL88" s="378"/>
      <c r="AM88" s="378"/>
      <c r="AN88" s="378"/>
      <c r="AO88" s="378"/>
      <c r="AP88" s="378"/>
      <c r="AQ88" s="378"/>
      <c r="AR88" s="378"/>
      <c r="AS88" s="378"/>
      <c r="AT88" s="378"/>
      <c r="AU88" s="378"/>
      <c r="AV88" s="378"/>
      <c r="AW88" s="378"/>
      <c r="AX88" s="378"/>
      <c r="AY88" s="378"/>
      <c r="AZ88" s="378"/>
      <c r="BA88" s="378"/>
      <c r="BB88" s="378"/>
      <c r="BC88" s="378"/>
      <c r="BD88" s="378"/>
      <c r="BE88" s="378"/>
      <c r="BF88" s="378"/>
      <c r="BG88" s="378"/>
      <c r="BH88" s="378"/>
      <c r="BI88" s="378"/>
      <c r="BJ88" s="378"/>
      <c r="BK88" s="378"/>
      <c r="BL88" s="378"/>
      <c r="BM88" s="378"/>
      <c r="BN88" s="378"/>
      <c r="BO88" s="378"/>
      <c r="BP88" s="378"/>
      <c r="BQ88" s="378"/>
      <c r="BR88" s="378"/>
      <c r="BS88" s="378"/>
      <c r="BT88" s="378"/>
      <c r="BU88" s="378"/>
      <c r="BV88" s="378"/>
      <c r="BW88" s="378"/>
      <c r="BX88" s="378"/>
      <c r="BY88" s="378"/>
      <c r="BZ88" s="378"/>
      <c r="CA88" s="378"/>
      <c r="CB88" s="378"/>
      <c r="CC88" s="378"/>
      <c r="CD88" s="378"/>
      <c r="CE88" s="378"/>
      <c r="CF88" s="378"/>
      <c r="CG88" s="378"/>
      <c r="CH88" s="378"/>
      <c r="CI88" s="378"/>
      <c r="CJ88" s="378"/>
      <c r="CK88" s="378"/>
      <c r="CL88" s="378"/>
      <c r="CM88" s="378"/>
      <c r="CN88" s="378"/>
      <c r="CO88" s="378"/>
      <c r="CP88" s="378"/>
      <c r="CQ88" s="378"/>
      <c r="CR88" s="378"/>
      <c r="CS88" s="378"/>
      <c r="CT88" s="378"/>
      <c r="CU88" s="378"/>
      <c r="CV88" s="378"/>
      <c r="CW88" s="378"/>
      <c r="CX88" s="378"/>
      <c r="CY88" s="378"/>
      <c r="CZ88" s="378"/>
      <c r="DA88" s="378"/>
      <c r="DB88" s="378"/>
      <c r="DC88" s="378"/>
      <c r="DD88" s="378"/>
      <c r="DE88" s="378"/>
      <c r="DF88" s="378"/>
      <c r="DG88" s="378"/>
      <c r="DH88" s="378"/>
      <c r="DI88" s="378"/>
      <c r="DJ88" s="378"/>
      <c r="DK88" s="378"/>
      <c r="DL88" s="378"/>
      <c r="DM88" s="378"/>
      <c r="DN88" s="378"/>
      <c r="DO88" s="378"/>
      <c r="DP88" s="378"/>
      <c r="DQ88" s="378"/>
      <c r="DR88" s="378"/>
      <c r="DS88" s="378"/>
      <c r="DT88" s="378"/>
      <c r="DU88" s="378"/>
      <c r="DV88" s="378"/>
      <c r="DW88" s="378"/>
      <c r="DX88" s="378"/>
      <c r="DY88" s="378"/>
      <c r="DZ88" s="378"/>
      <c r="EA88" s="378"/>
      <c r="EB88" s="378"/>
      <c r="EC88" s="378"/>
      <c r="ED88" s="378"/>
      <c r="EE88" s="378"/>
      <c r="EF88" s="378"/>
      <c r="EG88" s="378"/>
      <c r="EH88" s="378"/>
      <c r="EI88" s="378"/>
      <c r="EJ88" s="378"/>
      <c r="EK88" s="378"/>
      <c r="EL88" s="378"/>
      <c r="EM88" s="378"/>
      <c r="EN88" s="378"/>
      <c r="EO88" s="378"/>
      <c r="EP88" s="378"/>
      <c r="EQ88" s="378"/>
      <c r="ER88" s="378"/>
      <c r="ES88" s="378"/>
      <c r="ET88" s="378"/>
      <c r="EU88" s="378"/>
      <c r="EV88" s="378"/>
      <c r="EW88" s="378"/>
      <c r="EX88" s="378"/>
      <c r="EY88" s="378"/>
      <c r="EZ88" s="378"/>
      <c r="FA88" s="378"/>
      <c r="FB88" s="378"/>
      <c r="FC88" s="378"/>
      <c r="FD88" s="378"/>
      <c r="FE88" s="378"/>
      <c r="FF88" s="378"/>
      <c r="FG88" s="378"/>
      <c r="FH88" s="378"/>
      <c r="FI88" s="378"/>
      <c r="FJ88" s="378"/>
      <c r="FK88" s="378"/>
      <c r="FL88" s="378"/>
      <c r="FM88" s="378"/>
      <c r="FN88" s="378"/>
      <c r="FO88" s="378"/>
      <c r="FP88" s="378"/>
      <c r="FQ88" s="378"/>
      <c r="FR88" s="378"/>
      <c r="FS88" s="378"/>
      <c r="FT88" s="378"/>
      <c r="FU88" s="378"/>
      <c r="FV88" s="378"/>
      <c r="FW88" s="378"/>
      <c r="FX88" s="378"/>
      <c r="FY88" s="378"/>
      <c r="FZ88" s="378"/>
      <c r="GA88" s="378"/>
      <c r="GB88" s="378"/>
      <c r="GC88" s="378"/>
      <c r="GD88" s="378"/>
      <c r="GE88" s="378"/>
      <c r="GF88" s="378"/>
      <c r="GG88" s="378"/>
      <c r="GH88" s="378"/>
      <c r="GI88" s="378"/>
      <c r="GJ88" s="378"/>
      <c r="GK88" s="378"/>
      <c r="GL88" s="378"/>
      <c r="GM88" s="378"/>
      <c r="GN88" s="378"/>
      <c r="GO88" s="378"/>
      <c r="GP88" s="378"/>
      <c r="GQ88" s="378"/>
      <c r="GR88" s="378"/>
      <c r="GS88" s="378"/>
      <c r="GT88" s="378"/>
      <c r="GU88" s="378"/>
      <c r="GV88" s="378"/>
      <c r="GW88" s="378"/>
      <c r="GX88" s="378"/>
      <c r="GY88" s="378"/>
      <c r="GZ88" s="378"/>
      <c r="HA88" s="378"/>
      <c r="HB88" s="378"/>
      <c r="HC88" s="378"/>
      <c r="HD88" s="378"/>
      <c r="HE88" s="378"/>
      <c r="HF88" s="378"/>
      <c r="HG88" s="378"/>
      <c r="HH88" s="378"/>
      <c r="HI88" s="378"/>
      <c r="HJ88" s="378"/>
      <c r="HK88" s="378"/>
      <c r="HL88" s="378"/>
      <c r="HM88" s="378"/>
      <c r="HN88" s="378"/>
      <c r="HO88" s="378"/>
      <c r="HP88" s="378"/>
      <c r="HQ88" s="378"/>
      <c r="HR88" s="378"/>
      <c r="HS88" s="378"/>
      <c r="HT88" s="378"/>
      <c r="HU88" s="378"/>
      <c r="HV88" s="378"/>
      <c r="HW88" s="378"/>
      <c r="HX88" s="378"/>
      <c r="HY88" s="378"/>
      <c r="HZ88" s="378"/>
      <c r="IA88" s="378"/>
      <c r="IB88" s="378"/>
      <c r="IC88" s="378"/>
      <c r="ID88" s="378"/>
      <c r="IE88" s="378"/>
      <c r="IF88" s="378"/>
      <c r="IG88" s="378"/>
      <c r="IH88" s="378"/>
      <c r="II88" s="378"/>
      <c r="IJ88" s="378"/>
      <c r="IK88" s="378"/>
      <c r="IL88" s="378"/>
      <c r="IM88" s="378"/>
      <c r="IN88" s="378"/>
      <c r="IO88" s="378"/>
      <c r="IP88" s="378"/>
      <c r="IQ88" s="378"/>
      <c r="IR88" s="378"/>
      <c r="IS88" s="378"/>
      <c r="IT88" s="378"/>
      <c r="IU88" s="378"/>
      <c r="IV88" s="378"/>
      <c r="IW88" s="378"/>
      <c r="IX88" s="378"/>
      <c r="IY88" s="378"/>
      <c r="IZ88" s="378"/>
      <c r="JA88" s="378"/>
    </row>
    <row r="89" spans="2:261" s="379" customFormat="1" ht="14">
      <c r="B89" s="374"/>
      <c r="C89" s="375"/>
      <c r="D89" s="402"/>
      <c r="E89" s="400"/>
      <c r="F89" s="406" t="str">
        <f>"Project Purpose: "&amp;'Planning Template'!F65</f>
        <v>Project Purpose: To establish a  amongst the  () people in  leading to an  within 5 years.</v>
      </c>
      <c r="G89" s="400"/>
      <c r="H89" s="376"/>
      <c r="I89" s="377"/>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378"/>
      <c r="AL89" s="378"/>
      <c r="AM89" s="378"/>
      <c r="AN89" s="378"/>
      <c r="AO89" s="378"/>
      <c r="AP89" s="378"/>
      <c r="AQ89" s="378"/>
      <c r="AR89" s="378"/>
      <c r="AS89" s="378"/>
      <c r="AT89" s="378"/>
      <c r="AU89" s="378"/>
      <c r="AV89" s="378"/>
      <c r="AW89" s="378"/>
      <c r="AX89" s="378"/>
      <c r="AY89" s="378"/>
      <c r="AZ89" s="378"/>
      <c r="BA89" s="378"/>
      <c r="BB89" s="378"/>
      <c r="BC89" s="378"/>
      <c r="BD89" s="378"/>
      <c r="BE89" s="378"/>
      <c r="BF89" s="378"/>
      <c r="BG89" s="378"/>
      <c r="BH89" s="378"/>
      <c r="BI89" s="378"/>
      <c r="BJ89" s="378"/>
      <c r="BK89" s="378"/>
      <c r="BL89" s="378"/>
      <c r="BM89" s="378"/>
      <c r="BN89" s="378"/>
      <c r="BO89" s="378"/>
      <c r="BP89" s="378"/>
      <c r="BQ89" s="378"/>
      <c r="BR89" s="378"/>
      <c r="BS89" s="378"/>
      <c r="BT89" s="378"/>
      <c r="BU89" s="378"/>
      <c r="BV89" s="378"/>
      <c r="BW89" s="378"/>
      <c r="BX89" s="378"/>
      <c r="BY89" s="378"/>
      <c r="BZ89" s="378"/>
      <c r="CA89" s="378"/>
      <c r="CB89" s="378"/>
      <c r="CC89" s="378"/>
      <c r="CD89" s="378"/>
      <c r="CE89" s="378"/>
      <c r="CF89" s="378"/>
      <c r="CG89" s="378"/>
      <c r="CH89" s="378"/>
      <c r="CI89" s="378"/>
      <c r="CJ89" s="378"/>
      <c r="CK89" s="378"/>
      <c r="CL89" s="378"/>
      <c r="CM89" s="378"/>
      <c r="CN89" s="378"/>
      <c r="CO89" s="378"/>
      <c r="CP89" s="378"/>
      <c r="CQ89" s="378"/>
      <c r="CR89" s="378"/>
      <c r="CS89" s="378"/>
      <c r="CT89" s="378"/>
      <c r="CU89" s="378"/>
      <c r="CV89" s="378"/>
      <c r="CW89" s="378"/>
      <c r="CX89" s="378"/>
      <c r="CY89" s="378"/>
      <c r="CZ89" s="378"/>
      <c r="DA89" s="378"/>
      <c r="DB89" s="378"/>
      <c r="DC89" s="378"/>
      <c r="DD89" s="378"/>
      <c r="DE89" s="378"/>
      <c r="DF89" s="378"/>
      <c r="DG89" s="378"/>
      <c r="DH89" s="378"/>
      <c r="DI89" s="378"/>
      <c r="DJ89" s="378"/>
      <c r="DK89" s="378"/>
      <c r="DL89" s="378"/>
      <c r="DM89" s="378"/>
      <c r="DN89" s="378"/>
      <c r="DO89" s="378"/>
      <c r="DP89" s="378"/>
      <c r="DQ89" s="378"/>
      <c r="DR89" s="378"/>
      <c r="DS89" s="378"/>
      <c r="DT89" s="378"/>
      <c r="DU89" s="378"/>
      <c r="DV89" s="378"/>
      <c r="DW89" s="378"/>
      <c r="DX89" s="378"/>
      <c r="DY89" s="378"/>
      <c r="DZ89" s="378"/>
      <c r="EA89" s="378"/>
      <c r="EB89" s="378"/>
      <c r="EC89" s="378"/>
      <c r="ED89" s="378"/>
      <c r="EE89" s="378"/>
      <c r="EF89" s="378"/>
      <c r="EG89" s="378"/>
      <c r="EH89" s="378"/>
      <c r="EI89" s="378"/>
      <c r="EJ89" s="378"/>
      <c r="EK89" s="378"/>
      <c r="EL89" s="378"/>
      <c r="EM89" s="378"/>
      <c r="EN89" s="378"/>
      <c r="EO89" s="378"/>
      <c r="EP89" s="378"/>
      <c r="EQ89" s="378"/>
      <c r="ER89" s="378"/>
      <c r="ES89" s="378"/>
      <c r="ET89" s="378"/>
      <c r="EU89" s="378"/>
      <c r="EV89" s="378"/>
      <c r="EW89" s="378"/>
      <c r="EX89" s="378"/>
      <c r="EY89" s="378"/>
      <c r="EZ89" s="378"/>
      <c r="FA89" s="378"/>
      <c r="FB89" s="378"/>
      <c r="FC89" s="378"/>
      <c r="FD89" s="378"/>
      <c r="FE89" s="378"/>
      <c r="FF89" s="378"/>
      <c r="FG89" s="378"/>
      <c r="FH89" s="378"/>
      <c r="FI89" s="378"/>
      <c r="FJ89" s="378"/>
      <c r="FK89" s="378"/>
      <c r="FL89" s="378"/>
      <c r="FM89" s="378"/>
      <c r="FN89" s="378"/>
      <c r="FO89" s="378"/>
      <c r="FP89" s="378"/>
      <c r="FQ89" s="378"/>
      <c r="FR89" s="378"/>
      <c r="FS89" s="378"/>
      <c r="FT89" s="378"/>
      <c r="FU89" s="378"/>
      <c r="FV89" s="378"/>
      <c r="FW89" s="378"/>
      <c r="FX89" s="378"/>
      <c r="FY89" s="378"/>
      <c r="FZ89" s="378"/>
      <c r="GA89" s="378"/>
      <c r="GB89" s="378"/>
      <c r="GC89" s="378"/>
      <c r="GD89" s="378"/>
      <c r="GE89" s="378"/>
      <c r="GF89" s="378"/>
      <c r="GG89" s="378"/>
      <c r="GH89" s="378"/>
      <c r="GI89" s="378"/>
      <c r="GJ89" s="378"/>
      <c r="GK89" s="378"/>
      <c r="GL89" s="378"/>
      <c r="GM89" s="378"/>
      <c r="GN89" s="378"/>
      <c r="GO89" s="378"/>
      <c r="GP89" s="378"/>
      <c r="GQ89" s="378"/>
      <c r="GR89" s="378"/>
      <c r="GS89" s="378"/>
      <c r="GT89" s="378"/>
      <c r="GU89" s="378"/>
      <c r="GV89" s="378"/>
      <c r="GW89" s="378"/>
      <c r="GX89" s="378"/>
      <c r="GY89" s="378"/>
      <c r="GZ89" s="378"/>
      <c r="HA89" s="378"/>
      <c r="HB89" s="378"/>
      <c r="HC89" s="378"/>
      <c r="HD89" s="378"/>
      <c r="HE89" s="378"/>
      <c r="HF89" s="378"/>
      <c r="HG89" s="378"/>
      <c r="HH89" s="378"/>
      <c r="HI89" s="378"/>
      <c r="HJ89" s="378"/>
      <c r="HK89" s="378"/>
      <c r="HL89" s="378"/>
      <c r="HM89" s="378"/>
      <c r="HN89" s="378"/>
      <c r="HO89" s="378"/>
      <c r="HP89" s="378"/>
      <c r="HQ89" s="378"/>
      <c r="HR89" s="378"/>
      <c r="HS89" s="378"/>
      <c r="HT89" s="378"/>
      <c r="HU89" s="378"/>
      <c r="HV89" s="378"/>
      <c r="HW89" s="378"/>
      <c r="HX89" s="378"/>
      <c r="HY89" s="378"/>
      <c r="HZ89" s="378"/>
      <c r="IA89" s="378"/>
      <c r="IB89" s="378"/>
      <c r="IC89" s="378"/>
      <c r="ID89" s="378"/>
      <c r="IE89" s="378"/>
      <c r="IF89" s="378"/>
      <c r="IG89" s="378"/>
      <c r="IH89" s="378"/>
      <c r="II89" s="378"/>
      <c r="IJ89" s="378"/>
      <c r="IK89" s="378"/>
      <c r="IL89" s="378"/>
      <c r="IM89" s="378"/>
      <c r="IN89" s="378"/>
      <c r="IO89" s="378"/>
      <c r="IP89" s="378"/>
      <c r="IQ89" s="378"/>
      <c r="IR89" s="378"/>
      <c r="IS89" s="378"/>
      <c r="IT89" s="378"/>
      <c r="IU89" s="378"/>
      <c r="IV89" s="378"/>
      <c r="IW89" s="378"/>
      <c r="IX89" s="378"/>
      <c r="IY89" s="378"/>
      <c r="IZ89" s="378"/>
      <c r="JA89" s="378"/>
    </row>
    <row r="90" spans="2:261" s="379" customFormat="1" ht="13">
      <c r="B90" s="374"/>
      <c r="C90" s="375"/>
      <c r="D90" s="402"/>
      <c r="E90" s="400"/>
      <c r="F90" s="406"/>
      <c r="G90" s="400"/>
      <c r="H90" s="376"/>
      <c r="I90" s="377"/>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378"/>
      <c r="AL90" s="378"/>
      <c r="AM90" s="378"/>
      <c r="AN90" s="378"/>
      <c r="AO90" s="378"/>
      <c r="AP90" s="378"/>
      <c r="AQ90" s="378"/>
      <c r="AR90" s="378"/>
      <c r="AS90" s="378"/>
      <c r="AT90" s="378"/>
      <c r="AU90" s="378"/>
      <c r="AV90" s="378"/>
      <c r="AW90" s="378"/>
      <c r="AX90" s="378"/>
      <c r="AY90" s="378"/>
      <c r="AZ90" s="378"/>
      <c r="BA90" s="378"/>
      <c r="BB90" s="378"/>
      <c r="BC90" s="378"/>
      <c r="BD90" s="378"/>
      <c r="BE90" s="378"/>
      <c r="BF90" s="378"/>
      <c r="BG90" s="378"/>
      <c r="BH90" s="378"/>
      <c r="BI90" s="378"/>
      <c r="BJ90" s="378"/>
      <c r="BK90" s="378"/>
      <c r="BL90" s="378"/>
      <c r="BM90" s="378"/>
      <c r="BN90" s="378"/>
      <c r="BO90" s="378"/>
      <c r="BP90" s="378"/>
      <c r="BQ90" s="378"/>
      <c r="BR90" s="378"/>
      <c r="BS90" s="378"/>
      <c r="BT90" s="378"/>
      <c r="BU90" s="378"/>
      <c r="BV90" s="378"/>
      <c r="BW90" s="378"/>
      <c r="BX90" s="378"/>
      <c r="BY90" s="378"/>
      <c r="BZ90" s="378"/>
      <c r="CA90" s="378"/>
      <c r="CB90" s="378"/>
      <c r="CC90" s="378"/>
      <c r="CD90" s="378"/>
      <c r="CE90" s="378"/>
      <c r="CF90" s="378"/>
      <c r="CG90" s="378"/>
      <c r="CH90" s="378"/>
      <c r="CI90" s="378"/>
      <c r="CJ90" s="378"/>
      <c r="CK90" s="378"/>
      <c r="CL90" s="378"/>
      <c r="CM90" s="378"/>
      <c r="CN90" s="378"/>
      <c r="CO90" s="378"/>
      <c r="CP90" s="378"/>
      <c r="CQ90" s="378"/>
      <c r="CR90" s="378"/>
      <c r="CS90" s="378"/>
      <c r="CT90" s="378"/>
      <c r="CU90" s="378"/>
      <c r="CV90" s="378"/>
      <c r="CW90" s="378"/>
      <c r="CX90" s="378"/>
      <c r="CY90" s="378"/>
      <c r="CZ90" s="378"/>
      <c r="DA90" s="378"/>
      <c r="DB90" s="378"/>
      <c r="DC90" s="378"/>
      <c r="DD90" s="378"/>
      <c r="DE90" s="378"/>
      <c r="DF90" s="378"/>
      <c r="DG90" s="378"/>
      <c r="DH90" s="378"/>
      <c r="DI90" s="378"/>
      <c r="DJ90" s="378"/>
      <c r="DK90" s="378"/>
      <c r="DL90" s="378"/>
      <c r="DM90" s="378"/>
      <c r="DN90" s="378"/>
      <c r="DO90" s="378"/>
      <c r="DP90" s="378"/>
      <c r="DQ90" s="378"/>
      <c r="DR90" s="378"/>
      <c r="DS90" s="378"/>
      <c r="DT90" s="378"/>
      <c r="DU90" s="378"/>
      <c r="DV90" s="378"/>
      <c r="DW90" s="378"/>
      <c r="DX90" s="378"/>
      <c r="DY90" s="378"/>
      <c r="DZ90" s="378"/>
      <c r="EA90" s="378"/>
      <c r="EB90" s="378"/>
      <c r="EC90" s="378"/>
      <c r="ED90" s="378"/>
      <c r="EE90" s="378"/>
      <c r="EF90" s="378"/>
      <c r="EG90" s="378"/>
      <c r="EH90" s="378"/>
      <c r="EI90" s="378"/>
      <c r="EJ90" s="378"/>
      <c r="EK90" s="378"/>
      <c r="EL90" s="378"/>
      <c r="EM90" s="378"/>
      <c r="EN90" s="378"/>
      <c r="EO90" s="378"/>
      <c r="EP90" s="378"/>
      <c r="EQ90" s="378"/>
      <c r="ER90" s="378"/>
      <c r="ES90" s="378"/>
      <c r="ET90" s="378"/>
      <c r="EU90" s="378"/>
      <c r="EV90" s="378"/>
      <c r="EW90" s="378"/>
      <c r="EX90" s="378"/>
      <c r="EY90" s="378"/>
      <c r="EZ90" s="378"/>
      <c r="FA90" s="378"/>
      <c r="FB90" s="378"/>
      <c r="FC90" s="378"/>
      <c r="FD90" s="378"/>
      <c r="FE90" s="378"/>
      <c r="FF90" s="378"/>
      <c r="FG90" s="378"/>
      <c r="FH90" s="378"/>
      <c r="FI90" s="378"/>
      <c r="FJ90" s="378"/>
      <c r="FK90" s="378"/>
      <c r="FL90" s="378"/>
      <c r="FM90" s="378"/>
      <c r="FN90" s="378"/>
      <c r="FO90" s="378"/>
      <c r="FP90" s="378"/>
      <c r="FQ90" s="378"/>
      <c r="FR90" s="378"/>
      <c r="FS90" s="378"/>
      <c r="FT90" s="378"/>
      <c r="FU90" s="378"/>
      <c r="FV90" s="378"/>
      <c r="FW90" s="378"/>
      <c r="FX90" s="378"/>
      <c r="FY90" s="378"/>
      <c r="FZ90" s="378"/>
      <c r="GA90" s="378"/>
      <c r="GB90" s="378"/>
      <c r="GC90" s="378"/>
      <c r="GD90" s="378"/>
      <c r="GE90" s="378"/>
      <c r="GF90" s="378"/>
      <c r="GG90" s="378"/>
      <c r="GH90" s="378"/>
      <c r="GI90" s="378"/>
      <c r="GJ90" s="378"/>
      <c r="GK90" s="378"/>
      <c r="GL90" s="378"/>
      <c r="GM90" s="378"/>
      <c r="GN90" s="378"/>
      <c r="GO90" s="378"/>
      <c r="GP90" s="378"/>
      <c r="GQ90" s="378"/>
      <c r="GR90" s="378"/>
      <c r="GS90" s="378"/>
      <c r="GT90" s="378"/>
      <c r="GU90" s="378"/>
      <c r="GV90" s="378"/>
      <c r="GW90" s="378"/>
      <c r="GX90" s="378"/>
      <c r="GY90" s="378"/>
      <c r="GZ90" s="378"/>
      <c r="HA90" s="378"/>
      <c r="HB90" s="378"/>
      <c r="HC90" s="378"/>
      <c r="HD90" s="378"/>
      <c r="HE90" s="378"/>
      <c r="HF90" s="378"/>
      <c r="HG90" s="378"/>
      <c r="HH90" s="378"/>
      <c r="HI90" s="378"/>
      <c r="HJ90" s="378"/>
      <c r="HK90" s="378"/>
      <c r="HL90" s="378"/>
      <c r="HM90" s="378"/>
      <c r="HN90" s="378"/>
      <c r="HO90" s="378"/>
      <c r="HP90" s="378"/>
      <c r="HQ90" s="378"/>
      <c r="HR90" s="378"/>
      <c r="HS90" s="378"/>
      <c r="HT90" s="378"/>
      <c r="HU90" s="378"/>
      <c r="HV90" s="378"/>
      <c r="HW90" s="378"/>
      <c r="HX90" s="378"/>
      <c r="HY90" s="378"/>
      <c r="HZ90" s="378"/>
      <c r="IA90" s="378"/>
      <c r="IB90" s="378"/>
      <c r="IC90" s="378"/>
      <c r="ID90" s="378"/>
      <c r="IE90" s="378"/>
      <c r="IF90" s="378"/>
      <c r="IG90" s="378"/>
      <c r="IH90" s="378"/>
      <c r="II90" s="378"/>
      <c r="IJ90" s="378"/>
      <c r="IK90" s="378"/>
      <c r="IL90" s="378"/>
      <c r="IM90" s="378"/>
      <c r="IN90" s="378"/>
      <c r="IO90" s="378"/>
      <c r="IP90" s="378"/>
      <c r="IQ90" s="378"/>
      <c r="IR90" s="378"/>
      <c r="IS90" s="378"/>
      <c r="IT90" s="378"/>
      <c r="IU90" s="378"/>
      <c r="IV90" s="378"/>
      <c r="IW90" s="378"/>
      <c r="IX90" s="378"/>
      <c r="IY90" s="378"/>
      <c r="IZ90" s="378"/>
      <c r="JA90" s="378"/>
    </row>
    <row r="91" spans="2:261" s="379" customFormat="1" ht="14">
      <c r="B91" s="374"/>
      <c r="C91" s="375"/>
      <c r="D91" s="402"/>
      <c r="E91" s="400"/>
      <c r="F91" s="406" t="str">
        <f>"GM Pioneer(s): "&amp;IF('Planning Template'!F117=2,'Planning Template'!F119&amp;" "&amp;'Planning Template'!F121&amp;" and "&amp;'Planning Template'!F137&amp;" "&amp;'Planning Template'!F139,'Planning Template'!F119&amp;'Planning Template'!F121)</f>
        <v xml:space="preserve">GM Pioneer(s): </v>
      </c>
      <c r="G91" s="400"/>
      <c r="H91" s="376"/>
      <c r="I91" s="377"/>
      <c r="J91" s="378"/>
      <c r="K91" s="378"/>
      <c r="L91" s="378"/>
      <c r="M91" s="378"/>
      <c r="N91" s="378"/>
      <c r="O91" s="378"/>
      <c r="P91" s="378"/>
      <c r="Q91" s="378"/>
      <c r="R91" s="378"/>
      <c r="S91" s="378"/>
      <c r="T91" s="378"/>
      <c r="U91" s="378"/>
      <c r="V91" s="378"/>
      <c r="W91" s="378"/>
      <c r="X91" s="378"/>
      <c r="Y91" s="378"/>
      <c r="Z91" s="378"/>
      <c r="AA91" s="378"/>
      <c r="AB91" s="378"/>
      <c r="AC91" s="378"/>
      <c r="AD91" s="378"/>
      <c r="AE91" s="378"/>
      <c r="AF91" s="378"/>
      <c r="AG91" s="378"/>
      <c r="AH91" s="378"/>
      <c r="AI91" s="378"/>
      <c r="AJ91" s="378"/>
      <c r="AK91" s="378"/>
      <c r="AL91" s="378"/>
      <c r="AM91" s="378"/>
      <c r="AN91" s="378"/>
      <c r="AO91" s="378"/>
      <c r="AP91" s="378"/>
      <c r="AQ91" s="378"/>
      <c r="AR91" s="378"/>
      <c r="AS91" s="378"/>
      <c r="AT91" s="378"/>
      <c r="AU91" s="378"/>
      <c r="AV91" s="378"/>
      <c r="AW91" s="378"/>
      <c r="AX91" s="378"/>
      <c r="AY91" s="378"/>
      <c r="AZ91" s="378"/>
      <c r="BA91" s="378"/>
      <c r="BB91" s="378"/>
      <c r="BC91" s="378"/>
      <c r="BD91" s="378"/>
      <c r="BE91" s="378"/>
      <c r="BF91" s="378"/>
      <c r="BG91" s="378"/>
      <c r="BH91" s="378"/>
      <c r="BI91" s="378"/>
      <c r="BJ91" s="378"/>
      <c r="BK91" s="378"/>
      <c r="BL91" s="378"/>
      <c r="BM91" s="378"/>
      <c r="BN91" s="378"/>
      <c r="BO91" s="378"/>
      <c r="BP91" s="378"/>
      <c r="BQ91" s="378"/>
      <c r="BR91" s="378"/>
      <c r="BS91" s="378"/>
      <c r="BT91" s="378"/>
      <c r="BU91" s="378"/>
      <c r="BV91" s="378"/>
      <c r="BW91" s="378"/>
      <c r="BX91" s="378"/>
      <c r="BY91" s="378"/>
      <c r="BZ91" s="378"/>
      <c r="CA91" s="378"/>
      <c r="CB91" s="378"/>
      <c r="CC91" s="378"/>
      <c r="CD91" s="378"/>
      <c r="CE91" s="378"/>
      <c r="CF91" s="378"/>
      <c r="CG91" s="378"/>
      <c r="CH91" s="378"/>
      <c r="CI91" s="378"/>
      <c r="CJ91" s="378"/>
      <c r="CK91" s="378"/>
      <c r="CL91" s="378"/>
      <c r="CM91" s="378"/>
      <c r="CN91" s="378"/>
      <c r="CO91" s="378"/>
      <c r="CP91" s="378"/>
      <c r="CQ91" s="378"/>
      <c r="CR91" s="378"/>
      <c r="CS91" s="378"/>
      <c r="CT91" s="378"/>
      <c r="CU91" s="378"/>
      <c r="CV91" s="378"/>
      <c r="CW91" s="378"/>
      <c r="CX91" s="378"/>
      <c r="CY91" s="378"/>
      <c r="CZ91" s="378"/>
      <c r="DA91" s="378"/>
      <c r="DB91" s="378"/>
      <c r="DC91" s="378"/>
      <c r="DD91" s="378"/>
      <c r="DE91" s="378"/>
      <c r="DF91" s="378"/>
      <c r="DG91" s="378"/>
      <c r="DH91" s="378"/>
      <c r="DI91" s="378"/>
      <c r="DJ91" s="378"/>
      <c r="DK91" s="378"/>
      <c r="DL91" s="378"/>
      <c r="DM91" s="378"/>
      <c r="DN91" s="378"/>
      <c r="DO91" s="378"/>
      <c r="DP91" s="378"/>
      <c r="DQ91" s="378"/>
      <c r="DR91" s="378"/>
      <c r="DS91" s="378"/>
      <c r="DT91" s="378"/>
      <c r="DU91" s="378"/>
      <c r="DV91" s="378"/>
      <c r="DW91" s="378"/>
      <c r="DX91" s="378"/>
      <c r="DY91" s="378"/>
      <c r="DZ91" s="378"/>
      <c r="EA91" s="378"/>
      <c r="EB91" s="378"/>
      <c r="EC91" s="378"/>
      <c r="ED91" s="378"/>
      <c r="EE91" s="378"/>
      <c r="EF91" s="378"/>
      <c r="EG91" s="378"/>
      <c r="EH91" s="378"/>
      <c r="EI91" s="378"/>
      <c r="EJ91" s="378"/>
      <c r="EK91" s="378"/>
      <c r="EL91" s="378"/>
      <c r="EM91" s="378"/>
      <c r="EN91" s="378"/>
      <c r="EO91" s="378"/>
      <c r="EP91" s="378"/>
      <c r="EQ91" s="378"/>
      <c r="ER91" s="378"/>
      <c r="ES91" s="378"/>
      <c r="ET91" s="378"/>
      <c r="EU91" s="378"/>
      <c r="EV91" s="378"/>
      <c r="EW91" s="378"/>
      <c r="EX91" s="378"/>
      <c r="EY91" s="378"/>
      <c r="EZ91" s="378"/>
      <c r="FA91" s="378"/>
      <c r="FB91" s="378"/>
      <c r="FC91" s="378"/>
      <c r="FD91" s="378"/>
      <c r="FE91" s="378"/>
      <c r="FF91" s="378"/>
      <c r="FG91" s="378"/>
      <c r="FH91" s="378"/>
      <c r="FI91" s="378"/>
      <c r="FJ91" s="378"/>
      <c r="FK91" s="378"/>
      <c r="FL91" s="378"/>
      <c r="FM91" s="378"/>
      <c r="FN91" s="378"/>
      <c r="FO91" s="378"/>
      <c r="FP91" s="378"/>
      <c r="FQ91" s="378"/>
      <c r="FR91" s="378"/>
      <c r="FS91" s="378"/>
      <c r="FT91" s="378"/>
      <c r="FU91" s="378"/>
      <c r="FV91" s="378"/>
      <c r="FW91" s="378"/>
      <c r="FX91" s="378"/>
      <c r="FY91" s="378"/>
      <c r="FZ91" s="378"/>
      <c r="GA91" s="378"/>
      <c r="GB91" s="378"/>
      <c r="GC91" s="378"/>
      <c r="GD91" s="378"/>
      <c r="GE91" s="378"/>
      <c r="GF91" s="378"/>
      <c r="GG91" s="378"/>
      <c r="GH91" s="378"/>
      <c r="GI91" s="378"/>
      <c r="GJ91" s="378"/>
      <c r="GK91" s="378"/>
      <c r="GL91" s="378"/>
      <c r="GM91" s="378"/>
      <c r="GN91" s="378"/>
      <c r="GO91" s="378"/>
      <c r="GP91" s="378"/>
      <c r="GQ91" s="378"/>
      <c r="GR91" s="378"/>
      <c r="GS91" s="378"/>
      <c r="GT91" s="378"/>
      <c r="GU91" s="378"/>
      <c r="GV91" s="378"/>
      <c r="GW91" s="378"/>
      <c r="GX91" s="378"/>
      <c r="GY91" s="378"/>
      <c r="GZ91" s="378"/>
      <c r="HA91" s="378"/>
      <c r="HB91" s="378"/>
      <c r="HC91" s="378"/>
      <c r="HD91" s="378"/>
      <c r="HE91" s="378"/>
      <c r="HF91" s="378"/>
      <c r="HG91" s="378"/>
      <c r="HH91" s="378"/>
      <c r="HI91" s="378"/>
      <c r="HJ91" s="378"/>
      <c r="HK91" s="378"/>
      <c r="HL91" s="378"/>
      <c r="HM91" s="378"/>
      <c r="HN91" s="378"/>
      <c r="HO91" s="378"/>
      <c r="HP91" s="378"/>
      <c r="HQ91" s="378"/>
      <c r="HR91" s="378"/>
      <c r="HS91" s="378"/>
      <c r="HT91" s="378"/>
      <c r="HU91" s="378"/>
      <c r="HV91" s="378"/>
      <c r="HW91" s="378"/>
      <c r="HX91" s="378"/>
      <c r="HY91" s="378"/>
      <c r="HZ91" s="378"/>
      <c r="IA91" s="378"/>
      <c r="IB91" s="378"/>
      <c r="IC91" s="378"/>
      <c r="ID91" s="378"/>
      <c r="IE91" s="378"/>
      <c r="IF91" s="378"/>
      <c r="IG91" s="378"/>
      <c r="IH91" s="378"/>
      <c r="II91" s="378"/>
      <c r="IJ91" s="378"/>
      <c r="IK91" s="378"/>
      <c r="IL91" s="378"/>
      <c r="IM91" s="378"/>
      <c r="IN91" s="378"/>
      <c r="IO91" s="378"/>
      <c r="IP91" s="378"/>
      <c r="IQ91" s="378"/>
      <c r="IR91" s="378"/>
      <c r="IS91" s="378"/>
      <c r="IT91" s="378"/>
      <c r="IU91" s="378"/>
      <c r="IV91" s="378"/>
      <c r="IW91" s="378"/>
      <c r="IX91" s="378"/>
      <c r="IY91" s="378"/>
      <c r="IZ91" s="378"/>
      <c r="JA91" s="378"/>
    </row>
    <row r="92" spans="2:261" s="379" customFormat="1" ht="13">
      <c r="B92" s="374"/>
      <c r="C92" s="375"/>
      <c r="D92" s="402"/>
      <c r="E92" s="400"/>
      <c r="F92" s="406"/>
      <c r="G92" s="400"/>
      <c r="H92" s="376"/>
      <c r="I92" s="377"/>
      <c r="J92" s="378"/>
      <c r="K92" s="378"/>
      <c r="L92" s="378"/>
      <c r="M92" s="378"/>
      <c r="N92" s="378"/>
      <c r="O92" s="378"/>
      <c r="P92" s="378"/>
      <c r="Q92" s="378"/>
      <c r="R92" s="378"/>
      <c r="S92" s="378"/>
      <c r="T92" s="378"/>
      <c r="U92" s="378"/>
      <c r="V92" s="378"/>
      <c r="W92" s="378"/>
      <c r="X92" s="378"/>
      <c r="Y92" s="378"/>
      <c r="Z92" s="378"/>
      <c r="AA92" s="378"/>
      <c r="AB92" s="378"/>
      <c r="AC92" s="378"/>
      <c r="AD92" s="378"/>
      <c r="AE92" s="378"/>
      <c r="AF92" s="378"/>
      <c r="AG92" s="378"/>
      <c r="AH92" s="378"/>
      <c r="AI92" s="378"/>
      <c r="AJ92" s="378"/>
      <c r="AK92" s="378"/>
      <c r="AL92" s="378"/>
      <c r="AM92" s="378"/>
      <c r="AN92" s="378"/>
      <c r="AO92" s="378"/>
      <c r="AP92" s="378"/>
      <c r="AQ92" s="378"/>
      <c r="AR92" s="378"/>
      <c r="AS92" s="378"/>
      <c r="AT92" s="378"/>
      <c r="AU92" s="378"/>
      <c r="AV92" s="378"/>
      <c r="AW92" s="378"/>
      <c r="AX92" s="378"/>
      <c r="AY92" s="378"/>
      <c r="AZ92" s="378"/>
      <c r="BA92" s="378"/>
      <c r="BB92" s="378"/>
      <c r="BC92" s="378"/>
      <c r="BD92" s="378"/>
      <c r="BE92" s="378"/>
      <c r="BF92" s="378"/>
      <c r="BG92" s="378"/>
      <c r="BH92" s="378"/>
      <c r="BI92" s="378"/>
      <c r="BJ92" s="378"/>
      <c r="BK92" s="378"/>
      <c r="BL92" s="378"/>
      <c r="BM92" s="378"/>
      <c r="BN92" s="378"/>
      <c r="BO92" s="378"/>
      <c r="BP92" s="378"/>
      <c r="BQ92" s="378"/>
      <c r="BR92" s="378"/>
      <c r="BS92" s="378"/>
      <c r="BT92" s="378"/>
      <c r="BU92" s="378"/>
      <c r="BV92" s="378"/>
      <c r="BW92" s="378"/>
      <c r="BX92" s="378"/>
      <c r="BY92" s="378"/>
      <c r="BZ92" s="378"/>
      <c r="CA92" s="378"/>
      <c r="CB92" s="378"/>
      <c r="CC92" s="378"/>
      <c r="CD92" s="378"/>
      <c r="CE92" s="378"/>
      <c r="CF92" s="378"/>
      <c r="CG92" s="378"/>
      <c r="CH92" s="378"/>
      <c r="CI92" s="378"/>
      <c r="CJ92" s="378"/>
      <c r="CK92" s="378"/>
      <c r="CL92" s="378"/>
      <c r="CM92" s="378"/>
      <c r="CN92" s="378"/>
      <c r="CO92" s="378"/>
      <c r="CP92" s="378"/>
      <c r="CQ92" s="378"/>
      <c r="CR92" s="378"/>
      <c r="CS92" s="378"/>
      <c r="CT92" s="378"/>
      <c r="CU92" s="378"/>
      <c r="CV92" s="378"/>
      <c r="CW92" s="378"/>
      <c r="CX92" s="378"/>
      <c r="CY92" s="378"/>
      <c r="CZ92" s="378"/>
      <c r="DA92" s="378"/>
      <c r="DB92" s="378"/>
      <c r="DC92" s="378"/>
      <c r="DD92" s="378"/>
      <c r="DE92" s="378"/>
      <c r="DF92" s="378"/>
      <c r="DG92" s="378"/>
      <c r="DH92" s="378"/>
      <c r="DI92" s="378"/>
      <c r="DJ92" s="378"/>
      <c r="DK92" s="378"/>
      <c r="DL92" s="378"/>
      <c r="DM92" s="378"/>
      <c r="DN92" s="378"/>
      <c r="DO92" s="378"/>
      <c r="DP92" s="378"/>
      <c r="DQ92" s="378"/>
      <c r="DR92" s="378"/>
      <c r="DS92" s="378"/>
      <c r="DT92" s="378"/>
      <c r="DU92" s="378"/>
      <c r="DV92" s="378"/>
      <c r="DW92" s="378"/>
      <c r="DX92" s="378"/>
      <c r="DY92" s="378"/>
      <c r="DZ92" s="378"/>
      <c r="EA92" s="378"/>
      <c r="EB92" s="378"/>
      <c r="EC92" s="378"/>
      <c r="ED92" s="378"/>
      <c r="EE92" s="378"/>
      <c r="EF92" s="378"/>
      <c r="EG92" s="378"/>
      <c r="EH92" s="378"/>
      <c r="EI92" s="378"/>
      <c r="EJ92" s="378"/>
      <c r="EK92" s="378"/>
      <c r="EL92" s="378"/>
      <c r="EM92" s="378"/>
      <c r="EN92" s="378"/>
      <c r="EO92" s="378"/>
      <c r="EP92" s="378"/>
      <c r="EQ92" s="378"/>
      <c r="ER92" s="378"/>
      <c r="ES92" s="378"/>
      <c r="ET92" s="378"/>
      <c r="EU92" s="378"/>
      <c r="EV92" s="378"/>
      <c r="EW92" s="378"/>
      <c r="EX92" s="378"/>
      <c r="EY92" s="378"/>
      <c r="EZ92" s="378"/>
      <c r="FA92" s="378"/>
      <c r="FB92" s="378"/>
      <c r="FC92" s="378"/>
      <c r="FD92" s="378"/>
      <c r="FE92" s="378"/>
      <c r="FF92" s="378"/>
      <c r="FG92" s="378"/>
      <c r="FH92" s="378"/>
      <c r="FI92" s="378"/>
      <c r="FJ92" s="378"/>
      <c r="FK92" s="378"/>
      <c r="FL92" s="378"/>
      <c r="FM92" s="378"/>
      <c r="FN92" s="378"/>
      <c r="FO92" s="378"/>
      <c r="FP92" s="378"/>
      <c r="FQ92" s="378"/>
      <c r="FR92" s="378"/>
      <c r="FS92" s="378"/>
      <c r="FT92" s="378"/>
      <c r="FU92" s="378"/>
      <c r="FV92" s="378"/>
      <c r="FW92" s="378"/>
      <c r="FX92" s="378"/>
      <c r="FY92" s="378"/>
      <c r="FZ92" s="378"/>
      <c r="GA92" s="378"/>
      <c r="GB92" s="378"/>
      <c r="GC92" s="378"/>
      <c r="GD92" s="378"/>
      <c r="GE92" s="378"/>
      <c r="GF92" s="378"/>
      <c r="GG92" s="378"/>
      <c r="GH92" s="378"/>
      <c r="GI92" s="378"/>
      <c r="GJ92" s="378"/>
      <c r="GK92" s="378"/>
      <c r="GL92" s="378"/>
      <c r="GM92" s="378"/>
      <c r="GN92" s="378"/>
      <c r="GO92" s="378"/>
      <c r="GP92" s="378"/>
      <c r="GQ92" s="378"/>
      <c r="GR92" s="378"/>
      <c r="GS92" s="378"/>
      <c r="GT92" s="378"/>
      <c r="GU92" s="378"/>
      <c r="GV92" s="378"/>
      <c r="GW92" s="378"/>
      <c r="GX92" s="378"/>
      <c r="GY92" s="378"/>
      <c r="GZ92" s="378"/>
      <c r="HA92" s="378"/>
      <c r="HB92" s="378"/>
      <c r="HC92" s="378"/>
      <c r="HD92" s="378"/>
      <c r="HE92" s="378"/>
      <c r="HF92" s="378"/>
      <c r="HG92" s="378"/>
      <c r="HH92" s="378"/>
      <c r="HI92" s="378"/>
      <c r="HJ92" s="378"/>
      <c r="HK92" s="378"/>
      <c r="HL92" s="378"/>
      <c r="HM92" s="378"/>
      <c r="HN92" s="378"/>
      <c r="HO92" s="378"/>
      <c r="HP92" s="378"/>
      <c r="HQ92" s="378"/>
      <c r="HR92" s="378"/>
      <c r="HS92" s="378"/>
      <c r="HT92" s="378"/>
      <c r="HU92" s="378"/>
      <c r="HV92" s="378"/>
      <c r="HW92" s="378"/>
      <c r="HX92" s="378"/>
      <c r="HY92" s="378"/>
      <c r="HZ92" s="378"/>
      <c r="IA92" s="378"/>
      <c r="IB92" s="378"/>
      <c r="IC92" s="378"/>
      <c r="ID92" s="378"/>
      <c r="IE92" s="378"/>
      <c r="IF92" s="378"/>
      <c r="IG92" s="378"/>
      <c r="IH92" s="378"/>
      <c r="II92" s="378"/>
      <c r="IJ92" s="378"/>
      <c r="IK92" s="378"/>
      <c r="IL92" s="378"/>
      <c r="IM92" s="378"/>
      <c r="IN92" s="378"/>
      <c r="IO92" s="378"/>
      <c r="IP92" s="378"/>
      <c r="IQ92" s="378"/>
      <c r="IR92" s="378"/>
      <c r="IS92" s="378"/>
      <c r="IT92" s="378"/>
      <c r="IU92" s="378"/>
      <c r="IV92" s="378"/>
      <c r="IW92" s="378"/>
      <c r="IX92" s="378"/>
      <c r="IY92" s="378"/>
      <c r="IZ92" s="378"/>
      <c r="JA92" s="378"/>
    </row>
    <row r="93" spans="2:261" s="379" customFormat="1" ht="14">
      <c r="B93" s="374"/>
      <c r="C93" s="375"/>
      <c r="D93" s="402"/>
      <c r="E93" s="400"/>
      <c r="F93" s="410" t="str">
        <f>"Project is in "&amp;'Planning Template'!$F$13</f>
        <v xml:space="preserve">Project is in </v>
      </c>
      <c r="G93" s="400"/>
      <c r="H93" s="376"/>
      <c r="I93" s="377"/>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378"/>
      <c r="AL93" s="378"/>
      <c r="AM93" s="378"/>
      <c r="AN93" s="378"/>
      <c r="AO93" s="378"/>
      <c r="AP93" s="378"/>
      <c r="AQ93" s="378"/>
      <c r="AR93" s="378"/>
      <c r="AS93" s="378"/>
      <c r="AT93" s="378"/>
      <c r="AU93" s="378"/>
      <c r="AV93" s="378"/>
      <c r="AW93" s="378"/>
      <c r="AX93" s="378"/>
      <c r="AY93" s="378"/>
      <c r="AZ93" s="378"/>
      <c r="BA93" s="378"/>
      <c r="BB93" s="378"/>
      <c r="BC93" s="378"/>
      <c r="BD93" s="378"/>
      <c r="BE93" s="378"/>
      <c r="BF93" s="378"/>
      <c r="BG93" s="378"/>
      <c r="BH93" s="378"/>
      <c r="BI93" s="378"/>
      <c r="BJ93" s="378"/>
      <c r="BK93" s="378"/>
      <c r="BL93" s="378"/>
      <c r="BM93" s="378"/>
      <c r="BN93" s="378"/>
      <c r="BO93" s="378"/>
      <c r="BP93" s="378"/>
      <c r="BQ93" s="378"/>
      <c r="BR93" s="378"/>
      <c r="BS93" s="378"/>
      <c r="BT93" s="378"/>
      <c r="BU93" s="378"/>
      <c r="BV93" s="378"/>
      <c r="BW93" s="378"/>
      <c r="BX93" s="378"/>
      <c r="BY93" s="378"/>
      <c r="BZ93" s="378"/>
      <c r="CA93" s="378"/>
      <c r="CB93" s="378"/>
      <c r="CC93" s="378"/>
      <c r="CD93" s="378"/>
      <c r="CE93" s="378"/>
      <c r="CF93" s="378"/>
      <c r="CG93" s="378"/>
      <c r="CH93" s="378"/>
      <c r="CI93" s="378"/>
      <c r="CJ93" s="378"/>
      <c r="CK93" s="378"/>
      <c r="CL93" s="378"/>
      <c r="CM93" s="378"/>
      <c r="CN93" s="378"/>
      <c r="CO93" s="378"/>
      <c r="CP93" s="378"/>
      <c r="CQ93" s="378"/>
      <c r="CR93" s="378"/>
      <c r="CS93" s="378"/>
      <c r="CT93" s="378"/>
      <c r="CU93" s="378"/>
      <c r="CV93" s="378"/>
      <c r="CW93" s="378"/>
      <c r="CX93" s="378"/>
      <c r="CY93" s="378"/>
      <c r="CZ93" s="378"/>
      <c r="DA93" s="378"/>
      <c r="DB93" s="378"/>
      <c r="DC93" s="378"/>
      <c r="DD93" s="378"/>
      <c r="DE93" s="378"/>
      <c r="DF93" s="378"/>
      <c r="DG93" s="378"/>
      <c r="DH93" s="378"/>
      <c r="DI93" s="378"/>
      <c r="DJ93" s="378"/>
      <c r="DK93" s="378"/>
      <c r="DL93" s="378"/>
      <c r="DM93" s="378"/>
      <c r="DN93" s="378"/>
      <c r="DO93" s="378"/>
      <c r="DP93" s="378"/>
      <c r="DQ93" s="378"/>
      <c r="DR93" s="378"/>
      <c r="DS93" s="378"/>
      <c r="DT93" s="378"/>
      <c r="DU93" s="378"/>
      <c r="DV93" s="378"/>
      <c r="DW93" s="378"/>
      <c r="DX93" s="378"/>
      <c r="DY93" s="378"/>
      <c r="DZ93" s="378"/>
      <c r="EA93" s="378"/>
      <c r="EB93" s="378"/>
      <c r="EC93" s="378"/>
      <c r="ED93" s="378"/>
      <c r="EE93" s="378"/>
      <c r="EF93" s="378"/>
      <c r="EG93" s="378"/>
      <c r="EH93" s="378"/>
      <c r="EI93" s="378"/>
      <c r="EJ93" s="378"/>
      <c r="EK93" s="378"/>
      <c r="EL93" s="378"/>
      <c r="EM93" s="378"/>
      <c r="EN93" s="378"/>
      <c r="EO93" s="378"/>
      <c r="EP93" s="378"/>
      <c r="EQ93" s="378"/>
      <c r="ER93" s="378"/>
      <c r="ES93" s="378"/>
      <c r="ET93" s="378"/>
      <c r="EU93" s="378"/>
      <c r="EV93" s="378"/>
      <c r="EW93" s="378"/>
      <c r="EX93" s="378"/>
      <c r="EY93" s="378"/>
      <c r="EZ93" s="378"/>
      <c r="FA93" s="378"/>
      <c r="FB93" s="378"/>
      <c r="FC93" s="378"/>
      <c r="FD93" s="378"/>
      <c r="FE93" s="378"/>
      <c r="FF93" s="378"/>
      <c r="FG93" s="378"/>
      <c r="FH93" s="378"/>
      <c r="FI93" s="378"/>
      <c r="FJ93" s="378"/>
      <c r="FK93" s="378"/>
      <c r="FL93" s="378"/>
      <c r="FM93" s="378"/>
      <c r="FN93" s="378"/>
      <c r="FO93" s="378"/>
      <c r="FP93" s="378"/>
      <c r="FQ93" s="378"/>
      <c r="FR93" s="378"/>
      <c r="FS93" s="378"/>
      <c r="FT93" s="378"/>
      <c r="FU93" s="378"/>
      <c r="FV93" s="378"/>
      <c r="FW93" s="378"/>
      <c r="FX93" s="378"/>
      <c r="FY93" s="378"/>
      <c r="FZ93" s="378"/>
      <c r="GA93" s="378"/>
      <c r="GB93" s="378"/>
      <c r="GC93" s="378"/>
      <c r="GD93" s="378"/>
      <c r="GE93" s="378"/>
      <c r="GF93" s="378"/>
      <c r="GG93" s="378"/>
      <c r="GH93" s="378"/>
      <c r="GI93" s="378"/>
      <c r="GJ93" s="378"/>
      <c r="GK93" s="378"/>
      <c r="GL93" s="378"/>
      <c r="GM93" s="378"/>
      <c r="GN93" s="378"/>
      <c r="GO93" s="378"/>
      <c r="GP93" s="378"/>
      <c r="GQ93" s="378"/>
      <c r="GR93" s="378"/>
      <c r="GS93" s="378"/>
      <c r="GT93" s="378"/>
      <c r="GU93" s="378"/>
      <c r="GV93" s="378"/>
      <c r="GW93" s="378"/>
      <c r="GX93" s="378"/>
      <c r="GY93" s="378"/>
      <c r="GZ93" s="378"/>
      <c r="HA93" s="378"/>
      <c r="HB93" s="378"/>
      <c r="HC93" s="378"/>
      <c r="HD93" s="378"/>
      <c r="HE93" s="378"/>
      <c r="HF93" s="378"/>
      <c r="HG93" s="378"/>
      <c r="HH93" s="378"/>
      <c r="HI93" s="378"/>
      <c r="HJ93" s="378"/>
      <c r="HK93" s="378"/>
      <c r="HL93" s="378"/>
      <c r="HM93" s="378"/>
      <c r="HN93" s="378"/>
      <c r="HO93" s="378"/>
      <c r="HP93" s="378"/>
      <c r="HQ93" s="378"/>
      <c r="HR93" s="378"/>
      <c r="HS93" s="378"/>
      <c r="HT93" s="378"/>
      <c r="HU93" s="378"/>
      <c r="HV93" s="378"/>
      <c r="HW93" s="378"/>
      <c r="HX93" s="378"/>
      <c r="HY93" s="378"/>
      <c r="HZ93" s="378"/>
      <c r="IA93" s="378"/>
      <c r="IB93" s="378"/>
      <c r="IC93" s="378"/>
      <c r="ID93" s="378"/>
      <c r="IE93" s="378"/>
      <c r="IF93" s="378"/>
      <c r="IG93" s="378"/>
      <c r="IH93" s="378"/>
      <c r="II93" s="378"/>
      <c r="IJ93" s="378"/>
      <c r="IK93" s="378"/>
      <c r="IL93" s="378"/>
      <c r="IM93" s="378"/>
      <c r="IN93" s="378"/>
      <c r="IO93" s="378"/>
      <c r="IP93" s="378"/>
      <c r="IQ93" s="378"/>
      <c r="IR93" s="378"/>
      <c r="IS93" s="378"/>
      <c r="IT93" s="378"/>
      <c r="IU93" s="378"/>
      <c r="IV93" s="378"/>
      <c r="IW93" s="378"/>
      <c r="IX93" s="378"/>
      <c r="IY93" s="378"/>
      <c r="IZ93" s="378"/>
      <c r="JA93" s="378"/>
    </row>
    <row r="94" spans="2:261" s="379" customFormat="1">
      <c r="B94" s="374"/>
      <c r="C94" s="375"/>
      <c r="D94" s="403"/>
      <c r="E94" s="402"/>
      <c r="F94" s="406" t="str">
        <f>'Planning Template'!$F$11&amp;" Phase: "&amp;'Planning Template'!$F$71</f>
        <v xml:space="preserve"> Phase: </v>
      </c>
      <c r="G94" s="405"/>
      <c r="H94" s="376"/>
      <c r="I94" s="377"/>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378"/>
      <c r="AL94" s="378"/>
      <c r="AM94" s="378"/>
      <c r="AN94" s="378"/>
      <c r="AO94" s="378"/>
      <c r="AP94" s="378"/>
      <c r="AQ94" s="378"/>
      <c r="AR94" s="378"/>
      <c r="AS94" s="378"/>
      <c r="AT94" s="378"/>
      <c r="AU94" s="378"/>
      <c r="AV94" s="378"/>
      <c r="AW94" s="378"/>
      <c r="AX94" s="378"/>
      <c r="AY94" s="378"/>
      <c r="AZ94" s="378"/>
      <c r="BA94" s="378"/>
      <c r="BB94" s="378"/>
      <c r="BC94" s="378"/>
      <c r="BD94" s="378"/>
      <c r="BE94" s="378"/>
      <c r="BF94" s="378"/>
      <c r="BG94" s="378"/>
      <c r="BH94" s="378"/>
      <c r="BI94" s="378"/>
      <c r="BJ94" s="378"/>
      <c r="BK94" s="378"/>
      <c r="BL94" s="378"/>
      <c r="BM94" s="378"/>
      <c r="BN94" s="378"/>
      <c r="BO94" s="378"/>
      <c r="BP94" s="378"/>
      <c r="BQ94" s="378"/>
      <c r="BR94" s="378"/>
      <c r="BS94" s="378"/>
      <c r="BT94" s="378"/>
      <c r="BU94" s="378"/>
      <c r="BV94" s="378"/>
      <c r="BW94" s="378"/>
      <c r="BX94" s="378"/>
      <c r="BY94" s="378"/>
      <c r="BZ94" s="378"/>
      <c r="CA94" s="378"/>
      <c r="CB94" s="378"/>
      <c r="CC94" s="378"/>
      <c r="CD94" s="378"/>
      <c r="CE94" s="378"/>
      <c r="CF94" s="378"/>
      <c r="CG94" s="378"/>
      <c r="CH94" s="378"/>
      <c r="CI94" s="378"/>
      <c r="CJ94" s="378"/>
      <c r="CK94" s="378"/>
      <c r="CL94" s="378"/>
      <c r="CM94" s="378"/>
      <c r="CN94" s="378"/>
      <c r="CO94" s="378"/>
      <c r="CP94" s="378"/>
      <c r="CQ94" s="378"/>
      <c r="CR94" s="378"/>
      <c r="CS94" s="378"/>
      <c r="CT94" s="378"/>
      <c r="CU94" s="378"/>
      <c r="CV94" s="378"/>
      <c r="CW94" s="378"/>
      <c r="CX94" s="378"/>
      <c r="CY94" s="378"/>
      <c r="CZ94" s="378"/>
      <c r="DA94" s="378"/>
      <c r="DB94" s="378"/>
      <c r="DC94" s="378"/>
      <c r="DD94" s="378"/>
      <c r="DE94" s="378"/>
      <c r="DF94" s="378"/>
      <c r="DG94" s="378"/>
      <c r="DH94" s="378"/>
      <c r="DI94" s="378"/>
      <c r="DJ94" s="378"/>
      <c r="DK94" s="378"/>
      <c r="DL94" s="378"/>
      <c r="DM94" s="378"/>
      <c r="DN94" s="378"/>
      <c r="DO94" s="378"/>
      <c r="DP94" s="378"/>
      <c r="DQ94" s="378"/>
      <c r="DR94" s="378"/>
      <c r="DS94" s="378"/>
      <c r="DT94" s="378"/>
      <c r="DU94" s="378"/>
      <c r="DV94" s="378"/>
      <c r="DW94" s="378"/>
      <c r="DX94" s="378"/>
      <c r="DY94" s="378"/>
      <c r="DZ94" s="378"/>
      <c r="EA94" s="378"/>
      <c r="EB94" s="378"/>
      <c r="EC94" s="378"/>
      <c r="ED94" s="378"/>
      <c r="EE94" s="378"/>
      <c r="EF94" s="378"/>
      <c r="EG94" s="378"/>
      <c r="EH94" s="378"/>
      <c r="EI94" s="378"/>
      <c r="EJ94" s="378"/>
      <c r="EK94" s="378"/>
      <c r="EL94" s="378"/>
      <c r="EM94" s="378"/>
      <c r="EN94" s="378"/>
      <c r="EO94" s="378"/>
      <c r="EP94" s="378"/>
      <c r="EQ94" s="378"/>
      <c r="ER94" s="378"/>
      <c r="ES94" s="378"/>
      <c r="ET94" s="378"/>
      <c r="EU94" s="378"/>
      <c r="EV94" s="378"/>
      <c r="EW94" s="378"/>
      <c r="EX94" s="378"/>
      <c r="EY94" s="378"/>
      <c r="EZ94" s="378"/>
      <c r="FA94" s="378"/>
      <c r="FB94" s="378"/>
      <c r="FC94" s="378"/>
      <c r="FD94" s="378"/>
      <c r="FE94" s="378"/>
      <c r="FF94" s="378"/>
      <c r="FG94" s="378"/>
      <c r="FH94" s="378"/>
      <c r="FI94" s="378"/>
      <c r="FJ94" s="378"/>
      <c r="FK94" s="378"/>
      <c r="FL94" s="378"/>
      <c r="FM94" s="378"/>
      <c r="FN94" s="378"/>
      <c r="FO94" s="378"/>
      <c r="FP94" s="378"/>
      <c r="FQ94" s="378"/>
      <c r="FR94" s="378"/>
      <c r="FS94" s="378"/>
      <c r="FT94" s="378"/>
      <c r="FU94" s="378"/>
      <c r="FV94" s="378"/>
      <c r="FW94" s="378"/>
      <c r="FX94" s="378"/>
      <c r="FY94" s="378"/>
      <c r="FZ94" s="378"/>
      <c r="GA94" s="378"/>
      <c r="GB94" s="378"/>
      <c r="GC94" s="378"/>
      <c r="GD94" s="378"/>
      <c r="GE94" s="378"/>
      <c r="GF94" s="378"/>
      <c r="GG94" s="378"/>
      <c r="GH94" s="378"/>
      <c r="GI94" s="378"/>
      <c r="GJ94" s="378"/>
      <c r="GK94" s="378"/>
      <c r="GL94" s="378"/>
      <c r="GM94" s="378"/>
      <c r="GN94" s="378"/>
      <c r="GO94" s="378"/>
      <c r="GP94" s="378"/>
      <c r="GQ94" s="378"/>
      <c r="GR94" s="378"/>
      <c r="GS94" s="378"/>
      <c r="GT94" s="378"/>
      <c r="GU94" s="378"/>
      <c r="GV94" s="378"/>
      <c r="GW94" s="378"/>
      <c r="GX94" s="378"/>
      <c r="GY94" s="378"/>
      <c r="GZ94" s="378"/>
      <c r="HA94" s="378"/>
      <c r="HB94" s="378"/>
      <c r="HC94" s="378"/>
      <c r="HD94" s="378"/>
      <c r="HE94" s="378"/>
      <c r="HF94" s="378"/>
      <c r="HG94" s="378"/>
      <c r="HH94" s="378"/>
      <c r="HI94" s="378"/>
      <c r="HJ94" s="378"/>
      <c r="HK94" s="378"/>
      <c r="HL94" s="378"/>
      <c r="HM94" s="378"/>
      <c r="HN94" s="378"/>
      <c r="HO94" s="378"/>
      <c r="HP94" s="378"/>
      <c r="HQ94" s="378"/>
      <c r="HR94" s="378"/>
      <c r="HS94" s="378"/>
      <c r="HT94" s="378"/>
      <c r="HU94" s="378"/>
      <c r="HV94" s="378"/>
      <c r="HW94" s="378"/>
      <c r="HX94" s="378"/>
      <c r="HY94" s="378"/>
      <c r="HZ94" s="378"/>
      <c r="IA94" s="378"/>
      <c r="IB94" s="378"/>
      <c r="IC94" s="378"/>
      <c r="ID94" s="378"/>
      <c r="IE94" s="378"/>
      <c r="IF94" s="378"/>
      <c r="IG94" s="378"/>
      <c r="IH94" s="378"/>
      <c r="II94" s="378"/>
      <c r="IJ94" s="378"/>
      <c r="IK94" s="378"/>
      <c r="IL94" s="378"/>
      <c r="IM94" s="378"/>
      <c r="IN94" s="378"/>
      <c r="IO94" s="378"/>
      <c r="IP94" s="378"/>
      <c r="IQ94" s="378"/>
      <c r="IR94" s="378"/>
      <c r="IS94" s="378"/>
      <c r="IT94" s="378"/>
      <c r="IU94" s="378"/>
      <c r="IV94" s="378"/>
      <c r="IW94" s="378"/>
      <c r="IX94" s="378"/>
      <c r="IY94" s="378"/>
      <c r="IZ94" s="378"/>
      <c r="JA94" s="378"/>
    </row>
    <row r="95" spans="2:261" s="379" customFormat="1">
      <c r="B95" s="374"/>
      <c r="C95" s="375"/>
      <c r="D95" s="403"/>
      <c r="E95" s="402"/>
      <c r="F95" s="406" t="str">
        <f>"Plan after "&amp;'Planning Template'!$F$339&amp;" years start-up funding is finished: "&amp;IF('Planning Template'!F17='Planning Template'!E292, 'Planning Template'!F19,'Planning Template'!F17)</f>
        <v xml:space="preserve">Plan after 5 years start-up funding is finished: </v>
      </c>
      <c r="G95" s="405"/>
      <c r="H95" s="376"/>
      <c r="I95" s="377"/>
      <c r="J95" s="378"/>
      <c r="K95" s="378"/>
      <c r="L95" s="378"/>
      <c r="M95" s="378"/>
      <c r="N95" s="378"/>
      <c r="O95" s="378"/>
      <c r="P95" s="378"/>
      <c r="Q95" s="378"/>
      <c r="R95" s="378"/>
      <c r="S95" s="378"/>
      <c r="T95" s="378"/>
      <c r="U95" s="378"/>
      <c r="V95" s="378"/>
      <c r="W95" s="378"/>
      <c r="X95" s="378"/>
      <c r="Y95" s="378"/>
      <c r="Z95" s="378"/>
      <c r="AA95" s="378"/>
      <c r="AB95" s="378"/>
      <c r="AC95" s="378"/>
      <c r="AD95" s="378"/>
      <c r="AE95" s="378"/>
      <c r="AF95" s="378"/>
      <c r="AG95" s="378"/>
      <c r="AH95" s="378"/>
      <c r="AI95" s="378"/>
      <c r="AJ95" s="378"/>
      <c r="AK95" s="378"/>
      <c r="AL95" s="378"/>
      <c r="AM95" s="378"/>
      <c r="AN95" s="378"/>
      <c r="AO95" s="378"/>
      <c r="AP95" s="378"/>
      <c r="AQ95" s="378"/>
      <c r="AR95" s="378"/>
      <c r="AS95" s="378"/>
      <c r="AT95" s="378"/>
      <c r="AU95" s="378"/>
      <c r="AV95" s="378"/>
      <c r="AW95" s="378"/>
      <c r="AX95" s="378"/>
      <c r="AY95" s="378"/>
      <c r="AZ95" s="378"/>
      <c r="BA95" s="378"/>
      <c r="BB95" s="378"/>
      <c r="BC95" s="378"/>
      <c r="BD95" s="378"/>
      <c r="BE95" s="378"/>
      <c r="BF95" s="378"/>
      <c r="BG95" s="378"/>
      <c r="BH95" s="378"/>
      <c r="BI95" s="378"/>
      <c r="BJ95" s="378"/>
      <c r="BK95" s="378"/>
      <c r="BL95" s="378"/>
      <c r="BM95" s="378"/>
      <c r="BN95" s="378"/>
      <c r="BO95" s="378"/>
      <c r="BP95" s="378"/>
      <c r="BQ95" s="378"/>
      <c r="BR95" s="378"/>
      <c r="BS95" s="378"/>
      <c r="BT95" s="378"/>
      <c r="BU95" s="378"/>
      <c r="BV95" s="378"/>
      <c r="BW95" s="378"/>
      <c r="BX95" s="378"/>
      <c r="BY95" s="378"/>
      <c r="BZ95" s="378"/>
      <c r="CA95" s="378"/>
      <c r="CB95" s="378"/>
      <c r="CC95" s="378"/>
      <c r="CD95" s="378"/>
      <c r="CE95" s="378"/>
      <c r="CF95" s="378"/>
      <c r="CG95" s="378"/>
      <c r="CH95" s="378"/>
      <c r="CI95" s="378"/>
      <c r="CJ95" s="378"/>
      <c r="CK95" s="378"/>
      <c r="CL95" s="378"/>
      <c r="CM95" s="378"/>
      <c r="CN95" s="378"/>
      <c r="CO95" s="378"/>
      <c r="CP95" s="378"/>
      <c r="CQ95" s="378"/>
      <c r="CR95" s="378"/>
      <c r="CS95" s="378"/>
      <c r="CT95" s="378"/>
      <c r="CU95" s="378"/>
      <c r="CV95" s="378"/>
      <c r="CW95" s="378"/>
      <c r="CX95" s="378"/>
      <c r="CY95" s="378"/>
      <c r="CZ95" s="378"/>
      <c r="DA95" s="378"/>
      <c r="DB95" s="378"/>
      <c r="DC95" s="378"/>
      <c r="DD95" s="378"/>
      <c r="DE95" s="378"/>
      <c r="DF95" s="378"/>
      <c r="DG95" s="378"/>
      <c r="DH95" s="378"/>
      <c r="DI95" s="378"/>
      <c r="DJ95" s="378"/>
      <c r="DK95" s="378"/>
      <c r="DL95" s="378"/>
      <c r="DM95" s="378"/>
      <c r="DN95" s="378"/>
      <c r="DO95" s="378"/>
      <c r="DP95" s="378"/>
      <c r="DQ95" s="378"/>
      <c r="DR95" s="378"/>
      <c r="DS95" s="378"/>
      <c r="DT95" s="378"/>
      <c r="DU95" s="378"/>
      <c r="DV95" s="378"/>
      <c r="DW95" s="378"/>
      <c r="DX95" s="378"/>
      <c r="DY95" s="378"/>
      <c r="DZ95" s="378"/>
      <c r="EA95" s="378"/>
      <c r="EB95" s="378"/>
      <c r="EC95" s="378"/>
      <c r="ED95" s="378"/>
      <c r="EE95" s="378"/>
      <c r="EF95" s="378"/>
      <c r="EG95" s="378"/>
      <c r="EH95" s="378"/>
      <c r="EI95" s="378"/>
      <c r="EJ95" s="378"/>
      <c r="EK95" s="378"/>
      <c r="EL95" s="378"/>
      <c r="EM95" s="378"/>
      <c r="EN95" s="378"/>
      <c r="EO95" s="378"/>
      <c r="EP95" s="378"/>
      <c r="EQ95" s="378"/>
      <c r="ER95" s="378"/>
      <c r="ES95" s="378"/>
      <c r="ET95" s="378"/>
      <c r="EU95" s="378"/>
      <c r="EV95" s="378"/>
      <c r="EW95" s="378"/>
      <c r="EX95" s="378"/>
      <c r="EY95" s="378"/>
      <c r="EZ95" s="378"/>
      <c r="FA95" s="378"/>
      <c r="FB95" s="378"/>
      <c r="FC95" s="378"/>
      <c r="FD95" s="378"/>
      <c r="FE95" s="378"/>
      <c r="FF95" s="378"/>
      <c r="FG95" s="378"/>
      <c r="FH95" s="378"/>
      <c r="FI95" s="378"/>
      <c r="FJ95" s="378"/>
      <c r="FK95" s="378"/>
      <c r="FL95" s="378"/>
      <c r="FM95" s="378"/>
      <c r="FN95" s="378"/>
      <c r="FO95" s="378"/>
      <c r="FP95" s="378"/>
      <c r="FQ95" s="378"/>
      <c r="FR95" s="378"/>
      <c r="FS95" s="378"/>
      <c r="FT95" s="378"/>
      <c r="FU95" s="378"/>
      <c r="FV95" s="378"/>
      <c r="FW95" s="378"/>
      <c r="FX95" s="378"/>
      <c r="FY95" s="378"/>
      <c r="FZ95" s="378"/>
      <c r="GA95" s="378"/>
      <c r="GB95" s="378"/>
      <c r="GC95" s="378"/>
      <c r="GD95" s="378"/>
      <c r="GE95" s="378"/>
      <c r="GF95" s="378"/>
      <c r="GG95" s="378"/>
      <c r="GH95" s="378"/>
      <c r="GI95" s="378"/>
      <c r="GJ95" s="378"/>
      <c r="GK95" s="378"/>
      <c r="GL95" s="378"/>
      <c r="GM95" s="378"/>
      <c r="GN95" s="378"/>
      <c r="GO95" s="378"/>
      <c r="GP95" s="378"/>
      <c r="GQ95" s="378"/>
      <c r="GR95" s="378"/>
      <c r="GS95" s="378"/>
      <c r="GT95" s="378"/>
      <c r="GU95" s="378"/>
      <c r="GV95" s="378"/>
      <c r="GW95" s="378"/>
      <c r="GX95" s="378"/>
      <c r="GY95" s="378"/>
      <c r="GZ95" s="378"/>
      <c r="HA95" s="378"/>
      <c r="HB95" s="378"/>
      <c r="HC95" s="378"/>
      <c r="HD95" s="378"/>
      <c r="HE95" s="378"/>
      <c r="HF95" s="378"/>
      <c r="HG95" s="378"/>
      <c r="HH95" s="378"/>
      <c r="HI95" s="378"/>
      <c r="HJ95" s="378"/>
      <c r="HK95" s="378"/>
      <c r="HL95" s="378"/>
      <c r="HM95" s="378"/>
      <c r="HN95" s="378"/>
      <c r="HO95" s="378"/>
      <c r="HP95" s="378"/>
      <c r="HQ95" s="378"/>
      <c r="HR95" s="378"/>
      <c r="HS95" s="378"/>
      <c r="HT95" s="378"/>
      <c r="HU95" s="378"/>
      <c r="HV95" s="378"/>
      <c r="HW95" s="378"/>
      <c r="HX95" s="378"/>
      <c r="HY95" s="378"/>
      <c r="HZ95" s="378"/>
      <c r="IA95" s="378"/>
      <c r="IB95" s="378"/>
      <c r="IC95" s="378"/>
      <c r="ID95" s="378"/>
      <c r="IE95" s="378"/>
      <c r="IF95" s="378"/>
      <c r="IG95" s="378"/>
      <c r="IH95" s="378"/>
      <c r="II95" s="378"/>
      <c r="IJ95" s="378"/>
      <c r="IK95" s="378"/>
      <c r="IL95" s="378"/>
      <c r="IM95" s="378"/>
      <c r="IN95" s="378"/>
      <c r="IO95" s="378"/>
      <c r="IP95" s="378"/>
      <c r="IQ95" s="378"/>
      <c r="IR95" s="378"/>
      <c r="IS95" s="378"/>
      <c r="IT95" s="378"/>
      <c r="IU95" s="378"/>
      <c r="IV95" s="378"/>
      <c r="IW95" s="378"/>
      <c r="IX95" s="378"/>
      <c r="IY95" s="378"/>
      <c r="IZ95" s="378"/>
      <c r="JA95" s="378"/>
    </row>
    <row r="96" spans="2:261" s="379" customFormat="1">
      <c r="B96" s="374"/>
      <c r="C96" s="375"/>
      <c r="D96" s="403"/>
      <c r="E96" s="404"/>
      <c r="F96" s="406"/>
      <c r="G96" s="405"/>
      <c r="H96" s="376"/>
      <c r="I96" s="377"/>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8"/>
      <c r="AJ96" s="378"/>
      <c r="AK96" s="378"/>
      <c r="AL96" s="378"/>
      <c r="AM96" s="378"/>
      <c r="AN96" s="378"/>
      <c r="AO96" s="378"/>
      <c r="AP96" s="378"/>
      <c r="AQ96" s="378"/>
      <c r="AR96" s="378"/>
      <c r="AS96" s="378"/>
      <c r="AT96" s="378"/>
      <c r="AU96" s="378"/>
      <c r="AV96" s="378"/>
      <c r="AW96" s="378"/>
      <c r="AX96" s="378"/>
      <c r="AY96" s="378"/>
      <c r="AZ96" s="378"/>
      <c r="BA96" s="378"/>
      <c r="BB96" s="378"/>
      <c r="BC96" s="378"/>
      <c r="BD96" s="378"/>
      <c r="BE96" s="378"/>
      <c r="BF96" s="378"/>
      <c r="BG96" s="378"/>
      <c r="BH96" s="378"/>
      <c r="BI96" s="378"/>
      <c r="BJ96" s="378"/>
      <c r="BK96" s="378"/>
      <c r="BL96" s="378"/>
      <c r="BM96" s="378"/>
      <c r="BN96" s="378"/>
      <c r="BO96" s="378"/>
      <c r="BP96" s="378"/>
      <c r="BQ96" s="378"/>
      <c r="BR96" s="378"/>
      <c r="BS96" s="378"/>
      <c r="BT96" s="378"/>
      <c r="BU96" s="378"/>
      <c r="BV96" s="378"/>
      <c r="BW96" s="378"/>
      <c r="BX96" s="378"/>
      <c r="BY96" s="378"/>
      <c r="BZ96" s="378"/>
      <c r="CA96" s="378"/>
      <c r="CB96" s="378"/>
      <c r="CC96" s="378"/>
      <c r="CD96" s="378"/>
      <c r="CE96" s="378"/>
      <c r="CF96" s="378"/>
      <c r="CG96" s="378"/>
      <c r="CH96" s="378"/>
      <c r="CI96" s="378"/>
      <c r="CJ96" s="378"/>
      <c r="CK96" s="378"/>
      <c r="CL96" s="378"/>
      <c r="CM96" s="378"/>
      <c r="CN96" s="378"/>
      <c r="CO96" s="378"/>
      <c r="CP96" s="378"/>
      <c r="CQ96" s="378"/>
      <c r="CR96" s="378"/>
      <c r="CS96" s="378"/>
      <c r="CT96" s="378"/>
      <c r="CU96" s="378"/>
      <c r="CV96" s="378"/>
      <c r="CW96" s="378"/>
      <c r="CX96" s="378"/>
      <c r="CY96" s="378"/>
      <c r="CZ96" s="378"/>
      <c r="DA96" s="378"/>
      <c r="DB96" s="378"/>
      <c r="DC96" s="378"/>
      <c r="DD96" s="378"/>
      <c r="DE96" s="378"/>
      <c r="DF96" s="378"/>
      <c r="DG96" s="378"/>
      <c r="DH96" s="378"/>
      <c r="DI96" s="378"/>
      <c r="DJ96" s="378"/>
      <c r="DK96" s="378"/>
      <c r="DL96" s="378"/>
      <c r="DM96" s="378"/>
      <c r="DN96" s="378"/>
      <c r="DO96" s="378"/>
      <c r="DP96" s="378"/>
      <c r="DQ96" s="378"/>
      <c r="DR96" s="378"/>
      <c r="DS96" s="378"/>
      <c r="DT96" s="378"/>
      <c r="DU96" s="378"/>
      <c r="DV96" s="378"/>
      <c r="DW96" s="378"/>
      <c r="DX96" s="378"/>
      <c r="DY96" s="378"/>
      <c r="DZ96" s="378"/>
      <c r="EA96" s="378"/>
      <c r="EB96" s="378"/>
      <c r="EC96" s="378"/>
      <c r="ED96" s="378"/>
      <c r="EE96" s="378"/>
      <c r="EF96" s="378"/>
      <c r="EG96" s="378"/>
      <c r="EH96" s="378"/>
      <c r="EI96" s="378"/>
      <c r="EJ96" s="378"/>
      <c r="EK96" s="378"/>
      <c r="EL96" s="378"/>
      <c r="EM96" s="378"/>
      <c r="EN96" s="378"/>
      <c r="EO96" s="378"/>
      <c r="EP96" s="378"/>
      <c r="EQ96" s="378"/>
      <c r="ER96" s="378"/>
      <c r="ES96" s="378"/>
      <c r="ET96" s="378"/>
      <c r="EU96" s="378"/>
      <c r="EV96" s="378"/>
      <c r="EW96" s="378"/>
      <c r="EX96" s="378"/>
      <c r="EY96" s="378"/>
      <c r="EZ96" s="378"/>
      <c r="FA96" s="378"/>
      <c r="FB96" s="378"/>
      <c r="FC96" s="378"/>
      <c r="FD96" s="378"/>
      <c r="FE96" s="378"/>
      <c r="FF96" s="378"/>
      <c r="FG96" s="378"/>
      <c r="FH96" s="378"/>
      <c r="FI96" s="378"/>
      <c r="FJ96" s="378"/>
      <c r="FK96" s="378"/>
      <c r="FL96" s="378"/>
      <c r="FM96" s="378"/>
      <c r="FN96" s="378"/>
      <c r="FO96" s="378"/>
      <c r="FP96" s="378"/>
      <c r="FQ96" s="378"/>
      <c r="FR96" s="378"/>
      <c r="FS96" s="378"/>
      <c r="FT96" s="378"/>
      <c r="FU96" s="378"/>
      <c r="FV96" s="378"/>
      <c r="FW96" s="378"/>
      <c r="FX96" s="378"/>
      <c r="FY96" s="378"/>
      <c r="FZ96" s="378"/>
      <c r="GA96" s="378"/>
      <c r="GB96" s="378"/>
      <c r="GC96" s="378"/>
      <c r="GD96" s="378"/>
      <c r="GE96" s="378"/>
      <c r="GF96" s="378"/>
      <c r="GG96" s="378"/>
      <c r="GH96" s="378"/>
      <c r="GI96" s="378"/>
      <c r="GJ96" s="378"/>
      <c r="GK96" s="378"/>
      <c r="GL96" s="378"/>
      <c r="GM96" s="378"/>
      <c r="GN96" s="378"/>
      <c r="GO96" s="378"/>
      <c r="GP96" s="378"/>
      <c r="GQ96" s="378"/>
      <c r="GR96" s="378"/>
      <c r="GS96" s="378"/>
      <c r="GT96" s="378"/>
      <c r="GU96" s="378"/>
      <c r="GV96" s="378"/>
      <c r="GW96" s="378"/>
      <c r="GX96" s="378"/>
      <c r="GY96" s="378"/>
      <c r="GZ96" s="378"/>
      <c r="HA96" s="378"/>
      <c r="HB96" s="378"/>
      <c r="HC96" s="378"/>
      <c r="HD96" s="378"/>
      <c r="HE96" s="378"/>
      <c r="HF96" s="378"/>
      <c r="HG96" s="378"/>
      <c r="HH96" s="378"/>
      <c r="HI96" s="378"/>
      <c r="HJ96" s="378"/>
      <c r="HK96" s="378"/>
      <c r="HL96" s="378"/>
      <c r="HM96" s="378"/>
      <c r="HN96" s="378"/>
      <c r="HO96" s="378"/>
      <c r="HP96" s="378"/>
      <c r="HQ96" s="378"/>
      <c r="HR96" s="378"/>
      <c r="HS96" s="378"/>
      <c r="HT96" s="378"/>
      <c r="HU96" s="378"/>
      <c r="HV96" s="378"/>
      <c r="HW96" s="378"/>
      <c r="HX96" s="378"/>
      <c r="HY96" s="378"/>
      <c r="HZ96" s="378"/>
      <c r="IA96" s="378"/>
      <c r="IB96" s="378"/>
      <c r="IC96" s="378"/>
      <c r="ID96" s="378"/>
      <c r="IE96" s="378"/>
      <c r="IF96" s="378"/>
      <c r="IG96" s="378"/>
      <c r="IH96" s="378"/>
      <c r="II96" s="378"/>
      <c r="IJ96" s="378"/>
      <c r="IK96" s="378"/>
      <c r="IL96" s="378"/>
      <c r="IM96" s="378"/>
      <c r="IN96" s="378"/>
      <c r="IO96" s="378"/>
      <c r="IP96" s="378"/>
      <c r="IQ96" s="378"/>
      <c r="IR96" s="378"/>
      <c r="IS96" s="378"/>
      <c r="IT96" s="378"/>
      <c r="IU96" s="378"/>
      <c r="IV96" s="378"/>
      <c r="IW96" s="378"/>
      <c r="IX96" s="378"/>
      <c r="IY96" s="378"/>
      <c r="IZ96" s="378"/>
      <c r="JA96" s="378"/>
    </row>
    <row r="97" spans="2:261" s="379" customFormat="1">
      <c r="B97" s="374"/>
      <c r="C97" s="375"/>
      <c r="D97" s="403"/>
      <c r="E97" s="404"/>
      <c r="F97" s="410" t="str">
        <f>"Objective "&amp;F13</f>
        <v xml:space="preserve">Objective </v>
      </c>
      <c r="G97" s="405"/>
      <c r="H97" s="376"/>
      <c r="I97" s="377"/>
      <c r="J97" s="378"/>
      <c r="K97" s="378"/>
      <c r="L97" s="378"/>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378"/>
      <c r="AZ97" s="378"/>
      <c r="BA97" s="378"/>
      <c r="BB97" s="378"/>
      <c r="BC97" s="378"/>
      <c r="BD97" s="378"/>
      <c r="BE97" s="378"/>
      <c r="BF97" s="378"/>
      <c r="BG97" s="378"/>
      <c r="BH97" s="378"/>
      <c r="BI97" s="378"/>
      <c r="BJ97" s="378"/>
      <c r="BK97" s="378"/>
      <c r="BL97" s="378"/>
      <c r="BM97" s="378"/>
      <c r="BN97" s="378"/>
      <c r="BO97" s="378"/>
      <c r="BP97" s="378"/>
      <c r="BQ97" s="378"/>
      <c r="BR97" s="378"/>
      <c r="BS97" s="378"/>
      <c r="BT97" s="378"/>
      <c r="BU97" s="378"/>
      <c r="BV97" s="378"/>
      <c r="BW97" s="378"/>
      <c r="BX97" s="378"/>
      <c r="BY97" s="378"/>
      <c r="BZ97" s="378"/>
      <c r="CA97" s="378"/>
      <c r="CB97" s="378"/>
      <c r="CC97" s="378"/>
      <c r="CD97" s="378"/>
      <c r="CE97" s="378"/>
      <c r="CF97" s="378"/>
      <c r="CG97" s="378"/>
      <c r="CH97" s="378"/>
      <c r="CI97" s="378"/>
      <c r="CJ97" s="378"/>
      <c r="CK97" s="378"/>
      <c r="CL97" s="378"/>
      <c r="CM97" s="378"/>
      <c r="CN97" s="378"/>
      <c r="CO97" s="378"/>
      <c r="CP97" s="378"/>
      <c r="CQ97" s="378"/>
      <c r="CR97" s="378"/>
      <c r="CS97" s="378"/>
      <c r="CT97" s="378"/>
      <c r="CU97" s="378"/>
      <c r="CV97" s="378"/>
      <c r="CW97" s="378"/>
      <c r="CX97" s="378"/>
      <c r="CY97" s="378"/>
      <c r="CZ97" s="378"/>
      <c r="DA97" s="378"/>
      <c r="DB97" s="378"/>
      <c r="DC97" s="378"/>
      <c r="DD97" s="378"/>
      <c r="DE97" s="378"/>
      <c r="DF97" s="378"/>
      <c r="DG97" s="378"/>
      <c r="DH97" s="378"/>
      <c r="DI97" s="378"/>
      <c r="DJ97" s="378"/>
      <c r="DK97" s="378"/>
      <c r="DL97" s="378"/>
      <c r="DM97" s="378"/>
      <c r="DN97" s="378"/>
      <c r="DO97" s="378"/>
      <c r="DP97" s="378"/>
      <c r="DQ97" s="378"/>
      <c r="DR97" s="378"/>
      <c r="DS97" s="378"/>
      <c r="DT97" s="378"/>
      <c r="DU97" s="378"/>
      <c r="DV97" s="378"/>
      <c r="DW97" s="378"/>
      <c r="DX97" s="378"/>
      <c r="DY97" s="378"/>
      <c r="DZ97" s="378"/>
      <c r="EA97" s="378"/>
      <c r="EB97" s="378"/>
      <c r="EC97" s="378"/>
      <c r="ED97" s="378"/>
      <c r="EE97" s="378"/>
      <c r="EF97" s="378"/>
      <c r="EG97" s="378"/>
      <c r="EH97" s="378"/>
      <c r="EI97" s="378"/>
      <c r="EJ97" s="378"/>
      <c r="EK97" s="378"/>
      <c r="EL97" s="378"/>
      <c r="EM97" s="378"/>
      <c r="EN97" s="378"/>
      <c r="EO97" s="378"/>
      <c r="EP97" s="378"/>
      <c r="EQ97" s="378"/>
      <c r="ER97" s="378"/>
      <c r="ES97" s="378"/>
      <c r="ET97" s="378"/>
      <c r="EU97" s="378"/>
      <c r="EV97" s="378"/>
      <c r="EW97" s="378"/>
      <c r="EX97" s="378"/>
      <c r="EY97" s="378"/>
      <c r="EZ97" s="378"/>
      <c r="FA97" s="378"/>
      <c r="FB97" s="378"/>
      <c r="FC97" s="378"/>
      <c r="FD97" s="378"/>
      <c r="FE97" s="378"/>
      <c r="FF97" s="378"/>
      <c r="FG97" s="378"/>
      <c r="FH97" s="378"/>
      <c r="FI97" s="378"/>
      <c r="FJ97" s="378"/>
      <c r="FK97" s="378"/>
      <c r="FL97" s="378"/>
      <c r="FM97" s="378"/>
      <c r="FN97" s="378"/>
      <c r="FO97" s="378"/>
      <c r="FP97" s="378"/>
      <c r="FQ97" s="378"/>
      <c r="FR97" s="378"/>
      <c r="FS97" s="378"/>
      <c r="FT97" s="378"/>
      <c r="FU97" s="378"/>
      <c r="FV97" s="378"/>
      <c r="FW97" s="378"/>
      <c r="FX97" s="378"/>
      <c r="FY97" s="378"/>
      <c r="FZ97" s="378"/>
      <c r="GA97" s="378"/>
      <c r="GB97" s="378"/>
      <c r="GC97" s="378"/>
      <c r="GD97" s="378"/>
      <c r="GE97" s="378"/>
      <c r="GF97" s="378"/>
      <c r="GG97" s="378"/>
      <c r="GH97" s="378"/>
      <c r="GI97" s="378"/>
      <c r="GJ97" s="378"/>
      <c r="GK97" s="378"/>
      <c r="GL97" s="378"/>
      <c r="GM97" s="378"/>
      <c r="GN97" s="378"/>
      <c r="GO97" s="378"/>
      <c r="GP97" s="378"/>
      <c r="GQ97" s="378"/>
      <c r="GR97" s="378"/>
      <c r="GS97" s="378"/>
      <c r="GT97" s="378"/>
      <c r="GU97" s="378"/>
      <c r="GV97" s="378"/>
      <c r="GW97" s="378"/>
      <c r="GX97" s="378"/>
      <c r="GY97" s="378"/>
      <c r="GZ97" s="378"/>
      <c r="HA97" s="378"/>
      <c r="HB97" s="378"/>
      <c r="HC97" s="378"/>
      <c r="HD97" s="378"/>
      <c r="HE97" s="378"/>
      <c r="HF97" s="378"/>
      <c r="HG97" s="378"/>
      <c r="HH97" s="378"/>
      <c r="HI97" s="378"/>
      <c r="HJ97" s="378"/>
      <c r="HK97" s="378"/>
      <c r="HL97" s="378"/>
      <c r="HM97" s="378"/>
      <c r="HN97" s="378"/>
      <c r="HO97" s="378"/>
      <c r="HP97" s="378"/>
      <c r="HQ97" s="378"/>
      <c r="HR97" s="378"/>
      <c r="HS97" s="378"/>
      <c r="HT97" s="378"/>
      <c r="HU97" s="378"/>
      <c r="HV97" s="378"/>
      <c r="HW97" s="378"/>
      <c r="HX97" s="378"/>
      <c r="HY97" s="378"/>
      <c r="HZ97" s="378"/>
      <c r="IA97" s="378"/>
      <c r="IB97" s="378"/>
      <c r="IC97" s="378"/>
      <c r="ID97" s="378"/>
      <c r="IE97" s="378"/>
      <c r="IF97" s="378"/>
      <c r="IG97" s="378"/>
      <c r="IH97" s="378"/>
      <c r="II97" s="378"/>
      <c r="IJ97" s="378"/>
      <c r="IK97" s="378"/>
      <c r="IL97" s="378"/>
      <c r="IM97" s="378"/>
      <c r="IN97" s="378"/>
      <c r="IO97" s="378"/>
      <c r="IP97" s="378"/>
      <c r="IQ97" s="378"/>
      <c r="IR97" s="378"/>
      <c r="IS97" s="378"/>
      <c r="IT97" s="378"/>
      <c r="IU97" s="378"/>
      <c r="IV97" s="378"/>
      <c r="IW97" s="378"/>
      <c r="IX97" s="378"/>
      <c r="IY97" s="378"/>
      <c r="IZ97" s="378"/>
      <c r="JA97" s="378"/>
    </row>
    <row r="98" spans="2:261" s="379" customFormat="1">
      <c r="B98" s="374"/>
      <c r="C98" s="375"/>
      <c r="D98" s="403"/>
      <c r="E98" s="404"/>
      <c r="F98" s="406" t="str">
        <f>"Action plan 1A: "&amp;F15</f>
        <v>Action plan 1A:  (starting )</v>
      </c>
      <c r="G98" s="405"/>
      <c r="H98" s="376"/>
      <c r="I98" s="377"/>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8"/>
      <c r="AL98" s="378"/>
      <c r="AM98" s="378"/>
      <c r="AN98" s="378"/>
      <c r="AO98" s="378"/>
      <c r="AP98" s="378"/>
      <c r="AQ98" s="378"/>
      <c r="AR98" s="378"/>
      <c r="AS98" s="378"/>
      <c r="AT98" s="378"/>
      <c r="AU98" s="378"/>
      <c r="AV98" s="378"/>
      <c r="AW98" s="378"/>
      <c r="AX98" s="378"/>
      <c r="AY98" s="378"/>
      <c r="AZ98" s="378"/>
      <c r="BA98" s="378"/>
      <c r="BB98" s="378"/>
      <c r="BC98" s="378"/>
      <c r="BD98" s="378"/>
      <c r="BE98" s="378"/>
      <c r="BF98" s="378"/>
      <c r="BG98" s="378"/>
      <c r="BH98" s="378"/>
      <c r="BI98" s="378"/>
      <c r="BJ98" s="378"/>
      <c r="BK98" s="378"/>
      <c r="BL98" s="378"/>
      <c r="BM98" s="378"/>
      <c r="BN98" s="378"/>
      <c r="BO98" s="378"/>
      <c r="BP98" s="378"/>
      <c r="BQ98" s="378"/>
      <c r="BR98" s="378"/>
      <c r="BS98" s="378"/>
      <c r="BT98" s="378"/>
      <c r="BU98" s="378"/>
      <c r="BV98" s="378"/>
      <c r="BW98" s="378"/>
      <c r="BX98" s="378"/>
      <c r="BY98" s="378"/>
      <c r="BZ98" s="378"/>
      <c r="CA98" s="378"/>
      <c r="CB98" s="378"/>
      <c r="CC98" s="378"/>
      <c r="CD98" s="378"/>
      <c r="CE98" s="378"/>
      <c r="CF98" s="378"/>
      <c r="CG98" s="378"/>
      <c r="CH98" s="378"/>
      <c r="CI98" s="378"/>
      <c r="CJ98" s="378"/>
      <c r="CK98" s="378"/>
      <c r="CL98" s="378"/>
      <c r="CM98" s="378"/>
      <c r="CN98" s="378"/>
      <c r="CO98" s="378"/>
      <c r="CP98" s="378"/>
      <c r="CQ98" s="378"/>
      <c r="CR98" s="378"/>
      <c r="CS98" s="378"/>
      <c r="CT98" s="378"/>
      <c r="CU98" s="378"/>
      <c r="CV98" s="378"/>
      <c r="CW98" s="378"/>
      <c r="CX98" s="378"/>
      <c r="CY98" s="378"/>
      <c r="CZ98" s="378"/>
      <c r="DA98" s="378"/>
      <c r="DB98" s="378"/>
      <c r="DC98" s="378"/>
      <c r="DD98" s="378"/>
      <c r="DE98" s="378"/>
      <c r="DF98" s="378"/>
      <c r="DG98" s="378"/>
      <c r="DH98" s="378"/>
      <c r="DI98" s="378"/>
      <c r="DJ98" s="378"/>
      <c r="DK98" s="378"/>
      <c r="DL98" s="378"/>
      <c r="DM98" s="378"/>
      <c r="DN98" s="378"/>
      <c r="DO98" s="378"/>
      <c r="DP98" s="378"/>
      <c r="DQ98" s="378"/>
      <c r="DR98" s="378"/>
      <c r="DS98" s="378"/>
      <c r="DT98" s="378"/>
      <c r="DU98" s="378"/>
      <c r="DV98" s="378"/>
      <c r="DW98" s="378"/>
      <c r="DX98" s="378"/>
      <c r="DY98" s="378"/>
      <c r="DZ98" s="378"/>
      <c r="EA98" s="378"/>
      <c r="EB98" s="378"/>
      <c r="EC98" s="378"/>
      <c r="ED98" s="378"/>
      <c r="EE98" s="378"/>
      <c r="EF98" s="378"/>
      <c r="EG98" s="378"/>
      <c r="EH98" s="378"/>
      <c r="EI98" s="378"/>
      <c r="EJ98" s="378"/>
      <c r="EK98" s="378"/>
      <c r="EL98" s="378"/>
      <c r="EM98" s="378"/>
      <c r="EN98" s="378"/>
      <c r="EO98" s="378"/>
      <c r="EP98" s="378"/>
      <c r="EQ98" s="378"/>
      <c r="ER98" s="378"/>
      <c r="ES98" s="378"/>
      <c r="ET98" s="378"/>
      <c r="EU98" s="378"/>
      <c r="EV98" s="378"/>
      <c r="EW98" s="378"/>
      <c r="EX98" s="378"/>
      <c r="EY98" s="378"/>
      <c r="EZ98" s="378"/>
      <c r="FA98" s="378"/>
      <c r="FB98" s="378"/>
      <c r="FC98" s="378"/>
      <c r="FD98" s="378"/>
      <c r="FE98" s="378"/>
      <c r="FF98" s="378"/>
      <c r="FG98" s="378"/>
      <c r="FH98" s="378"/>
      <c r="FI98" s="378"/>
      <c r="FJ98" s="378"/>
      <c r="FK98" s="378"/>
      <c r="FL98" s="378"/>
      <c r="FM98" s="378"/>
      <c r="FN98" s="378"/>
      <c r="FO98" s="378"/>
      <c r="FP98" s="378"/>
      <c r="FQ98" s="378"/>
      <c r="FR98" s="378"/>
      <c r="FS98" s="378"/>
      <c r="FT98" s="378"/>
      <c r="FU98" s="378"/>
      <c r="FV98" s="378"/>
      <c r="FW98" s="378"/>
      <c r="FX98" s="378"/>
      <c r="FY98" s="378"/>
      <c r="FZ98" s="378"/>
      <c r="GA98" s="378"/>
      <c r="GB98" s="378"/>
      <c r="GC98" s="378"/>
      <c r="GD98" s="378"/>
      <c r="GE98" s="378"/>
      <c r="GF98" s="378"/>
      <c r="GG98" s="378"/>
      <c r="GH98" s="378"/>
      <c r="GI98" s="378"/>
      <c r="GJ98" s="378"/>
      <c r="GK98" s="378"/>
      <c r="GL98" s="378"/>
      <c r="GM98" s="378"/>
      <c r="GN98" s="378"/>
      <c r="GO98" s="378"/>
      <c r="GP98" s="378"/>
      <c r="GQ98" s="378"/>
      <c r="GR98" s="378"/>
      <c r="GS98" s="378"/>
      <c r="GT98" s="378"/>
      <c r="GU98" s="378"/>
      <c r="GV98" s="378"/>
      <c r="GW98" s="378"/>
      <c r="GX98" s="378"/>
      <c r="GY98" s="378"/>
      <c r="GZ98" s="378"/>
      <c r="HA98" s="378"/>
      <c r="HB98" s="378"/>
      <c r="HC98" s="378"/>
      <c r="HD98" s="378"/>
      <c r="HE98" s="378"/>
      <c r="HF98" s="378"/>
      <c r="HG98" s="378"/>
      <c r="HH98" s="378"/>
      <c r="HI98" s="378"/>
      <c r="HJ98" s="378"/>
      <c r="HK98" s="378"/>
      <c r="HL98" s="378"/>
      <c r="HM98" s="378"/>
      <c r="HN98" s="378"/>
      <c r="HO98" s="378"/>
      <c r="HP98" s="378"/>
      <c r="HQ98" s="378"/>
      <c r="HR98" s="378"/>
      <c r="HS98" s="378"/>
      <c r="HT98" s="378"/>
      <c r="HU98" s="378"/>
      <c r="HV98" s="378"/>
      <c r="HW98" s="378"/>
      <c r="HX98" s="378"/>
      <c r="HY98" s="378"/>
      <c r="HZ98" s="378"/>
      <c r="IA98" s="378"/>
      <c r="IB98" s="378"/>
      <c r="IC98" s="378"/>
      <c r="ID98" s="378"/>
      <c r="IE98" s="378"/>
      <c r="IF98" s="378"/>
      <c r="IG98" s="378"/>
      <c r="IH98" s="378"/>
      <c r="II98" s="378"/>
      <c r="IJ98" s="378"/>
      <c r="IK98" s="378"/>
      <c r="IL98" s="378"/>
      <c r="IM98" s="378"/>
      <c r="IN98" s="378"/>
      <c r="IO98" s="378"/>
      <c r="IP98" s="378"/>
      <c r="IQ98" s="378"/>
      <c r="IR98" s="378"/>
      <c r="IS98" s="378"/>
      <c r="IT98" s="378"/>
      <c r="IU98" s="378"/>
      <c r="IV98" s="378"/>
      <c r="IW98" s="378"/>
      <c r="IX98" s="378"/>
      <c r="IY98" s="378"/>
      <c r="IZ98" s="378"/>
      <c r="JA98" s="378"/>
    </row>
    <row r="99" spans="2:261" s="379" customFormat="1">
      <c r="B99" s="374"/>
      <c r="C99" s="375"/>
      <c r="D99" s="403"/>
      <c r="E99" s="404"/>
      <c r="F99" s="409" t="str">
        <f>"    Actual action: "&amp;F16</f>
        <v xml:space="preserve">    Actual action: </v>
      </c>
      <c r="G99" s="405"/>
      <c r="H99" s="376"/>
      <c r="I99" s="377"/>
      <c r="J99" s="378"/>
      <c r="K99" s="378"/>
      <c r="L99" s="378"/>
      <c r="M99" s="378"/>
      <c r="N99" s="378"/>
      <c r="O99" s="378"/>
      <c r="P99" s="378"/>
      <c r="Q99" s="378"/>
      <c r="R99" s="378"/>
      <c r="S99" s="378"/>
      <c r="T99" s="378"/>
      <c r="U99" s="378"/>
      <c r="V99" s="378"/>
      <c r="W99" s="378"/>
      <c r="X99" s="378"/>
      <c r="Y99" s="378"/>
      <c r="Z99" s="378"/>
      <c r="AA99" s="378"/>
      <c r="AB99" s="378"/>
      <c r="AC99" s="378"/>
      <c r="AD99" s="378"/>
      <c r="AE99" s="378"/>
      <c r="AF99" s="378"/>
      <c r="AG99" s="378"/>
      <c r="AH99" s="378"/>
      <c r="AI99" s="378"/>
      <c r="AJ99" s="378"/>
      <c r="AK99" s="378"/>
      <c r="AL99" s="378"/>
      <c r="AM99" s="378"/>
      <c r="AN99" s="378"/>
      <c r="AO99" s="378"/>
      <c r="AP99" s="378"/>
      <c r="AQ99" s="378"/>
      <c r="AR99" s="378"/>
      <c r="AS99" s="378"/>
      <c r="AT99" s="378"/>
      <c r="AU99" s="378"/>
      <c r="AV99" s="378"/>
      <c r="AW99" s="378"/>
      <c r="AX99" s="378"/>
      <c r="AY99" s="378"/>
      <c r="AZ99" s="378"/>
      <c r="BA99" s="378"/>
      <c r="BB99" s="378"/>
      <c r="BC99" s="378"/>
      <c r="BD99" s="378"/>
      <c r="BE99" s="378"/>
      <c r="BF99" s="378"/>
      <c r="BG99" s="378"/>
      <c r="BH99" s="378"/>
      <c r="BI99" s="378"/>
      <c r="BJ99" s="378"/>
      <c r="BK99" s="378"/>
      <c r="BL99" s="378"/>
      <c r="BM99" s="378"/>
      <c r="BN99" s="378"/>
      <c r="BO99" s="378"/>
      <c r="BP99" s="378"/>
      <c r="BQ99" s="378"/>
      <c r="BR99" s="378"/>
      <c r="BS99" s="378"/>
      <c r="BT99" s="378"/>
      <c r="BU99" s="378"/>
      <c r="BV99" s="378"/>
      <c r="BW99" s="378"/>
      <c r="BX99" s="378"/>
      <c r="BY99" s="378"/>
      <c r="BZ99" s="378"/>
      <c r="CA99" s="378"/>
      <c r="CB99" s="378"/>
      <c r="CC99" s="378"/>
      <c r="CD99" s="378"/>
      <c r="CE99" s="378"/>
      <c r="CF99" s="378"/>
      <c r="CG99" s="378"/>
      <c r="CH99" s="378"/>
      <c r="CI99" s="378"/>
      <c r="CJ99" s="378"/>
      <c r="CK99" s="378"/>
      <c r="CL99" s="378"/>
      <c r="CM99" s="378"/>
      <c r="CN99" s="378"/>
      <c r="CO99" s="378"/>
      <c r="CP99" s="378"/>
      <c r="CQ99" s="378"/>
      <c r="CR99" s="378"/>
      <c r="CS99" s="378"/>
      <c r="CT99" s="378"/>
      <c r="CU99" s="378"/>
      <c r="CV99" s="378"/>
      <c r="CW99" s="378"/>
      <c r="CX99" s="378"/>
      <c r="CY99" s="378"/>
      <c r="CZ99" s="378"/>
      <c r="DA99" s="378"/>
      <c r="DB99" s="378"/>
      <c r="DC99" s="378"/>
      <c r="DD99" s="378"/>
      <c r="DE99" s="378"/>
      <c r="DF99" s="378"/>
      <c r="DG99" s="378"/>
      <c r="DH99" s="378"/>
      <c r="DI99" s="378"/>
      <c r="DJ99" s="378"/>
      <c r="DK99" s="378"/>
      <c r="DL99" s="378"/>
      <c r="DM99" s="378"/>
      <c r="DN99" s="378"/>
      <c r="DO99" s="378"/>
      <c r="DP99" s="378"/>
      <c r="DQ99" s="378"/>
      <c r="DR99" s="378"/>
      <c r="DS99" s="378"/>
      <c r="DT99" s="378"/>
      <c r="DU99" s="378"/>
      <c r="DV99" s="378"/>
      <c r="DW99" s="378"/>
      <c r="DX99" s="378"/>
      <c r="DY99" s="378"/>
      <c r="DZ99" s="378"/>
      <c r="EA99" s="378"/>
      <c r="EB99" s="378"/>
      <c r="EC99" s="378"/>
      <c r="ED99" s="378"/>
      <c r="EE99" s="378"/>
      <c r="EF99" s="378"/>
      <c r="EG99" s="378"/>
      <c r="EH99" s="378"/>
      <c r="EI99" s="378"/>
      <c r="EJ99" s="378"/>
      <c r="EK99" s="378"/>
      <c r="EL99" s="378"/>
      <c r="EM99" s="378"/>
      <c r="EN99" s="378"/>
      <c r="EO99" s="378"/>
      <c r="EP99" s="378"/>
      <c r="EQ99" s="378"/>
      <c r="ER99" s="378"/>
      <c r="ES99" s="378"/>
      <c r="ET99" s="378"/>
      <c r="EU99" s="378"/>
      <c r="EV99" s="378"/>
      <c r="EW99" s="378"/>
      <c r="EX99" s="378"/>
      <c r="EY99" s="378"/>
      <c r="EZ99" s="378"/>
      <c r="FA99" s="378"/>
      <c r="FB99" s="378"/>
      <c r="FC99" s="378"/>
      <c r="FD99" s="378"/>
      <c r="FE99" s="378"/>
      <c r="FF99" s="378"/>
      <c r="FG99" s="378"/>
      <c r="FH99" s="378"/>
      <c r="FI99" s="378"/>
      <c r="FJ99" s="378"/>
      <c r="FK99" s="378"/>
      <c r="FL99" s="378"/>
      <c r="FM99" s="378"/>
      <c r="FN99" s="378"/>
      <c r="FO99" s="378"/>
      <c r="FP99" s="378"/>
      <c r="FQ99" s="378"/>
      <c r="FR99" s="378"/>
      <c r="FS99" s="378"/>
      <c r="FT99" s="378"/>
      <c r="FU99" s="378"/>
      <c r="FV99" s="378"/>
      <c r="FW99" s="378"/>
      <c r="FX99" s="378"/>
      <c r="FY99" s="378"/>
      <c r="FZ99" s="378"/>
      <c r="GA99" s="378"/>
      <c r="GB99" s="378"/>
      <c r="GC99" s="378"/>
      <c r="GD99" s="378"/>
      <c r="GE99" s="378"/>
      <c r="GF99" s="378"/>
      <c r="GG99" s="378"/>
      <c r="GH99" s="378"/>
      <c r="GI99" s="378"/>
      <c r="GJ99" s="378"/>
      <c r="GK99" s="378"/>
      <c r="GL99" s="378"/>
      <c r="GM99" s="378"/>
      <c r="GN99" s="378"/>
      <c r="GO99" s="378"/>
      <c r="GP99" s="378"/>
      <c r="GQ99" s="378"/>
      <c r="GR99" s="378"/>
      <c r="GS99" s="378"/>
      <c r="GT99" s="378"/>
      <c r="GU99" s="378"/>
      <c r="GV99" s="378"/>
      <c r="GW99" s="378"/>
      <c r="GX99" s="378"/>
      <c r="GY99" s="378"/>
      <c r="GZ99" s="378"/>
      <c r="HA99" s="378"/>
      <c r="HB99" s="378"/>
      <c r="HC99" s="378"/>
      <c r="HD99" s="378"/>
      <c r="HE99" s="378"/>
      <c r="HF99" s="378"/>
      <c r="HG99" s="378"/>
      <c r="HH99" s="378"/>
      <c r="HI99" s="378"/>
      <c r="HJ99" s="378"/>
      <c r="HK99" s="378"/>
      <c r="HL99" s="378"/>
      <c r="HM99" s="378"/>
      <c r="HN99" s="378"/>
      <c r="HO99" s="378"/>
      <c r="HP99" s="378"/>
      <c r="HQ99" s="378"/>
      <c r="HR99" s="378"/>
      <c r="HS99" s="378"/>
      <c r="HT99" s="378"/>
      <c r="HU99" s="378"/>
      <c r="HV99" s="378"/>
      <c r="HW99" s="378"/>
      <c r="HX99" s="378"/>
      <c r="HY99" s="378"/>
      <c r="HZ99" s="378"/>
      <c r="IA99" s="378"/>
      <c r="IB99" s="378"/>
      <c r="IC99" s="378"/>
      <c r="ID99" s="378"/>
      <c r="IE99" s="378"/>
      <c r="IF99" s="378"/>
      <c r="IG99" s="378"/>
      <c r="IH99" s="378"/>
      <c r="II99" s="378"/>
      <c r="IJ99" s="378"/>
      <c r="IK99" s="378"/>
      <c r="IL99" s="378"/>
      <c r="IM99" s="378"/>
      <c r="IN99" s="378"/>
      <c r="IO99" s="378"/>
      <c r="IP99" s="378"/>
      <c r="IQ99" s="378"/>
      <c r="IR99" s="378"/>
      <c r="IS99" s="378"/>
      <c r="IT99" s="378"/>
      <c r="IU99" s="378"/>
      <c r="IV99" s="378"/>
      <c r="IW99" s="378"/>
      <c r="IX99" s="378"/>
      <c r="IY99" s="378"/>
      <c r="IZ99" s="378"/>
      <c r="JA99" s="378"/>
    </row>
    <row r="100" spans="2:261" s="379" customFormat="1">
      <c r="B100" s="374"/>
      <c r="C100" s="375"/>
      <c r="D100" s="403"/>
      <c r="E100" s="404"/>
      <c r="F100" s="406" t="str">
        <f>"Action plan 1B: "&amp;F17</f>
        <v>Action plan 1B:  (starting )</v>
      </c>
      <c r="G100" s="405"/>
      <c r="H100" s="376"/>
      <c r="I100" s="377"/>
      <c r="J100" s="378"/>
      <c r="K100" s="378"/>
      <c r="L100" s="378"/>
      <c r="M100" s="378"/>
      <c r="N100" s="378"/>
      <c r="O100" s="378"/>
      <c r="P100" s="378"/>
      <c r="Q100" s="378"/>
      <c r="R100" s="378"/>
      <c r="S100" s="378"/>
      <c r="T100" s="378"/>
      <c r="U100" s="378"/>
      <c r="V100" s="378"/>
      <c r="W100" s="378"/>
      <c r="X100" s="378"/>
      <c r="Y100" s="378"/>
      <c r="Z100" s="378"/>
      <c r="AA100" s="378"/>
      <c r="AB100" s="378"/>
      <c r="AC100" s="378"/>
      <c r="AD100" s="378"/>
      <c r="AE100" s="378"/>
      <c r="AF100" s="378"/>
      <c r="AG100" s="378"/>
      <c r="AH100" s="378"/>
      <c r="AI100" s="378"/>
      <c r="AJ100" s="378"/>
      <c r="AK100" s="378"/>
      <c r="AL100" s="378"/>
      <c r="AM100" s="378"/>
      <c r="AN100" s="378"/>
      <c r="AO100" s="378"/>
      <c r="AP100" s="378"/>
      <c r="AQ100" s="378"/>
      <c r="AR100" s="378"/>
      <c r="AS100" s="378"/>
      <c r="AT100" s="378"/>
      <c r="AU100" s="378"/>
      <c r="AV100" s="378"/>
      <c r="AW100" s="378"/>
      <c r="AX100" s="378"/>
      <c r="AY100" s="378"/>
      <c r="AZ100" s="378"/>
      <c r="BA100" s="378"/>
      <c r="BB100" s="378"/>
      <c r="BC100" s="378"/>
      <c r="BD100" s="378"/>
      <c r="BE100" s="378"/>
      <c r="BF100" s="378"/>
      <c r="BG100" s="378"/>
      <c r="BH100" s="378"/>
      <c r="BI100" s="378"/>
      <c r="BJ100" s="378"/>
      <c r="BK100" s="378"/>
      <c r="BL100" s="378"/>
      <c r="BM100" s="378"/>
      <c r="BN100" s="378"/>
      <c r="BO100" s="378"/>
      <c r="BP100" s="378"/>
      <c r="BQ100" s="378"/>
      <c r="BR100" s="378"/>
      <c r="BS100" s="378"/>
      <c r="BT100" s="378"/>
      <c r="BU100" s="378"/>
      <c r="BV100" s="378"/>
      <c r="BW100" s="378"/>
      <c r="BX100" s="378"/>
      <c r="BY100" s="378"/>
      <c r="BZ100" s="378"/>
      <c r="CA100" s="378"/>
      <c r="CB100" s="378"/>
      <c r="CC100" s="378"/>
      <c r="CD100" s="378"/>
      <c r="CE100" s="378"/>
      <c r="CF100" s="378"/>
      <c r="CG100" s="378"/>
      <c r="CH100" s="378"/>
      <c r="CI100" s="378"/>
      <c r="CJ100" s="378"/>
      <c r="CK100" s="378"/>
      <c r="CL100" s="378"/>
      <c r="CM100" s="378"/>
      <c r="CN100" s="378"/>
      <c r="CO100" s="378"/>
      <c r="CP100" s="378"/>
      <c r="CQ100" s="378"/>
      <c r="CR100" s="378"/>
      <c r="CS100" s="378"/>
      <c r="CT100" s="378"/>
      <c r="CU100" s="378"/>
      <c r="CV100" s="378"/>
      <c r="CW100" s="378"/>
      <c r="CX100" s="378"/>
      <c r="CY100" s="378"/>
      <c r="CZ100" s="378"/>
      <c r="DA100" s="378"/>
      <c r="DB100" s="378"/>
      <c r="DC100" s="378"/>
      <c r="DD100" s="378"/>
      <c r="DE100" s="378"/>
      <c r="DF100" s="378"/>
      <c r="DG100" s="378"/>
      <c r="DH100" s="378"/>
      <c r="DI100" s="378"/>
      <c r="DJ100" s="378"/>
      <c r="DK100" s="378"/>
      <c r="DL100" s="378"/>
      <c r="DM100" s="378"/>
      <c r="DN100" s="378"/>
      <c r="DO100" s="378"/>
      <c r="DP100" s="378"/>
      <c r="DQ100" s="378"/>
      <c r="DR100" s="378"/>
      <c r="DS100" s="378"/>
      <c r="DT100" s="378"/>
      <c r="DU100" s="378"/>
      <c r="DV100" s="378"/>
      <c r="DW100" s="378"/>
      <c r="DX100" s="378"/>
      <c r="DY100" s="378"/>
      <c r="DZ100" s="378"/>
      <c r="EA100" s="378"/>
      <c r="EB100" s="378"/>
      <c r="EC100" s="378"/>
      <c r="ED100" s="378"/>
      <c r="EE100" s="378"/>
      <c r="EF100" s="378"/>
      <c r="EG100" s="378"/>
      <c r="EH100" s="378"/>
      <c r="EI100" s="378"/>
      <c r="EJ100" s="378"/>
      <c r="EK100" s="378"/>
      <c r="EL100" s="378"/>
      <c r="EM100" s="378"/>
      <c r="EN100" s="378"/>
      <c r="EO100" s="378"/>
      <c r="EP100" s="378"/>
      <c r="EQ100" s="378"/>
      <c r="ER100" s="378"/>
      <c r="ES100" s="378"/>
      <c r="ET100" s="378"/>
      <c r="EU100" s="378"/>
      <c r="EV100" s="378"/>
      <c r="EW100" s="378"/>
      <c r="EX100" s="378"/>
      <c r="EY100" s="378"/>
      <c r="EZ100" s="378"/>
      <c r="FA100" s="378"/>
      <c r="FB100" s="378"/>
      <c r="FC100" s="378"/>
      <c r="FD100" s="378"/>
      <c r="FE100" s="378"/>
      <c r="FF100" s="378"/>
      <c r="FG100" s="378"/>
      <c r="FH100" s="378"/>
      <c r="FI100" s="378"/>
      <c r="FJ100" s="378"/>
      <c r="FK100" s="378"/>
      <c r="FL100" s="378"/>
      <c r="FM100" s="378"/>
      <c r="FN100" s="378"/>
      <c r="FO100" s="378"/>
      <c r="FP100" s="378"/>
      <c r="FQ100" s="378"/>
      <c r="FR100" s="378"/>
      <c r="FS100" s="378"/>
      <c r="FT100" s="378"/>
      <c r="FU100" s="378"/>
      <c r="FV100" s="378"/>
      <c r="FW100" s="378"/>
      <c r="FX100" s="378"/>
      <c r="FY100" s="378"/>
      <c r="FZ100" s="378"/>
      <c r="GA100" s="378"/>
      <c r="GB100" s="378"/>
      <c r="GC100" s="378"/>
      <c r="GD100" s="378"/>
      <c r="GE100" s="378"/>
      <c r="GF100" s="378"/>
      <c r="GG100" s="378"/>
      <c r="GH100" s="378"/>
      <c r="GI100" s="378"/>
      <c r="GJ100" s="378"/>
      <c r="GK100" s="378"/>
      <c r="GL100" s="378"/>
      <c r="GM100" s="378"/>
      <c r="GN100" s="378"/>
      <c r="GO100" s="378"/>
      <c r="GP100" s="378"/>
      <c r="GQ100" s="378"/>
      <c r="GR100" s="378"/>
      <c r="GS100" s="378"/>
      <c r="GT100" s="378"/>
      <c r="GU100" s="378"/>
      <c r="GV100" s="378"/>
      <c r="GW100" s="378"/>
      <c r="GX100" s="378"/>
      <c r="GY100" s="378"/>
      <c r="GZ100" s="378"/>
      <c r="HA100" s="378"/>
      <c r="HB100" s="378"/>
      <c r="HC100" s="378"/>
      <c r="HD100" s="378"/>
      <c r="HE100" s="378"/>
      <c r="HF100" s="378"/>
      <c r="HG100" s="378"/>
      <c r="HH100" s="378"/>
      <c r="HI100" s="378"/>
      <c r="HJ100" s="378"/>
      <c r="HK100" s="378"/>
      <c r="HL100" s="378"/>
      <c r="HM100" s="378"/>
      <c r="HN100" s="378"/>
      <c r="HO100" s="378"/>
      <c r="HP100" s="378"/>
      <c r="HQ100" s="378"/>
      <c r="HR100" s="378"/>
      <c r="HS100" s="378"/>
      <c r="HT100" s="378"/>
      <c r="HU100" s="378"/>
      <c r="HV100" s="378"/>
      <c r="HW100" s="378"/>
      <c r="HX100" s="378"/>
      <c r="HY100" s="378"/>
      <c r="HZ100" s="378"/>
      <c r="IA100" s="378"/>
      <c r="IB100" s="378"/>
      <c r="IC100" s="378"/>
      <c r="ID100" s="378"/>
      <c r="IE100" s="378"/>
      <c r="IF100" s="378"/>
      <c r="IG100" s="378"/>
      <c r="IH100" s="378"/>
      <c r="II100" s="378"/>
      <c r="IJ100" s="378"/>
      <c r="IK100" s="378"/>
      <c r="IL100" s="378"/>
      <c r="IM100" s="378"/>
      <c r="IN100" s="378"/>
      <c r="IO100" s="378"/>
      <c r="IP100" s="378"/>
      <c r="IQ100" s="378"/>
      <c r="IR100" s="378"/>
      <c r="IS100" s="378"/>
      <c r="IT100" s="378"/>
      <c r="IU100" s="378"/>
      <c r="IV100" s="378"/>
      <c r="IW100" s="378"/>
      <c r="IX100" s="378"/>
      <c r="IY100" s="378"/>
      <c r="IZ100" s="378"/>
      <c r="JA100" s="378"/>
    </row>
    <row r="101" spans="2:261" s="379" customFormat="1">
      <c r="B101" s="374"/>
      <c r="C101" s="375"/>
      <c r="D101" s="403"/>
      <c r="E101" s="403"/>
      <c r="F101" s="409" t="str">
        <f>"    Actual action: "&amp;F18</f>
        <v xml:space="preserve">    Actual action: </v>
      </c>
      <c r="G101" s="403"/>
      <c r="H101" s="376"/>
      <c r="I101" s="377"/>
      <c r="J101" s="378"/>
      <c r="K101" s="378"/>
      <c r="L101" s="378"/>
      <c r="M101" s="378"/>
      <c r="N101" s="378"/>
      <c r="O101" s="378"/>
      <c r="P101" s="378"/>
      <c r="Q101" s="378"/>
      <c r="R101" s="378"/>
      <c r="S101" s="378"/>
      <c r="T101" s="378"/>
      <c r="U101" s="378"/>
      <c r="V101" s="378"/>
      <c r="W101" s="378"/>
      <c r="X101" s="378"/>
      <c r="Y101" s="378"/>
      <c r="Z101" s="378"/>
      <c r="AA101" s="378"/>
      <c r="AB101" s="378"/>
      <c r="AC101" s="378"/>
      <c r="AD101" s="378"/>
      <c r="AE101" s="378"/>
      <c r="AF101" s="378"/>
      <c r="AG101" s="378"/>
      <c r="AH101" s="378"/>
      <c r="AI101" s="378"/>
      <c r="AJ101" s="378"/>
      <c r="AK101" s="378"/>
      <c r="AL101" s="378"/>
      <c r="AM101" s="378"/>
      <c r="AN101" s="378"/>
      <c r="AO101" s="378"/>
      <c r="AP101" s="378"/>
      <c r="AQ101" s="378"/>
      <c r="AR101" s="378"/>
      <c r="AS101" s="378"/>
      <c r="AT101" s="378"/>
      <c r="AU101" s="378"/>
      <c r="AV101" s="378"/>
      <c r="AW101" s="378"/>
      <c r="AX101" s="378"/>
      <c r="AY101" s="378"/>
      <c r="AZ101" s="378"/>
      <c r="BA101" s="378"/>
      <c r="BB101" s="378"/>
      <c r="BC101" s="378"/>
      <c r="BD101" s="378"/>
      <c r="BE101" s="378"/>
      <c r="BF101" s="378"/>
      <c r="BG101" s="378"/>
      <c r="BH101" s="378"/>
      <c r="BI101" s="378"/>
      <c r="BJ101" s="378"/>
      <c r="BK101" s="378"/>
      <c r="BL101" s="378"/>
      <c r="BM101" s="378"/>
      <c r="BN101" s="378"/>
      <c r="BO101" s="378"/>
      <c r="BP101" s="378"/>
      <c r="BQ101" s="378"/>
      <c r="BR101" s="378"/>
      <c r="BS101" s="378"/>
      <c r="BT101" s="378"/>
      <c r="BU101" s="378"/>
      <c r="BV101" s="378"/>
      <c r="BW101" s="378"/>
      <c r="BX101" s="378"/>
      <c r="BY101" s="378"/>
      <c r="BZ101" s="378"/>
      <c r="CA101" s="378"/>
      <c r="CB101" s="378"/>
      <c r="CC101" s="378"/>
      <c r="CD101" s="378"/>
      <c r="CE101" s="378"/>
      <c r="CF101" s="378"/>
      <c r="CG101" s="378"/>
      <c r="CH101" s="378"/>
      <c r="CI101" s="378"/>
      <c r="CJ101" s="378"/>
      <c r="CK101" s="378"/>
      <c r="CL101" s="378"/>
      <c r="CM101" s="378"/>
      <c r="CN101" s="378"/>
      <c r="CO101" s="378"/>
      <c r="CP101" s="378"/>
      <c r="CQ101" s="378"/>
      <c r="CR101" s="378"/>
      <c r="CS101" s="378"/>
      <c r="CT101" s="378"/>
      <c r="CU101" s="378"/>
      <c r="CV101" s="378"/>
      <c r="CW101" s="378"/>
      <c r="CX101" s="378"/>
      <c r="CY101" s="378"/>
      <c r="CZ101" s="378"/>
      <c r="DA101" s="378"/>
      <c r="DB101" s="378"/>
      <c r="DC101" s="378"/>
      <c r="DD101" s="378"/>
      <c r="DE101" s="378"/>
      <c r="DF101" s="378"/>
      <c r="DG101" s="378"/>
      <c r="DH101" s="378"/>
      <c r="DI101" s="378"/>
      <c r="DJ101" s="378"/>
      <c r="DK101" s="378"/>
      <c r="DL101" s="378"/>
      <c r="DM101" s="378"/>
      <c r="DN101" s="378"/>
      <c r="DO101" s="378"/>
      <c r="DP101" s="378"/>
      <c r="DQ101" s="378"/>
      <c r="DR101" s="378"/>
      <c r="DS101" s="378"/>
      <c r="DT101" s="378"/>
      <c r="DU101" s="378"/>
      <c r="DV101" s="378"/>
      <c r="DW101" s="378"/>
      <c r="DX101" s="378"/>
      <c r="DY101" s="378"/>
      <c r="DZ101" s="378"/>
      <c r="EA101" s="378"/>
      <c r="EB101" s="378"/>
      <c r="EC101" s="378"/>
      <c r="ED101" s="378"/>
      <c r="EE101" s="378"/>
      <c r="EF101" s="378"/>
      <c r="EG101" s="378"/>
      <c r="EH101" s="378"/>
      <c r="EI101" s="378"/>
      <c r="EJ101" s="378"/>
      <c r="EK101" s="378"/>
      <c r="EL101" s="378"/>
      <c r="EM101" s="378"/>
      <c r="EN101" s="378"/>
      <c r="EO101" s="378"/>
      <c r="EP101" s="378"/>
      <c r="EQ101" s="378"/>
      <c r="ER101" s="378"/>
      <c r="ES101" s="378"/>
      <c r="ET101" s="378"/>
      <c r="EU101" s="378"/>
      <c r="EV101" s="378"/>
      <c r="EW101" s="378"/>
      <c r="EX101" s="378"/>
      <c r="EY101" s="378"/>
      <c r="EZ101" s="378"/>
      <c r="FA101" s="378"/>
      <c r="FB101" s="378"/>
      <c r="FC101" s="378"/>
      <c r="FD101" s="378"/>
      <c r="FE101" s="378"/>
      <c r="FF101" s="378"/>
      <c r="FG101" s="378"/>
      <c r="FH101" s="378"/>
      <c r="FI101" s="378"/>
      <c r="FJ101" s="378"/>
      <c r="FK101" s="378"/>
      <c r="FL101" s="378"/>
      <c r="FM101" s="378"/>
      <c r="FN101" s="378"/>
      <c r="FO101" s="378"/>
      <c r="FP101" s="378"/>
      <c r="FQ101" s="378"/>
      <c r="FR101" s="378"/>
      <c r="FS101" s="378"/>
      <c r="FT101" s="378"/>
      <c r="FU101" s="378"/>
      <c r="FV101" s="378"/>
      <c r="FW101" s="378"/>
      <c r="FX101" s="378"/>
      <c r="FY101" s="378"/>
      <c r="FZ101" s="378"/>
      <c r="GA101" s="378"/>
      <c r="GB101" s="378"/>
      <c r="GC101" s="378"/>
      <c r="GD101" s="378"/>
      <c r="GE101" s="378"/>
      <c r="GF101" s="378"/>
      <c r="GG101" s="378"/>
      <c r="GH101" s="378"/>
      <c r="GI101" s="378"/>
      <c r="GJ101" s="378"/>
      <c r="GK101" s="378"/>
      <c r="GL101" s="378"/>
      <c r="GM101" s="378"/>
      <c r="GN101" s="378"/>
      <c r="GO101" s="378"/>
      <c r="GP101" s="378"/>
      <c r="GQ101" s="378"/>
      <c r="GR101" s="378"/>
      <c r="GS101" s="378"/>
      <c r="GT101" s="378"/>
      <c r="GU101" s="378"/>
      <c r="GV101" s="378"/>
      <c r="GW101" s="378"/>
      <c r="GX101" s="378"/>
      <c r="GY101" s="378"/>
      <c r="GZ101" s="378"/>
      <c r="HA101" s="378"/>
      <c r="HB101" s="378"/>
      <c r="HC101" s="378"/>
      <c r="HD101" s="378"/>
      <c r="HE101" s="378"/>
      <c r="HF101" s="378"/>
      <c r="HG101" s="378"/>
      <c r="HH101" s="378"/>
      <c r="HI101" s="378"/>
      <c r="HJ101" s="378"/>
      <c r="HK101" s="378"/>
      <c r="HL101" s="378"/>
      <c r="HM101" s="378"/>
      <c r="HN101" s="378"/>
      <c r="HO101" s="378"/>
      <c r="HP101" s="378"/>
      <c r="HQ101" s="378"/>
      <c r="HR101" s="378"/>
      <c r="HS101" s="378"/>
      <c r="HT101" s="378"/>
      <c r="HU101" s="378"/>
      <c r="HV101" s="378"/>
      <c r="HW101" s="378"/>
      <c r="HX101" s="378"/>
      <c r="HY101" s="378"/>
      <c r="HZ101" s="378"/>
      <c r="IA101" s="378"/>
      <c r="IB101" s="378"/>
      <c r="IC101" s="378"/>
      <c r="ID101" s="378"/>
      <c r="IE101" s="378"/>
      <c r="IF101" s="378"/>
      <c r="IG101" s="378"/>
      <c r="IH101" s="378"/>
      <c r="II101" s="378"/>
      <c r="IJ101" s="378"/>
      <c r="IK101" s="378"/>
      <c r="IL101" s="378"/>
      <c r="IM101" s="378"/>
      <c r="IN101" s="378"/>
      <c r="IO101" s="378"/>
      <c r="IP101" s="378"/>
      <c r="IQ101" s="378"/>
      <c r="IR101" s="378"/>
      <c r="IS101" s="378"/>
      <c r="IT101" s="378"/>
      <c r="IU101" s="378"/>
      <c r="IV101" s="378"/>
      <c r="IW101" s="378"/>
      <c r="IX101" s="378"/>
      <c r="IY101" s="378"/>
      <c r="IZ101" s="378"/>
      <c r="JA101" s="378"/>
    </row>
    <row r="102" spans="2:261" s="379" customFormat="1" ht="14">
      <c r="B102" s="374"/>
      <c r="C102" s="375"/>
      <c r="D102" s="402"/>
      <c r="E102" s="400"/>
      <c r="F102" s="406" t="str">
        <f>"Action plan 1C: "&amp;F19</f>
        <v>Action plan 1C:  (starting )</v>
      </c>
      <c r="G102" s="400"/>
      <c r="H102" s="376"/>
      <c r="I102" s="377"/>
      <c r="J102" s="378"/>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8"/>
      <c r="AG102" s="378"/>
      <c r="AH102" s="378"/>
      <c r="AI102" s="378"/>
      <c r="AJ102" s="378"/>
      <c r="AK102" s="378"/>
      <c r="AL102" s="378"/>
      <c r="AM102" s="378"/>
      <c r="AN102" s="378"/>
      <c r="AO102" s="378"/>
      <c r="AP102" s="378"/>
      <c r="AQ102" s="378"/>
      <c r="AR102" s="378"/>
      <c r="AS102" s="378"/>
      <c r="AT102" s="378"/>
      <c r="AU102" s="378"/>
      <c r="AV102" s="378"/>
      <c r="AW102" s="378"/>
      <c r="AX102" s="378"/>
      <c r="AY102" s="378"/>
      <c r="AZ102" s="378"/>
      <c r="BA102" s="378"/>
      <c r="BB102" s="378"/>
      <c r="BC102" s="378"/>
      <c r="BD102" s="378"/>
      <c r="BE102" s="378"/>
      <c r="BF102" s="378"/>
      <c r="BG102" s="378"/>
      <c r="BH102" s="378"/>
      <c r="BI102" s="378"/>
      <c r="BJ102" s="378"/>
      <c r="BK102" s="378"/>
      <c r="BL102" s="378"/>
      <c r="BM102" s="378"/>
      <c r="BN102" s="378"/>
      <c r="BO102" s="378"/>
      <c r="BP102" s="378"/>
      <c r="BQ102" s="378"/>
      <c r="BR102" s="378"/>
      <c r="BS102" s="378"/>
      <c r="BT102" s="378"/>
      <c r="BU102" s="378"/>
      <c r="BV102" s="378"/>
      <c r="BW102" s="378"/>
      <c r="BX102" s="378"/>
      <c r="BY102" s="378"/>
      <c r="BZ102" s="378"/>
      <c r="CA102" s="378"/>
      <c r="CB102" s="378"/>
      <c r="CC102" s="378"/>
      <c r="CD102" s="378"/>
      <c r="CE102" s="378"/>
      <c r="CF102" s="378"/>
      <c r="CG102" s="378"/>
      <c r="CH102" s="378"/>
      <c r="CI102" s="378"/>
      <c r="CJ102" s="378"/>
      <c r="CK102" s="378"/>
      <c r="CL102" s="378"/>
      <c r="CM102" s="378"/>
      <c r="CN102" s="378"/>
      <c r="CO102" s="378"/>
      <c r="CP102" s="378"/>
      <c r="CQ102" s="378"/>
      <c r="CR102" s="378"/>
      <c r="CS102" s="378"/>
      <c r="CT102" s="378"/>
      <c r="CU102" s="378"/>
      <c r="CV102" s="378"/>
      <c r="CW102" s="378"/>
      <c r="CX102" s="378"/>
      <c r="CY102" s="378"/>
      <c r="CZ102" s="378"/>
      <c r="DA102" s="378"/>
      <c r="DB102" s="378"/>
      <c r="DC102" s="378"/>
      <c r="DD102" s="378"/>
      <c r="DE102" s="378"/>
      <c r="DF102" s="378"/>
      <c r="DG102" s="378"/>
      <c r="DH102" s="378"/>
      <c r="DI102" s="378"/>
      <c r="DJ102" s="378"/>
      <c r="DK102" s="378"/>
      <c r="DL102" s="378"/>
      <c r="DM102" s="378"/>
      <c r="DN102" s="378"/>
      <c r="DO102" s="378"/>
      <c r="DP102" s="378"/>
      <c r="DQ102" s="378"/>
      <c r="DR102" s="378"/>
      <c r="DS102" s="378"/>
      <c r="DT102" s="378"/>
      <c r="DU102" s="378"/>
      <c r="DV102" s="378"/>
      <c r="DW102" s="378"/>
      <c r="DX102" s="378"/>
      <c r="DY102" s="378"/>
      <c r="DZ102" s="378"/>
      <c r="EA102" s="378"/>
      <c r="EB102" s="378"/>
      <c r="EC102" s="378"/>
      <c r="ED102" s="378"/>
      <c r="EE102" s="378"/>
      <c r="EF102" s="378"/>
      <c r="EG102" s="378"/>
      <c r="EH102" s="378"/>
      <c r="EI102" s="378"/>
      <c r="EJ102" s="378"/>
      <c r="EK102" s="378"/>
      <c r="EL102" s="378"/>
      <c r="EM102" s="378"/>
      <c r="EN102" s="378"/>
      <c r="EO102" s="378"/>
      <c r="EP102" s="378"/>
      <c r="EQ102" s="378"/>
      <c r="ER102" s="378"/>
      <c r="ES102" s="378"/>
      <c r="ET102" s="378"/>
      <c r="EU102" s="378"/>
      <c r="EV102" s="378"/>
      <c r="EW102" s="378"/>
      <c r="EX102" s="378"/>
      <c r="EY102" s="378"/>
      <c r="EZ102" s="378"/>
      <c r="FA102" s="378"/>
      <c r="FB102" s="378"/>
      <c r="FC102" s="378"/>
      <c r="FD102" s="378"/>
      <c r="FE102" s="378"/>
      <c r="FF102" s="378"/>
      <c r="FG102" s="378"/>
      <c r="FH102" s="378"/>
      <c r="FI102" s="378"/>
      <c r="FJ102" s="378"/>
      <c r="FK102" s="378"/>
      <c r="FL102" s="378"/>
      <c r="FM102" s="378"/>
      <c r="FN102" s="378"/>
      <c r="FO102" s="378"/>
      <c r="FP102" s="378"/>
      <c r="FQ102" s="378"/>
      <c r="FR102" s="378"/>
      <c r="FS102" s="378"/>
      <c r="FT102" s="378"/>
      <c r="FU102" s="378"/>
      <c r="FV102" s="378"/>
      <c r="FW102" s="378"/>
      <c r="FX102" s="378"/>
      <c r="FY102" s="378"/>
      <c r="FZ102" s="378"/>
      <c r="GA102" s="378"/>
      <c r="GB102" s="378"/>
      <c r="GC102" s="378"/>
      <c r="GD102" s="378"/>
      <c r="GE102" s="378"/>
      <c r="GF102" s="378"/>
      <c r="GG102" s="378"/>
      <c r="GH102" s="378"/>
      <c r="GI102" s="378"/>
      <c r="GJ102" s="378"/>
      <c r="GK102" s="378"/>
      <c r="GL102" s="378"/>
      <c r="GM102" s="378"/>
      <c r="GN102" s="378"/>
      <c r="GO102" s="378"/>
      <c r="GP102" s="378"/>
      <c r="GQ102" s="378"/>
      <c r="GR102" s="378"/>
      <c r="GS102" s="378"/>
      <c r="GT102" s="378"/>
      <c r="GU102" s="378"/>
      <c r="GV102" s="378"/>
      <c r="GW102" s="378"/>
      <c r="GX102" s="378"/>
      <c r="GY102" s="378"/>
      <c r="GZ102" s="378"/>
      <c r="HA102" s="378"/>
      <c r="HB102" s="378"/>
      <c r="HC102" s="378"/>
      <c r="HD102" s="378"/>
      <c r="HE102" s="378"/>
      <c r="HF102" s="378"/>
      <c r="HG102" s="378"/>
      <c r="HH102" s="378"/>
      <c r="HI102" s="378"/>
      <c r="HJ102" s="378"/>
      <c r="HK102" s="378"/>
      <c r="HL102" s="378"/>
      <c r="HM102" s="378"/>
      <c r="HN102" s="378"/>
      <c r="HO102" s="378"/>
      <c r="HP102" s="378"/>
      <c r="HQ102" s="378"/>
      <c r="HR102" s="378"/>
      <c r="HS102" s="378"/>
      <c r="HT102" s="378"/>
      <c r="HU102" s="378"/>
      <c r="HV102" s="378"/>
      <c r="HW102" s="378"/>
      <c r="HX102" s="378"/>
      <c r="HY102" s="378"/>
      <c r="HZ102" s="378"/>
      <c r="IA102" s="378"/>
      <c r="IB102" s="378"/>
      <c r="IC102" s="378"/>
      <c r="ID102" s="378"/>
      <c r="IE102" s="378"/>
      <c r="IF102" s="378"/>
      <c r="IG102" s="378"/>
      <c r="IH102" s="378"/>
      <c r="II102" s="378"/>
      <c r="IJ102" s="378"/>
      <c r="IK102" s="378"/>
      <c r="IL102" s="378"/>
      <c r="IM102" s="378"/>
      <c r="IN102" s="378"/>
      <c r="IO102" s="378"/>
      <c r="IP102" s="378"/>
      <c r="IQ102" s="378"/>
      <c r="IR102" s="378"/>
      <c r="IS102" s="378"/>
      <c r="IT102" s="378"/>
      <c r="IU102" s="378"/>
      <c r="IV102" s="378"/>
      <c r="IW102" s="378"/>
      <c r="IX102" s="378"/>
      <c r="IY102" s="378"/>
      <c r="IZ102" s="378"/>
      <c r="JA102" s="378"/>
    </row>
    <row r="103" spans="2:261" s="379" customFormat="1" ht="14">
      <c r="B103" s="374"/>
      <c r="C103" s="375"/>
      <c r="D103" s="402"/>
      <c r="E103" s="400"/>
      <c r="F103" s="409" t="str">
        <f>"    Actual action: "&amp;F20</f>
        <v xml:space="preserve">    Actual action: </v>
      </c>
      <c r="G103" s="400"/>
      <c r="H103" s="376"/>
      <c r="I103" s="377"/>
      <c r="J103" s="378"/>
      <c r="K103" s="378"/>
      <c r="L103" s="378"/>
      <c r="M103" s="378"/>
      <c r="N103" s="378"/>
      <c r="O103" s="378"/>
      <c r="P103" s="378"/>
      <c r="Q103" s="378"/>
      <c r="R103" s="378"/>
      <c r="S103" s="378"/>
      <c r="T103" s="378"/>
      <c r="U103" s="378"/>
      <c r="V103" s="378"/>
      <c r="W103" s="378"/>
      <c r="X103" s="378"/>
      <c r="Y103" s="378"/>
      <c r="Z103" s="378"/>
      <c r="AA103" s="378"/>
      <c r="AB103" s="378"/>
      <c r="AC103" s="378"/>
      <c r="AD103" s="378"/>
      <c r="AE103" s="378"/>
      <c r="AF103" s="378"/>
      <c r="AG103" s="378"/>
      <c r="AH103" s="378"/>
      <c r="AI103" s="378"/>
      <c r="AJ103" s="378"/>
      <c r="AK103" s="378"/>
      <c r="AL103" s="378"/>
      <c r="AM103" s="378"/>
      <c r="AN103" s="378"/>
      <c r="AO103" s="378"/>
      <c r="AP103" s="378"/>
      <c r="AQ103" s="378"/>
      <c r="AR103" s="378"/>
      <c r="AS103" s="378"/>
      <c r="AT103" s="378"/>
      <c r="AU103" s="378"/>
      <c r="AV103" s="378"/>
      <c r="AW103" s="378"/>
      <c r="AX103" s="378"/>
      <c r="AY103" s="378"/>
      <c r="AZ103" s="378"/>
      <c r="BA103" s="378"/>
      <c r="BB103" s="378"/>
      <c r="BC103" s="378"/>
      <c r="BD103" s="378"/>
      <c r="BE103" s="378"/>
      <c r="BF103" s="378"/>
      <c r="BG103" s="378"/>
      <c r="BH103" s="378"/>
      <c r="BI103" s="378"/>
      <c r="BJ103" s="378"/>
      <c r="BK103" s="378"/>
      <c r="BL103" s="378"/>
      <c r="BM103" s="378"/>
      <c r="BN103" s="378"/>
      <c r="BO103" s="378"/>
      <c r="BP103" s="378"/>
      <c r="BQ103" s="378"/>
      <c r="BR103" s="378"/>
      <c r="BS103" s="378"/>
      <c r="BT103" s="378"/>
      <c r="BU103" s="378"/>
      <c r="BV103" s="378"/>
      <c r="BW103" s="378"/>
      <c r="BX103" s="378"/>
      <c r="BY103" s="378"/>
      <c r="BZ103" s="378"/>
      <c r="CA103" s="378"/>
      <c r="CB103" s="378"/>
      <c r="CC103" s="378"/>
      <c r="CD103" s="378"/>
      <c r="CE103" s="378"/>
      <c r="CF103" s="378"/>
      <c r="CG103" s="378"/>
      <c r="CH103" s="378"/>
      <c r="CI103" s="378"/>
      <c r="CJ103" s="378"/>
      <c r="CK103" s="378"/>
      <c r="CL103" s="378"/>
      <c r="CM103" s="378"/>
      <c r="CN103" s="378"/>
      <c r="CO103" s="378"/>
      <c r="CP103" s="378"/>
      <c r="CQ103" s="378"/>
      <c r="CR103" s="378"/>
      <c r="CS103" s="378"/>
      <c r="CT103" s="378"/>
      <c r="CU103" s="378"/>
      <c r="CV103" s="378"/>
      <c r="CW103" s="378"/>
      <c r="CX103" s="378"/>
      <c r="CY103" s="378"/>
      <c r="CZ103" s="378"/>
      <c r="DA103" s="378"/>
      <c r="DB103" s="378"/>
      <c r="DC103" s="378"/>
      <c r="DD103" s="378"/>
      <c r="DE103" s="378"/>
      <c r="DF103" s="378"/>
      <c r="DG103" s="378"/>
      <c r="DH103" s="378"/>
      <c r="DI103" s="378"/>
      <c r="DJ103" s="378"/>
      <c r="DK103" s="378"/>
      <c r="DL103" s="378"/>
      <c r="DM103" s="378"/>
      <c r="DN103" s="378"/>
      <c r="DO103" s="378"/>
      <c r="DP103" s="378"/>
      <c r="DQ103" s="378"/>
      <c r="DR103" s="378"/>
      <c r="DS103" s="378"/>
      <c r="DT103" s="378"/>
      <c r="DU103" s="378"/>
      <c r="DV103" s="378"/>
      <c r="DW103" s="378"/>
      <c r="DX103" s="378"/>
      <c r="DY103" s="378"/>
      <c r="DZ103" s="378"/>
      <c r="EA103" s="378"/>
      <c r="EB103" s="378"/>
      <c r="EC103" s="378"/>
      <c r="ED103" s="378"/>
      <c r="EE103" s="378"/>
      <c r="EF103" s="378"/>
      <c r="EG103" s="378"/>
      <c r="EH103" s="378"/>
      <c r="EI103" s="378"/>
      <c r="EJ103" s="378"/>
      <c r="EK103" s="378"/>
      <c r="EL103" s="378"/>
      <c r="EM103" s="378"/>
      <c r="EN103" s="378"/>
      <c r="EO103" s="378"/>
      <c r="EP103" s="378"/>
      <c r="EQ103" s="378"/>
      <c r="ER103" s="378"/>
      <c r="ES103" s="378"/>
      <c r="ET103" s="378"/>
      <c r="EU103" s="378"/>
      <c r="EV103" s="378"/>
      <c r="EW103" s="378"/>
      <c r="EX103" s="378"/>
      <c r="EY103" s="378"/>
      <c r="EZ103" s="378"/>
      <c r="FA103" s="378"/>
      <c r="FB103" s="378"/>
      <c r="FC103" s="378"/>
      <c r="FD103" s="378"/>
      <c r="FE103" s="378"/>
      <c r="FF103" s="378"/>
      <c r="FG103" s="378"/>
      <c r="FH103" s="378"/>
      <c r="FI103" s="378"/>
      <c r="FJ103" s="378"/>
      <c r="FK103" s="378"/>
      <c r="FL103" s="378"/>
      <c r="FM103" s="378"/>
      <c r="FN103" s="378"/>
      <c r="FO103" s="378"/>
      <c r="FP103" s="378"/>
      <c r="FQ103" s="378"/>
      <c r="FR103" s="378"/>
      <c r="FS103" s="378"/>
      <c r="FT103" s="378"/>
      <c r="FU103" s="378"/>
      <c r="FV103" s="378"/>
      <c r="FW103" s="378"/>
      <c r="FX103" s="378"/>
      <c r="FY103" s="378"/>
      <c r="FZ103" s="378"/>
      <c r="GA103" s="378"/>
      <c r="GB103" s="378"/>
      <c r="GC103" s="378"/>
      <c r="GD103" s="378"/>
      <c r="GE103" s="378"/>
      <c r="GF103" s="378"/>
      <c r="GG103" s="378"/>
      <c r="GH103" s="378"/>
      <c r="GI103" s="378"/>
      <c r="GJ103" s="378"/>
      <c r="GK103" s="378"/>
      <c r="GL103" s="378"/>
      <c r="GM103" s="378"/>
      <c r="GN103" s="378"/>
      <c r="GO103" s="378"/>
      <c r="GP103" s="378"/>
      <c r="GQ103" s="378"/>
      <c r="GR103" s="378"/>
      <c r="GS103" s="378"/>
      <c r="GT103" s="378"/>
      <c r="GU103" s="378"/>
      <c r="GV103" s="378"/>
      <c r="GW103" s="378"/>
      <c r="GX103" s="378"/>
      <c r="GY103" s="378"/>
      <c r="GZ103" s="378"/>
      <c r="HA103" s="378"/>
      <c r="HB103" s="378"/>
      <c r="HC103" s="378"/>
      <c r="HD103" s="378"/>
      <c r="HE103" s="378"/>
      <c r="HF103" s="378"/>
      <c r="HG103" s="378"/>
      <c r="HH103" s="378"/>
      <c r="HI103" s="378"/>
      <c r="HJ103" s="378"/>
      <c r="HK103" s="378"/>
      <c r="HL103" s="378"/>
      <c r="HM103" s="378"/>
      <c r="HN103" s="378"/>
      <c r="HO103" s="378"/>
      <c r="HP103" s="378"/>
      <c r="HQ103" s="378"/>
      <c r="HR103" s="378"/>
      <c r="HS103" s="378"/>
      <c r="HT103" s="378"/>
      <c r="HU103" s="378"/>
      <c r="HV103" s="378"/>
      <c r="HW103" s="378"/>
      <c r="HX103" s="378"/>
      <c r="HY103" s="378"/>
      <c r="HZ103" s="378"/>
      <c r="IA103" s="378"/>
      <c r="IB103" s="378"/>
      <c r="IC103" s="378"/>
      <c r="ID103" s="378"/>
      <c r="IE103" s="378"/>
      <c r="IF103" s="378"/>
      <c r="IG103" s="378"/>
      <c r="IH103" s="378"/>
      <c r="II103" s="378"/>
      <c r="IJ103" s="378"/>
      <c r="IK103" s="378"/>
      <c r="IL103" s="378"/>
      <c r="IM103" s="378"/>
      <c r="IN103" s="378"/>
      <c r="IO103" s="378"/>
      <c r="IP103" s="378"/>
      <c r="IQ103" s="378"/>
      <c r="IR103" s="378"/>
      <c r="IS103" s="378"/>
      <c r="IT103" s="378"/>
      <c r="IU103" s="378"/>
      <c r="IV103" s="378"/>
      <c r="IW103" s="378"/>
      <c r="IX103" s="378"/>
      <c r="IY103" s="378"/>
      <c r="IZ103" s="378"/>
      <c r="JA103" s="378"/>
    </row>
    <row r="104" spans="2:261" s="379" customFormat="1">
      <c r="B104" s="374"/>
      <c r="C104" s="375"/>
      <c r="D104" s="403"/>
      <c r="E104" s="404"/>
      <c r="F104" s="406" t="str">
        <f>"Minimum gain ("&amp;'Planning Template'!$F$81&amp;") was "&amp;E22&amp;"."</f>
        <v>Minimum gain () was .</v>
      </c>
      <c r="G104" s="405"/>
      <c r="H104" s="376"/>
      <c r="I104" s="377"/>
      <c r="J104" s="378"/>
      <c r="K104" s="378"/>
      <c r="L104" s="378"/>
      <c r="M104" s="378"/>
      <c r="N104" s="378"/>
      <c r="O104" s="378"/>
      <c r="P104" s="378"/>
      <c r="Q104" s="378"/>
      <c r="R104" s="378"/>
      <c r="S104" s="378"/>
      <c r="T104" s="378"/>
      <c r="U104" s="378"/>
      <c r="V104" s="378"/>
      <c r="W104" s="378"/>
      <c r="X104" s="378"/>
      <c r="Y104" s="378"/>
      <c r="Z104" s="378"/>
      <c r="AA104" s="378"/>
      <c r="AB104" s="378"/>
      <c r="AC104" s="378"/>
      <c r="AD104" s="378"/>
      <c r="AE104" s="378"/>
      <c r="AF104" s="378"/>
      <c r="AG104" s="378"/>
      <c r="AH104" s="378"/>
      <c r="AI104" s="378"/>
      <c r="AJ104" s="378"/>
      <c r="AK104" s="378"/>
      <c r="AL104" s="378"/>
      <c r="AM104" s="378"/>
      <c r="AN104" s="378"/>
      <c r="AO104" s="378"/>
      <c r="AP104" s="378"/>
      <c r="AQ104" s="378"/>
      <c r="AR104" s="378"/>
      <c r="AS104" s="378"/>
      <c r="AT104" s="378"/>
      <c r="AU104" s="378"/>
      <c r="AV104" s="378"/>
      <c r="AW104" s="378"/>
      <c r="AX104" s="378"/>
      <c r="AY104" s="378"/>
      <c r="AZ104" s="378"/>
      <c r="BA104" s="378"/>
      <c r="BB104" s="378"/>
      <c r="BC104" s="378"/>
      <c r="BD104" s="378"/>
      <c r="BE104" s="378"/>
      <c r="BF104" s="378"/>
      <c r="BG104" s="378"/>
      <c r="BH104" s="378"/>
      <c r="BI104" s="378"/>
      <c r="BJ104" s="378"/>
      <c r="BK104" s="378"/>
      <c r="BL104" s="378"/>
      <c r="BM104" s="378"/>
      <c r="BN104" s="378"/>
      <c r="BO104" s="378"/>
      <c r="BP104" s="378"/>
      <c r="BQ104" s="378"/>
      <c r="BR104" s="378"/>
      <c r="BS104" s="378"/>
      <c r="BT104" s="378"/>
      <c r="BU104" s="378"/>
      <c r="BV104" s="378"/>
      <c r="BW104" s="378"/>
      <c r="BX104" s="378"/>
      <c r="BY104" s="378"/>
      <c r="BZ104" s="378"/>
      <c r="CA104" s="378"/>
      <c r="CB104" s="378"/>
      <c r="CC104" s="378"/>
      <c r="CD104" s="378"/>
      <c r="CE104" s="378"/>
      <c r="CF104" s="378"/>
      <c r="CG104" s="378"/>
      <c r="CH104" s="378"/>
      <c r="CI104" s="378"/>
      <c r="CJ104" s="378"/>
      <c r="CK104" s="378"/>
      <c r="CL104" s="378"/>
      <c r="CM104" s="378"/>
      <c r="CN104" s="378"/>
      <c r="CO104" s="378"/>
      <c r="CP104" s="378"/>
      <c r="CQ104" s="378"/>
      <c r="CR104" s="378"/>
      <c r="CS104" s="378"/>
      <c r="CT104" s="378"/>
      <c r="CU104" s="378"/>
      <c r="CV104" s="378"/>
      <c r="CW104" s="378"/>
      <c r="CX104" s="378"/>
      <c r="CY104" s="378"/>
      <c r="CZ104" s="378"/>
      <c r="DA104" s="378"/>
      <c r="DB104" s="378"/>
      <c r="DC104" s="378"/>
      <c r="DD104" s="378"/>
      <c r="DE104" s="378"/>
      <c r="DF104" s="378"/>
      <c r="DG104" s="378"/>
      <c r="DH104" s="378"/>
      <c r="DI104" s="378"/>
      <c r="DJ104" s="378"/>
      <c r="DK104" s="378"/>
      <c r="DL104" s="378"/>
      <c r="DM104" s="378"/>
      <c r="DN104" s="378"/>
      <c r="DO104" s="378"/>
      <c r="DP104" s="378"/>
      <c r="DQ104" s="378"/>
      <c r="DR104" s="378"/>
      <c r="DS104" s="378"/>
      <c r="DT104" s="378"/>
      <c r="DU104" s="378"/>
      <c r="DV104" s="378"/>
      <c r="DW104" s="378"/>
      <c r="DX104" s="378"/>
      <c r="DY104" s="378"/>
      <c r="DZ104" s="378"/>
      <c r="EA104" s="378"/>
      <c r="EB104" s="378"/>
      <c r="EC104" s="378"/>
      <c r="ED104" s="378"/>
      <c r="EE104" s="378"/>
      <c r="EF104" s="378"/>
      <c r="EG104" s="378"/>
      <c r="EH104" s="378"/>
      <c r="EI104" s="378"/>
      <c r="EJ104" s="378"/>
      <c r="EK104" s="378"/>
      <c r="EL104" s="378"/>
      <c r="EM104" s="378"/>
      <c r="EN104" s="378"/>
      <c r="EO104" s="378"/>
      <c r="EP104" s="378"/>
      <c r="EQ104" s="378"/>
      <c r="ER104" s="378"/>
      <c r="ES104" s="378"/>
      <c r="ET104" s="378"/>
      <c r="EU104" s="378"/>
      <c r="EV104" s="378"/>
      <c r="EW104" s="378"/>
      <c r="EX104" s="378"/>
      <c r="EY104" s="378"/>
      <c r="EZ104" s="378"/>
      <c r="FA104" s="378"/>
      <c r="FB104" s="378"/>
      <c r="FC104" s="378"/>
      <c r="FD104" s="378"/>
      <c r="FE104" s="378"/>
      <c r="FF104" s="378"/>
      <c r="FG104" s="378"/>
      <c r="FH104" s="378"/>
      <c r="FI104" s="378"/>
      <c r="FJ104" s="378"/>
      <c r="FK104" s="378"/>
      <c r="FL104" s="378"/>
      <c r="FM104" s="378"/>
      <c r="FN104" s="378"/>
      <c r="FO104" s="378"/>
      <c r="FP104" s="378"/>
      <c r="FQ104" s="378"/>
      <c r="FR104" s="378"/>
      <c r="FS104" s="378"/>
      <c r="FT104" s="378"/>
      <c r="FU104" s="378"/>
      <c r="FV104" s="378"/>
      <c r="FW104" s="378"/>
      <c r="FX104" s="378"/>
      <c r="FY104" s="378"/>
      <c r="FZ104" s="378"/>
      <c r="GA104" s="378"/>
      <c r="GB104" s="378"/>
      <c r="GC104" s="378"/>
      <c r="GD104" s="378"/>
      <c r="GE104" s="378"/>
      <c r="GF104" s="378"/>
      <c r="GG104" s="378"/>
      <c r="GH104" s="378"/>
      <c r="GI104" s="378"/>
      <c r="GJ104" s="378"/>
      <c r="GK104" s="378"/>
      <c r="GL104" s="378"/>
      <c r="GM104" s="378"/>
      <c r="GN104" s="378"/>
      <c r="GO104" s="378"/>
      <c r="GP104" s="378"/>
      <c r="GQ104" s="378"/>
      <c r="GR104" s="378"/>
      <c r="GS104" s="378"/>
      <c r="GT104" s="378"/>
      <c r="GU104" s="378"/>
      <c r="GV104" s="378"/>
      <c r="GW104" s="378"/>
      <c r="GX104" s="378"/>
      <c r="GY104" s="378"/>
      <c r="GZ104" s="378"/>
      <c r="HA104" s="378"/>
      <c r="HB104" s="378"/>
      <c r="HC104" s="378"/>
      <c r="HD104" s="378"/>
      <c r="HE104" s="378"/>
      <c r="HF104" s="378"/>
      <c r="HG104" s="378"/>
      <c r="HH104" s="378"/>
      <c r="HI104" s="378"/>
      <c r="HJ104" s="378"/>
      <c r="HK104" s="378"/>
      <c r="HL104" s="378"/>
      <c r="HM104" s="378"/>
      <c r="HN104" s="378"/>
      <c r="HO104" s="378"/>
      <c r="HP104" s="378"/>
      <c r="HQ104" s="378"/>
      <c r="HR104" s="378"/>
      <c r="HS104" s="378"/>
      <c r="HT104" s="378"/>
      <c r="HU104" s="378"/>
      <c r="HV104" s="378"/>
      <c r="HW104" s="378"/>
      <c r="HX104" s="378"/>
      <c r="HY104" s="378"/>
      <c r="HZ104" s="378"/>
      <c r="IA104" s="378"/>
      <c r="IB104" s="378"/>
      <c r="IC104" s="378"/>
      <c r="ID104" s="378"/>
      <c r="IE104" s="378"/>
      <c r="IF104" s="378"/>
      <c r="IG104" s="378"/>
      <c r="IH104" s="378"/>
      <c r="II104" s="378"/>
      <c r="IJ104" s="378"/>
      <c r="IK104" s="378"/>
      <c r="IL104" s="378"/>
      <c r="IM104" s="378"/>
      <c r="IN104" s="378"/>
      <c r="IO104" s="378"/>
      <c r="IP104" s="378"/>
      <c r="IQ104" s="378"/>
      <c r="IR104" s="378"/>
      <c r="IS104" s="378"/>
      <c r="IT104" s="378"/>
      <c r="IU104" s="378"/>
      <c r="IV104" s="378"/>
      <c r="IW104" s="378"/>
      <c r="IX104" s="378"/>
      <c r="IY104" s="378"/>
      <c r="IZ104" s="378"/>
      <c r="JA104" s="378"/>
    </row>
    <row r="105" spans="2:261" s="379" customFormat="1">
      <c r="B105" s="374"/>
      <c r="C105" s="375"/>
      <c r="D105" s="403"/>
      <c r="E105" s="404"/>
      <c r="F105" s="406"/>
      <c r="G105" s="405"/>
      <c r="H105" s="376"/>
      <c r="I105" s="377"/>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8"/>
      <c r="AK105" s="378"/>
      <c r="AL105" s="378"/>
      <c r="AM105" s="378"/>
      <c r="AN105" s="378"/>
      <c r="AO105" s="378"/>
      <c r="AP105" s="378"/>
      <c r="AQ105" s="378"/>
      <c r="AR105" s="378"/>
      <c r="AS105" s="378"/>
      <c r="AT105" s="378"/>
      <c r="AU105" s="378"/>
      <c r="AV105" s="378"/>
      <c r="AW105" s="378"/>
      <c r="AX105" s="378"/>
      <c r="AY105" s="378"/>
      <c r="AZ105" s="378"/>
      <c r="BA105" s="378"/>
      <c r="BB105" s="378"/>
      <c r="BC105" s="378"/>
      <c r="BD105" s="378"/>
      <c r="BE105" s="378"/>
      <c r="BF105" s="378"/>
      <c r="BG105" s="378"/>
      <c r="BH105" s="378"/>
      <c r="BI105" s="378"/>
      <c r="BJ105" s="378"/>
      <c r="BK105" s="378"/>
      <c r="BL105" s="378"/>
      <c r="BM105" s="378"/>
      <c r="BN105" s="378"/>
      <c r="BO105" s="378"/>
      <c r="BP105" s="378"/>
      <c r="BQ105" s="378"/>
      <c r="BR105" s="378"/>
      <c r="BS105" s="378"/>
      <c r="BT105" s="378"/>
      <c r="BU105" s="378"/>
      <c r="BV105" s="378"/>
      <c r="BW105" s="378"/>
      <c r="BX105" s="378"/>
      <c r="BY105" s="378"/>
      <c r="BZ105" s="378"/>
      <c r="CA105" s="378"/>
      <c r="CB105" s="378"/>
      <c r="CC105" s="378"/>
      <c r="CD105" s="378"/>
      <c r="CE105" s="378"/>
      <c r="CF105" s="378"/>
      <c r="CG105" s="378"/>
      <c r="CH105" s="378"/>
      <c r="CI105" s="378"/>
      <c r="CJ105" s="378"/>
      <c r="CK105" s="378"/>
      <c r="CL105" s="378"/>
      <c r="CM105" s="378"/>
      <c r="CN105" s="378"/>
      <c r="CO105" s="378"/>
      <c r="CP105" s="378"/>
      <c r="CQ105" s="378"/>
      <c r="CR105" s="378"/>
      <c r="CS105" s="378"/>
      <c r="CT105" s="378"/>
      <c r="CU105" s="378"/>
      <c r="CV105" s="378"/>
      <c r="CW105" s="378"/>
      <c r="CX105" s="378"/>
      <c r="CY105" s="378"/>
      <c r="CZ105" s="378"/>
      <c r="DA105" s="378"/>
      <c r="DB105" s="378"/>
      <c r="DC105" s="378"/>
      <c r="DD105" s="378"/>
      <c r="DE105" s="378"/>
      <c r="DF105" s="378"/>
      <c r="DG105" s="378"/>
      <c r="DH105" s="378"/>
      <c r="DI105" s="378"/>
      <c r="DJ105" s="378"/>
      <c r="DK105" s="378"/>
      <c r="DL105" s="378"/>
      <c r="DM105" s="378"/>
      <c r="DN105" s="378"/>
      <c r="DO105" s="378"/>
      <c r="DP105" s="378"/>
      <c r="DQ105" s="378"/>
      <c r="DR105" s="378"/>
      <c r="DS105" s="378"/>
      <c r="DT105" s="378"/>
      <c r="DU105" s="378"/>
      <c r="DV105" s="378"/>
      <c r="DW105" s="378"/>
      <c r="DX105" s="378"/>
      <c r="DY105" s="378"/>
      <c r="DZ105" s="378"/>
      <c r="EA105" s="378"/>
      <c r="EB105" s="378"/>
      <c r="EC105" s="378"/>
      <c r="ED105" s="378"/>
      <c r="EE105" s="378"/>
      <c r="EF105" s="378"/>
      <c r="EG105" s="378"/>
      <c r="EH105" s="378"/>
      <c r="EI105" s="378"/>
      <c r="EJ105" s="378"/>
      <c r="EK105" s="378"/>
      <c r="EL105" s="378"/>
      <c r="EM105" s="378"/>
      <c r="EN105" s="378"/>
      <c r="EO105" s="378"/>
      <c r="EP105" s="378"/>
      <c r="EQ105" s="378"/>
      <c r="ER105" s="378"/>
      <c r="ES105" s="378"/>
      <c r="ET105" s="378"/>
      <c r="EU105" s="378"/>
      <c r="EV105" s="378"/>
      <c r="EW105" s="378"/>
      <c r="EX105" s="378"/>
      <c r="EY105" s="378"/>
      <c r="EZ105" s="378"/>
      <c r="FA105" s="378"/>
      <c r="FB105" s="378"/>
      <c r="FC105" s="378"/>
      <c r="FD105" s="378"/>
      <c r="FE105" s="378"/>
      <c r="FF105" s="378"/>
      <c r="FG105" s="378"/>
      <c r="FH105" s="378"/>
      <c r="FI105" s="378"/>
      <c r="FJ105" s="378"/>
      <c r="FK105" s="378"/>
      <c r="FL105" s="378"/>
      <c r="FM105" s="378"/>
      <c r="FN105" s="378"/>
      <c r="FO105" s="378"/>
      <c r="FP105" s="378"/>
      <c r="FQ105" s="378"/>
      <c r="FR105" s="378"/>
      <c r="FS105" s="378"/>
      <c r="FT105" s="378"/>
      <c r="FU105" s="378"/>
      <c r="FV105" s="378"/>
      <c r="FW105" s="378"/>
      <c r="FX105" s="378"/>
      <c r="FY105" s="378"/>
      <c r="FZ105" s="378"/>
      <c r="GA105" s="378"/>
      <c r="GB105" s="378"/>
      <c r="GC105" s="378"/>
      <c r="GD105" s="378"/>
      <c r="GE105" s="378"/>
      <c r="GF105" s="378"/>
      <c r="GG105" s="378"/>
      <c r="GH105" s="378"/>
      <c r="GI105" s="378"/>
      <c r="GJ105" s="378"/>
      <c r="GK105" s="378"/>
      <c r="GL105" s="378"/>
      <c r="GM105" s="378"/>
      <c r="GN105" s="378"/>
      <c r="GO105" s="378"/>
      <c r="GP105" s="378"/>
      <c r="GQ105" s="378"/>
      <c r="GR105" s="378"/>
      <c r="GS105" s="378"/>
      <c r="GT105" s="378"/>
      <c r="GU105" s="378"/>
      <c r="GV105" s="378"/>
      <c r="GW105" s="378"/>
      <c r="GX105" s="378"/>
      <c r="GY105" s="378"/>
      <c r="GZ105" s="378"/>
      <c r="HA105" s="378"/>
      <c r="HB105" s="378"/>
      <c r="HC105" s="378"/>
      <c r="HD105" s="378"/>
      <c r="HE105" s="378"/>
      <c r="HF105" s="378"/>
      <c r="HG105" s="378"/>
      <c r="HH105" s="378"/>
      <c r="HI105" s="378"/>
      <c r="HJ105" s="378"/>
      <c r="HK105" s="378"/>
      <c r="HL105" s="378"/>
      <c r="HM105" s="378"/>
      <c r="HN105" s="378"/>
      <c r="HO105" s="378"/>
      <c r="HP105" s="378"/>
      <c r="HQ105" s="378"/>
      <c r="HR105" s="378"/>
      <c r="HS105" s="378"/>
      <c r="HT105" s="378"/>
      <c r="HU105" s="378"/>
      <c r="HV105" s="378"/>
      <c r="HW105" s="378"/>
      <c r="HX105" s="378"/>
      <c r="HY105" s="378"/>
      <c r="HZ105" s="378"/>
      <c r="IA105" s="378"/>
      <c r="IB105" s="378"/>
      <c r="IC105" s="378"/>
      <c r="ID105" s="378"/>
      <c r="IE105" s="378"/>
      <c r="IF105" s="378"/>
      <c r="IG105" s="378"/>
      <c r="IH105" s="378"/>
      <c r="II105" s="378"/>
      <c r="IJ105" s="378"/>
      <c r="IK105" s="378"/>
      <c r="IL105" s="378"/>
      <c r="IM105" s="378"/>
      <c r="IN105" s="378"/>
      <c r="IO105" s="378"/>
      <c r="IP105" s="378"/>
      <c r="IQ105" s="378"/>
      <c r="IR105" s="378"/>
      <c r="IS105" s="378"/>
      <c r="IT105" s="378"/>
      <c r="IU105" s="378"/>
      <c r="IV105" s="378"/>
      <c r="IW105" s="378"/>
      <c r="IX105" s="378"/>
      <c r="IY105" s="378"/>
      <c r="IZ105" s="378"/>
      <c r="JA105" s="378"/>
    </row>
    <row r="106" spans="2:261" s="379" customFormat="1">
      <c r="B106" s="374"/>
      <c r="C106" s="375"/>
      <c r="D106" s="403"/>
      <c r="E106" s="404"/>
      <c r="F106" s="410" t="str">
        <f>"Objective "&amp;F25</f>
        <v xml:space="preserve">Objective </v>
      </c>
      <c r="G106" s="405"/>
      <c r="H106" s="376"/>
      <c r="I106" s="377"/>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378"/>
      <c r="AY106" s="378"/>
      <c r="AZ106" s="378"/>
      <c r="BA106" s="378"/>
      <c r="BB106" s="378"/>
      <c r="BC106" s="378"/>
      <c r="BD106" s="378"/>
      <c r="BE106" s="378"/>
      <c r="BF106" s="378"/>
      <c r="BG106" s="378"/>
      <c r="BH106" s="378"/>
      <c r="BI106" s="378"/>
      <c r="BJ106" s="378"/>
      <c r="BK106" s="378"/>
      <c r="BL106" s="378"/>
      <c r="BM106" s="378"/>
      <c r="BN106" s="378"/>
      <c r="BO106" s="378"/>
      <c r="BP106" s="378"/>
      <c r="BQ106" s="378"/>
      <c r="BR106" s="378"/>
      <c r="BS106" s="378"/>
      <c r="BT106" s="378"/>
      <c r="BU106" s="378"/>
      <c r="BV106" s="378"/>
      <c r="BW106" s="378"/>
      <c r="BX106" s="378"/>
      <c r="BY106" s="378"/>
      <c r="BZ106" s="378"/>
      <c r="CA106" s="378"/>
      <c r="CB106" s="378"/>
      <c r="CC106" s="378"/>
      <c r="CD106" s="378"/>
      <c r="CE106" s="378"/>
      <c r="CF106" s="378"/>
      <c r="CG106" s="378"/>
      <c r="CH106" s="378"/>
      <c r="CI106" s="378"/>
      <c r="CJ106" s="378"/>
      <c r="CK106" s="378"/>
      <c r="CL106" s="378"/>
      <c r="CM106" s="378"/>
      <c r="CN106" s="378"/>
      <c r="CO106" s="378"/>
      <c r="CP106" s="378"/>
      <c r="CQ106" s="378"/>
      <c r="CR106" s="378"/>
      <c r="CS106" s="378"/>
      <c r="CT106" s="378"/>
      <c r="CU106" s="378"/>
      <c r="CV106" s="378"/>
      <c r="CW106" s="378"/>
      <c r="CX106" s="378"/>
      <c r="CY106" s="378"/>
      <c r="CZ106" s="378"/>
      <c r="DA106" s="378"/>
      <c r="DB106" s="378"/>
      <c r="DC106" s="378"/>
      <c r="DD106" s="378"/>
      <c r="DE106" s="378"/>
      <c r="DF106" s="378"/>
      <c r="DG106" s="378"/>
      <c r="DH106" s="378"/>
      <c r="DI106" s="378"/>
      <c r="DJ106" s="378"/>
      <c r="DK106" s="378"/>
      <c r="DL106" s="378"/>
      <c r="DM106" s="378"/>
      <c r="DN106" s="378"/>
      <c r="DO106" s="378"/>
      <c r="DP106" s="378"/>
      <c r="DQ106" s="378"/>
      <c r="DR106" s="378"/>
      <c r="DS106" s="378"/>
      <c r="DT106" s="378"/>
      <c r="DU106" s="378"/>
      <c r="DV106" s="378"/>
      <c r="DW106" s="378"/>
      <c r="DX106" s="378"/>
      <c r="DY106" s="378"/>
      <c r="DZ106" s="378"/>
      <c r="EA106" s="378"/>
      <c r="EB106" s="378"/>
      <c r="EC106" s="378"/>
      <c r="ED106" s="378"/>
      <c r="EE106" s="378"/>
      <c r="EF106" s="378"/>
      <c r="EG106" s="378"/>
      <c r="EH106" s="378"/>
      <c r="EI106" s="378"/>
      <c r="EJ106" s="378"/>
      <c r="EK106" s="378"/>
      <c r="EL106" s="378"/>
      <c r="EM106" s="378"/>
      <c r="EN106" s="378"/>
      <c r="EO106" s="378"/>
      <c r="EP106" s="378"/>
      <c r="EQ106" s="378"/>
      <c r="ER106" s="378"/>
      <c r="ES106" s="378"/>
      <c r="ET106" s="378"/>
      <c r="EU106" s="378"/>
      <c r="EV106" s="378"/>
      <c r="EW106" s="378"/>
      <c r="EX106" s="378"/>
      <c r="EY106" s="378"/>
      <c r="EZ106" s="378"/>
      <c r="FA106" s="378"/>
      <c r="FB106" s="378"/>
      <c r="FC106" s="378"/>
      <c r="FD106" s="378"/>
      <c r="FE106" s="378"/>
      <c r="FF106" s="378"/>
      <c r="FG106" s="378"/>
      <c r="FH106" s="378"/>
      <c r="FI106" s="378"/>
      <c r="FJ106" s="378"/>
      <c r="FK106" s="378"/>
      <c r="FL106" s="378"/>
      <c r="FM106" s="378"/>
      <c r="FN106" s="378"/>
      <c r="FO106" s="378"/>
      <c r="FP106" s="378"/>
      <c r="FQ106" s="378"/>
      <c r="FR106" s="378"/>
      <c r="FS106" s="378"/>
      <c r="FT106" s="378"/>
      <c r="FU106" s="378"/>
      <c r="FV106" s="378"/>
      <c r="FW106" s="378"/>
      <c r="FX106" s="378"/>
      <c r="FY106" s="378"/>
      <c r="FZ106" s="378"/>
      <c r="GA106" s="378"/>
      <c r="GB106" s="378"/>
      <c r="GC106" s="378"/>
      <c r="GD106" s="378"/>
      <c r="GE106" s="378"/>
      <c r="GF106" s="378"/>
      <c r="GG106" s="378"/>
      <c r="GH106" s="378"/>
      <c r="GI106" s="378"/>
      <c r="GJ106" s="378"/>
      <c r="GK106" s="378"/>
      <c r="GL106" s="378"/>
      <c r="GM106" s="378"/>
      <c r="GN106" s="378"/>
      <c r="GO106" s="378"/>
      <c r="GP106" s="378"/>
      <c r="GQ106" s="378"/>
      <c r="GR106" s="378"/>
      <c r="GS106" s="378"/>
      <c r="GT106" s="378"/>
      <c r="GU106" s="378"/>
      <c r="GV106" s="378"/>
      <c r="GW106" s="378"/>
      <c r="GX106" s="378"/>
      <c r="GY106" s="378"/>
      <c r="GZ106" s="378"/>
      <c r="HA106" s="378"/>
      <c r="HB106" s="378"/>
      <c r="HC106" s="378"/>
      <c r="HD106" s="378"/>
      <c r="HE106" s="378"/>
      <c r="HF106" s="378"/>
      <c r="HG106" s="378"/>
      <c r="HH106" s="378"/>
      <c r="HI106" s="378"/>
      <c r="HJ106" s="378"/>
      <c r="HK106" s="378"/>
      <c r="HL106" s="378"/>
      <c r="HM106" s="378"/>
      <c r="HN106" s="378"/>
      <c r="HO106" s="378"/>
      <c r="HP106" s="378"/>
      <c r="HQ106" s="378"/>
      <c r="HR106" s="378"/>
      <c r="HS106" s="378"/>
      <c r="HT106" s="378"/>
      <c r="HU106" s="378"/>
      <c r="HV106" s="378"/>
      <c r="HW106" s="378"/>
      <c r="HX106" s="378"/>
      <c r="HY106" s="378"/>
      <c r="HZ106" s="378"/>
      <c r="IA106" s="378"/>
      <c r="IB106" s="378"/>
      <c r="IC106" s="378"/>
      <c r="ID106" s="378"/>
      <c r="IE106" s="378"/>
      <c r="IF106" s="378"/>
      <c r="IG106" s="378"/>
      <c r="IH106" s="378"/>
      <c r="II106" s="378"/>
      <c r="IJ106" s="378"/>
      <c r="IK106" s="378"/>
      <c r="IL106" s="378"/>
      <c r="IM106" s="378"/>
      <c r="IN106" s="378"/>
      <c r="IO106" s="378"/>
      <c r="IP106" s="378"/>
      <c r="IQ106" s="378"/>
      <c r="IR106" s="378"/>
      <c r="IS106" s="378"/>
      <c r="IT106" s="378"/>
      <c r="IU106" s="378"/>
      <c r="IV106" s="378"/>
      <c r="IW106" s="378"/>
      <c r="IX106" s="378"/>
      <c r="IY106" s="378"/>
      <c r="IZ106" s="378"/>
      <c r="JA106" s="378"/>
    </row>
    <row r="107" spans="2:261" s="379" customFormat="1">
      <c r="B107" s="374"/>
      <c r="C107" s="375"/>
      <c r="D107" s="403"/>
      <c r="E107" s="404"/>
      <c r="F107" s="406" t="str">
        <f>"Action plan 2A: "&amp;F27</f>
        <v>Action plan 2A:  (starting )</v>
      </c>
      <c r="G107" s="405"/>
      <c r="H107" s="376"/>
      <c r="I107" s="377"/>
      <c r="J107" s="378"/>
      <c r="K107" s="378"/>
      <c r="L107" s="378"/>
      <c r="M107" s="378"/>
      <c r="N107" s="378"/>
      <c r="O107" s="378"/>
      <c r="P107" s="378"/>
      <c r="Q107" s="378"/>
      <c r="R107" s="378"/>
      <c r="S107" s="378"/>
      <c r="T107" s="378"/>
      <c r="U107" s="378"/>
      <c r="V107" s="378"/>
      <c r="W107" s="378"/>
      <c r="X107" s="378"/>
      <c r="Y107" s="378"/>
      <c r="Z107" s="378"/>
      <c r="AA107" s="378"/>
      <c r="AB107" s="378"/>
      <c r="AC107" s="378"/>
      <c r="AD107" s="378"/>
      <c r="AE107" s="378"/>
      <c r="AF107" s="378"/>
      <c r="AG107" s="378"/>
      <c r="AH107" s="378"/>
      <c r="AI107" s="378"/>
      <c r="AJ107" s="378"/>
      <c r="AK107" s="378"/>
      <c r="AL107" s="378"/>
      <c r="AM107" s="378"/>
      <c r="AN107" s="378"/>
      <c r="AO107" s="378"/>
      <c r="AP107" s="378"/>
      <c r="AQ107" s="378"/>
      <c r="AR107" s="378"/>
      <c r="AS107" s="378"/>
      <c r="AT107" s="378"/>
      <c r="AU107" s="378"/>
      <c r="AV107" s="378"/>
      <c r="AW107" s="378"/>
      <c r="AX107" s="378"/>
      <c r="AY107" s="378"/>
      <c r="AZ107" s="378"/>
      <c r="BA107" s="378"/>
      <c r="BB107" s="378"/>
      <c r="BC107" s="378"/>
      <c r="BD107" s="378"/>
      <c r="BE107" s="378"/>
      <c r="BF107" s="378"/>
      <c r="BG107" s="378"/>
      <c r="BH107" s="378"/>
      <c r="BI107" s="378"/>
      <c r="BJ107" s="378"/>
      <c r="BK107" s="378"/>
      <c r="BL107" s="378"/>
      <c r="BM107" s="378"/>
      <c r="BN107" s="378"/>
      <c r="BO107" s="378"/>
      <c r="BP107" s="378"/>
      <c r="BQ107" s="378"/>
      <c r="BR107" s="378"/>
      <c r="BS107" s="378"/>
      <c r="BT107" s="378"/>
      <c r="BU107" s="378"/>
      <c r="BV107" s="378"/>
      <c r="BW107" s="378"/>
      <c r="BX107" s="378"/>
      <c r="BY107" s="378"/>
      <c r="BZ107" s="378"/>
      <c r="CA107" s="378"/>
      <c r="CB107" s="378"/>
      <c r="CC107" s="378"/>
      <c r="CD107" s="378"/>
      <c r="CE107" s="378"/>
      <c r="CF107" s="378"/>
      <c r="CG107" s="378"/>
      <c r="CH107" s="378"/>
      <c r="CI107" s="378"/>
      <c r="CJ107" s="378"/>
      <c r="CK107" s="378"/>
      <c r="CL107" s="378"/>
      <c r="CM107" s="378"/>
      <c r="CN107" s="378"/>
      <c r="CO107" s="378"/>
      <c r="CP107" s="378"/>
      <c r="CQ107" s="378"/>
      <c r="CR107" s="378"/>
      <c r="CS107" s="378"/>
      <c r="CT107" s="378"/>
      <c r="CU107" s="378"/>
      <c r="CV107" s="378"/>
      <c r="CW107" s="378"/>
      <c r="CX107" s="378"/>
      <c r="CY107" s="378"/>
      <c r="CZ107" s="378"/>
      <c r="DA107" s="378"/>
      <c r="DB107" s="378"/>
      <c r="DC107" s="378"/>
      <c r="DD107" s="378"/>
      <c r="DE107" s="378"/>
      <c r="DF107" s="378"/>
      <c r="DG107" s="378"/>
      <c r="DH107" s="378"/>
      <c r="DI107" s="378"/>
      <c r="DJ107" s="378"/>
      <c r="DK107" s="378"/>
      <c r="DL107" s="378"/>
      <c r="DM107" s="378"/>
      <c r="DN107" s="378"/>
      <c r="DO107" s="378"/>
      <c r="DP107" s="378"/>
      <c r="DQ107" s="378"/>
      <c r="DR107" s="378"/>
      <c r="DS107" s="378"/>
      <c r="DT107" s="378"/>
      <c r="DU107" s="378"/>
      <c r="DV107" s="378"/>
      <c r="DW107" s="378"/>
      <c r="DX107" s="378"/>
      <c r="DY107" s="378"/>
      <c r="DZ107" s="378"/>
      <c r="EA107" s="378"/>
      <c r="EB107" s="378"/>
      <c r="EC107" s="378"/>
      <c r="ED107" s="378"/>
      <c r="EE107" s="378"/>
      <c r="EF107" s="378"/>
      <c r="EG107" s="378"/>
      <c r="EH107" s="378"/>
      <c r="EI107" s="378"/>
      <c r="EJ107" s="378"/>
      <c r="EK107" s="378"/>
      <c r="EL107" s="378"/>
      <c r="EM107" s="378"/>
      <c r="EN107" s="378"/>
      <c r="EO107" s="378"/>
      <c r="EP107" s="378"/>
      <c r="EQ107" s="378"/>
      <c r="ER107" s="378"/>
      <c r="ES107" s="378"/>
      <c r="ET107" s="378"/>
      <c r="EU107" s="378"/>
      <c r="EV107" s="378"/>
      <c r="EW107" s="378"/>
      <c r="EX107" s="378"/>
      <c r="EY107" s="378"/>
      <c r="EZ107" s="378"/>
      <c r="FA107" s="378"/>
      <c r="FB107" s="378"/>
      <c r="FC107" s="378"/>
      <c r="FD107" s="378"/>
      <c r="FE107" s="378"/>
      <c r="FF107" s="378"/>
      <c r="FG107" s="378"/>
      <c r="FH107" s="378"/>
      <c r="FI107" s="378"/>
      <c r="FJ107" s="378"/>
      <c r="FK107" s="378"/>
      <c r="FL107" s="378"/>
      <c r="FM107" s="378"/>
      <c r="FN107" s="378"/>
      <c r="FO107" s="378"/>
      <c r="FP107" s="378"/>
      <c r="FQ107" s="378"/>
      <c r="FR107" s="378"/>
      <c r="FS107" s="378"/>
      <c r="FT107" s="378"/>
      <c r="FU107" s="378"/>
      <c r="FV107" s="378"/>
      <c r="FW107" s="378"/>
      <c r="FX107" s="378"/>
      <c r="FY107" s="378"/>
      <c r="FZ107" s="378"/>
      <c r="GA107" s="378"/>
      <c r="GB107" s="378"/>
      <c r="GC107" s="378"/>
      <c r="GD107" s="378"/>
      <c r="GE107" s="378"/>
      <c r="GF107" s="378"/>
      <c r="GG107" s="378"/>
      <c r="GH107" s="378"/>
      <c r="GI107" s="378"/>
      <c r="GJ107" s="378"/>
      <c r="GK107" s="378"/>
      <c r="GL107" s="378"/>
      <c r="GM107" s="378"/>
      <c r="GN107" s="378"/>
      <c r="GO107" s="378"/>
      <c r="GP107" s="378"/>
      <c r="GQ107" s="378"/>
      <c r="GR107" s="378"/>
      <c r="GS107" s="378"/>
      <c r="GT107" s="378"/>
      <c r="GU107" s="378"/>
      <c r="GV107" s="378"/>
      <c r="GW107" s="378"/>
      <c r="GX107" s="378"/>
      <c r="GY107" s="378"/>
      <c r="GZ107" s="378"/>
      <c r="HA107" s="378"/>
      <c r="HB107" s="378"/>
      <c r="HC107" s="378"/>
      <c r="HD107" s="378"/>
      <c r="HE107" s="378"/>
      <c r="HF107" s="378"/>
      <c r="HG107" s="378"/>
      <c r="HH107" s="378"/>
      <c r="HI107" s="378"/>
      <c r="HJ107" s="378"/>
      <c r="HK107" s="378"/>
      <c r="HL107" s="378"/>
      <c r="HM107" s="378"/>
      <c r="HN107" s="378"/>
      <c r="HO107" s="378"/>
      <c r="HP107" s="378"/>
      <c r="HQ107" s="378"/>
      <c r="HR107" s="378"/>
      <c r="HS107" s="378"/>
      <c r="HT107" s="378"/>
      <c r="HU107" s="378"/>
      <c r="HV107" s="378"/>
      <c r="HW107" s="378"/>
      <c r="HX107" s="378"/>
      <c r="HY107" s="378"/>
      <c r="HZ107" s="378"/>
      <c r="IA107" s="378"/>
      <c r="IB107" s="378"/>
      <c r="IC107" s="378"/>
      <c r="ID107" s="378"/>
      <c r="IE107" s="378"/>
      <c r="IF107" s="378"/>
      <c r="IG107" s="378"/>
      <c r="IH107" s="378"/>
      <c r="II107" s="378"/>
      <c r="IJ107" s="378"/>
      <c r="IK107" s="378"/>
      <c r="IL107" s="378"/>
      <c r="IM107" s="378"/>
      <c r="IN107" s="378"/>
      <c r="IO107" s="378"/>
      <c r="IP107" s="378"/>
      <c r="IQ107" s="378"/>
      <c r="IR107" s="378"/>
      <c r="IS107" s="378"/>
      <c r="IT107" s="378"/>
      <c r="IU107" s="378"/>
      <c r="IV107" s="378"/>
      <c r="IW107" s="378"/>
      <c r="IX107" s="378"/>
      <c r="IY107" s="378"/>
      <c r="IZ107" s="378"/>
      <c r="JA107" s="378"/>
    </row>
    <row r="108" spans="2:261" s="379" customFormat="1">
      <c r="B108" s="374"/>
      <c r="C108" s="375"/>
      <c r="D108" s="403"/>
      <c r="E108" s="404"/>
      <c r="F108" s="409" t="str">
        <f>"    Actual action: "&amp;F28</f>
        <v xml:space="preserve">    Actual action: </v>
      </c>
      <c r="G108" s="405"/>
      <c r="H108" s="376"/>
      <c r="I108" s="377"/>
      <c r="J108" s="378"/>
      <c r="K108" s="378"/>
      <c r="L108" s="378"/>
      <c r="M108" s="378"/>
      <c r="N108" s="378"/>
      <c r="O108" s="378"/>
      <c r="P108" s="378"/>
      <c r="Q108" s="378"/>
      <c r="R108" s="378"/>
      <c r="S108" s="378"/>
      <c r="T108" s="378"/>
      <c r="U108" s="378"/>
      <c r="V108" s="378"/>
      <c r="W108" s="378"/>
      <c r="X108" s="378"/>
      <c r="Y108" s="378"/>
      <c r="Z108" s="378"/>
      <c r="AA108" s="378"/>
      <c r="AB108" s="378"/>
      <c r="AC108" s="378"/>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78"/>
      <c r="AY108" s="378"/>
      <c r="AZ108" s="378"/>
      <c r="BA108" s="378"/>
      <c r="BB108" s="378"/>
      <c r="BC108" s="378"/>
      <c r="BD108" s="378"/>
      <c r="BE108" s="378"/>
      <c r="BF108" s="378"/>
      <c r="BG108" s="378"/>
      <c r="BH108" s="378"/>
      <c r="BI108" s="378"/>
      <c r="BJ108" s="378"/>
      <c r="BK108" s="378"/>
      <c r="BL108" s="378"/>
      <c r="BM108" s="378"/>
      <c r="BN108" s="378"/>
      <c r="BO108" s="378"/>
      <c r="BP108" s="378"/>
      <c r="BQ108" s="378"/>
      <c r="BR108" s="378"/>
      <c r="BS108" s="378"/>
      <c r="BT108" s="378"/>
      <c r="BU108" s="378"/>
      <c r="BV108" s="378"/>
      <c r="BW108" s="378"/>
      <c r="BX108" s="378"/>
      <c r="BY108" s="378"/>
      <c r="BZ108" s="378"/>
      <c r="CA108" s="378"/>
      <c r="CB108" s="378"/>
      <c r="CC108" s="378"/>
      <c r="CD108" s="378"/>
      <c r="CE108" s="378"/>
      <c r="CF108" s="378"/>
      <c r="CG108" s="378"/>
      <c r="CH108" s="378"/>
      <c r="CI108" s="378"/>
      <c r="CJ108" s="378"/>
      <c r="CK108" s="378"/>
      <c r="CL108" s="378"/>
      <c r="CM108" s="378"/>
      <c r="CN108" s="378"/>
      <c r="CO108" s="378"/>
      <c r="CP108" s="378"/>
      <c r="CQ108" s="378"/>
      <c r="CR108" s="378"/>
      <c r="CS108" s="378"/>
      <c r="CT108" s="378"/>
      <c r="CU108" s="378"/>
      <c r="CV108" s="378"/>
      <c r="CW108" s="378"/>
      <c r="CX108" s="378"/>
      <c r="CY108" s="378"/>
      <c r="CZ108" s="378"/>
      <c r="DA108" s="378"/>
      <c r="DB108" s="378"/>
      <c r="DC108" s="378"/>
      <c r="DD108" s="378"/>
      <c r="DE108" s="378"/>
      <c r="DF108" s="378"/>
      <c r="DG108" s="378"/>
      <c r="DH108" s="378"/>
      <c r="DI108" s="378"/>
      <c r="DJ108" s="378"/>
      <c r="DK108" s="378"/>
      <c r="DL108" s="378"/>
      <c r="DM108" s="378"/>
      <c r="DN108" s="378"/>
      <c r="DO108" s="378"/>
      <c r="DP108" s="378"/>
      <c r="DQ108" s="378"/>
      <c r="DR108" s="378"/>
      <c r="DS108" s="378"/>
      <c r="DT108" s="378"/>
      <c r="DU108" s="378"/>
      <c r="DV108" s="378"/>
      <c r="DW108" s="378"/>
      <c r="DX108" s="378"/>
      <c r="DY108" s="378"/>
      <c r="DZ108" s="378"/>
      <c r="EA108" s="378"/>
      <c r="EB108" s="378"/>
      <c r="EC108" s="378"/>
      <c r="ED108" s="378"/>
      <c r="EE108" s="378"/>
      <c r="EF108" s="378"/>
      <c r="EG108" s="378"/>
      <c r="EH108" s="378"/>
      <c r="EI108" s="378"/>
      <c r="EJ108" s="378"/>
      <c r="EK108" s="378"/>
      <c r="EL108" s="378"/>
      <c r="EM108" s="378"/>
      <c r="EN108" s="378"/>
      <c r="EO108" s="378"/>
      <c r="EP108" s="378"/>
      <c r="EQ108" s="378"/>
      <c r="ER108" s="378"/>
      <c r="ES108" s="378"/>
      <c r="ET108" s="378"/>
      <c r="EU108" s="378"/>
      <c r="EV108" s="378"/>
      <c r="EW108" s="378"/>
      <c r="EX108" s="378"/>
      <c r="EY108" s="378"/>
      <c r="EZ108" s="378"/>
      <c r="FA108" s="378"/>
      <c r="FB108" s="378"/>
      <c r="FC108" s="378"/>
      <c r="FD108" s="378"/>
      <c r="FE108" s="378"/>
      <c r="FF108" s="378"/>
      <c r="FG108" s="378"/>
      <c r="FH108" s="378"/>
      <c r="FI108" s="378"/>
      <c r="FJ108" s="378"/>
      <c r="FK108" s="378"/>
      <c r="FL108" s="378"/>
      <c r="FM108" s="378"/>
      <c r="FN108" s="378"/>
      <c r="FO108" s="378"/>
      <c r="FP108" s="378"/>
      <c r="FQ108" s="378"/>
      <c r="FR108" s="378"/>
      <c r="FS108" s="378"/>
      <c r="FT108" s="378"/>
      <c r="FU108" s="378"/>
      <c r="FV108" s="378"/>
      <c r="FW108" s="378"/>
      <c r="FX108" s="378"/>
      <c r="FY108" s="378"/>
      <c r="FZ108" s="378"/>
      <c r="GA108" s="378"/>
      <c r="GB108" s="378"/>
      <c r="GC108" s="378"/>
      <c r="GD108" s="378"/>
      <c r="GE108" s="378"/>
      <c r="GF108" s="378"/>
      <c r="GG108" s="378"/>
      <c r="GH108" s="378"/>
      <c r="GI108" s="378"/>
      <c r="GJ108" s="378"/>
      <c r="GK108" s="378"/>
      <c r="GL108" s="378"/>
      <c r="GM108" s="378"/>
      <c r="GN108" s="378"/>
      <c r="GO108" s="378"/>
      <c r="GP108" s="378"/>
      <c r="GQ108" s="378"/>
      <c r="GR108" s="378"/>
      <c r="GS108" s="378"/>
      <c r="GT108" s="378"/>
      <c r="GU108" s="378"/>
      <c r="GV108" s="378"/>
      <c r="GW108" s="378"/>
      <c r="GX108" s="378"/>
      <c r="GY108" s="378"/>
      <c r="GZ108" s="378"/>
      <c r="HA108" s="378"/>
      <c r="HB108" s="378"/>
      <c r="HC108" s="378"/>
      <c r="HD108" s="378"/>
      <c r="HE108" s="378"/>
      <c r="HF108" s="378"/>
      <c r="HG108" s="378"/>
      <c r="HH108" s="378"/>
      <c r="HI108" s="378"/>
      <c r="HJ108" s="378"/>
      <c r="HK108" s="378"/>
      <c r="HL108" s="378"/>
      <c r="HM108" s="378"/>
      <c r="HN108" s="378"/>
      <c r="HO108" s="378"/>
      <c r="HP108" s="378"/>
      <c r="HQ108" s="378"/>
      <c r="HR108" s="378"/>
      <c r="HS108" s="378"/>
      <c r="HT108" s="378"/>
      <c r="HU108" s="378"/>
      <c r="HV108" s="378"/>
      <c r="HW108" s="378"/>
      <c r="HX108" s="378"/>
      <c r="HY108" s="378"/>
      <c r="HZ108" s="378"/>
      <c r="IA108" s="378"/>
      <c r="IB108" s="378"/>
      <c r="IC108" s="378"/>
      <c r="ID108" s="378"/>
      <c r="IE108" s="378"/>
      <c r="IF108" s="378"/>
      <c r="IG108" s="378"/>
      <c r="IH108" s="378"/>
      <c r="II108" s="378"/>
      <c r="IJ108" s="378"/>
      <c r="IK108" s="378"/>
      <c r="IL108" s="378"/>
      <c r="IM108" s="378"/>
      <c r="IN108" s="378"/>
      <c r="IO108" s="378"/>
      <c r="IP108" s="378"/>
      <c r="IQ108" s="378"/>
      <c r="IR108" s="378"/>
      <c r="IS108" s="378"/>
      <c r="IT108" s="378"/>
      <c r="IU108" s="378"/>
      <c r="IV108" s="378"/>
      <c r="IW108" s="378"/>
      <c r="IX108" s="378"/>
      <c r="IY108" s="378"/>
      <c r="IZ108" s="378"/>
      <c r="JA108" s="378"/>
    </row>
    <row r="109" spans="2:261" s="379" customFormat="1">
      <c r="B109" s="374"/>
      <c r="C109" s="375"/>
      <c r="D109" s="403"/>
      <c r="E109" s="404"/>
      <c r="F109" s="406" t="str">
        <f>"Action plan 2B: "&amp;F29</f>
        <v>Action plan 2B:  (starting )</v>
      </c>
      <c r="G109" s="405"/>
      <c r="H109" s="376"/>
      <c r="I109" s="377"/>
      <c r="J109" s="378"/>
      <c r="K109" s="378"/>
      <c r="L109" s="378"/>
      <c r="M109" s="378"/>
      <c r="N109" s="378"/>
      <c r="O109" s="378"/>
      <c r="P109" s="378"/>
      <c r="Q109" s="378"/>
      <c r="R109" s="378"/>
      <c r="S109" s="378"/>
      <c r="T109" s="378"/>
      <c r="U109" s="378"/>
      <c r="V109" s="378"/>
      <c r="W109" s="378"/>
      <c r="X109" s="378"/>
      <c r="Y109" s="378"/>
      <c r="Z109" s="378"/>
      <c r="AA109" s="378"/>
      <c r="AB109" s="378"/>
      <c r="AC109" s="378"/>
      <c r="AD109" s="378"/>
      <c r="AE109" s="378"/>
      <c r="AF109" s="378"/>
      <c r="AG109" s="378"/>
      <c r="AH109" s="378"/>
      <c r="AI109" s="378"/>
      <c r="AJ109" s="378"/>
      <c r="AK109" s="378"/>
      <c r="AL109" s="378"/>
      <c r="AM109" s="378"/>
      <c r="AN109" s="378"/>
      <c r="AO109" s="378"/>
      <c r="AP109" s="378"/>
      <c r="AQ109" s="378"/>
      <c r="AR109" s="378"/>
      <c r="AS109" s="378"/>
      <c r="AT109" s="378"/>
      <c r="AU109" s="378"/>
      <c r="AV109" s="378"/>
      <c r="AW109" s="378"/>
      <c r="AX109" s="378"/>
      <c r="AY109" s="378"/>
      <c r="AZ109" s="378"/>
      <c r="BA109" s="378"/>
      <c r="BB109" s="378"/>
      <c r="BC109" s="378"/>
      <c r="BD109" s="378"/>
      <c r="BE109" s="378"/>
      <c r="BF109" s="378"/>
      <c r="BG109" s="378"/>
      <c r="BH109" s="378"/>
      <c r="BI109" s="378"/>
      <c r="BJ109" s="378"/>
      <c r="BK109" s="378"/>
      <c r="BL109" s="378"/>
      <c r="BM109" s="378"/>
      <c r="BN109" s="378"/>
      <c r="BO109" s="378"/>
      <c r="BP109" s="378"/>
      <c r="BQ109" s="378"/>
      <c r="BR109" s="378"/>
      <c r="BS109" s="378"/>
      <c r="BT109" s="378"/>
      <c r="BU109" s="378"/>
      <c r="BV109" s="378"/>
      <c r="BW109" s="378"/>
      <c r="BX109" s="378"/>
      <c r="BY109" s="378"/>
      <c r="BZ109" s="378"/>
      <c r="CA109" s="378"/>
      <c r="CB109" s="378"/>
      <c r="CC109" s="378"/>
      <c r="CD109" s="378"/>
      <c r="CE109" s="378"/>
      <c r="CF109" s="378"/>
      <c r="CG109" s="378"/>
      <c r="CH109" s="378"/>
      <c r="CI109" s="378"/>
      <c r="CJ109" s="378"/>
      <c r="CK109" s="378"/>
      <c r="CL109" s="378"/>
      <c r="CM109" s="378"/>
      <c r="CN109" s="378"/>
      <c r="CO109" s="378"/>
      <c r="CP109" s="378"/>
      <c r="CQ109" s="378"/>
      <c r="CR109" s="378"/>
      <c r="CS109" s="378"/>
      <c r="CT109" s="378"/>
      <c r="CU109" s="378"/>
      <c r="CV109" s="378"/>
      <c r="CW109" s="378"/>
      <c r="CX109" s="378"/>
      <c r="CY109" s="378"/>
      <c r="CZ109" s="378"/>
      <c r="DA109" s="378"/>
      <c r="DB109" s="378"/>
      <c r="DC109" s="378"/>
      <c r="DD109" s="378"/>
      <c r="DE109" s="378"/>
      <c r="DF109" s="378"/>
      <c r="DG109" s="378"/>
      <c r="DH109" s="378"/>
      <c r="DI109" s="378"/>
      <c r="DJ109" s="378"/>
      <c r="DK109" s="378"/>
      <c r="DL109" s="378"/>
      <c r="DM109" s="378"/>
      <c r="DN109" s="378"/>
      <c r="DO109" s="378"/>
      <c r="DP109" s="378"/>
      <c r="DQ109" s="378"/>
      <c r="DR109" s="378"/>
      <c r="DS109" s="378"/>
      <c r="DT109" s="378"/>
      <c r="DU109" s="378"/>
      <c r="DV109" s="378"/>
      <c r="DW109" s="378"/>
      <c r="DX109" s="378"/>
      <c r="DY109" s="378"/>
      <c r="DZ109" s="378"/>
      <c r="EA109" s="378"/>
      <c r="EB109" s="378"/>
      <c r="EC109" s="378"/>
      <c r="ED109" s="378"/>
      <c r="EE109" s="378"/>
      <c r="EF109" s="378"/>
      <c r="EG109" s="378"/>
      <c r="EH109" s="378"/>
      <c r="EI109" s="378"/>
      <c r="EJ109" s="378"/>
      <c r="EK109" s="378"/>
      <c r="EL109" s="378"/>
      <c r="EM109" s="378"/>
      <c r="EN109" s="378"/>
      <c r="EO109" s="378"/>
      <c r="EP109" s="378"/>
      <c r="EQ109" s="378"/>
      <c r="ER109" s="378"/>
      <c r="ES109" s="378"/>
      <c r="ET109" s="378"/>
      <c r="EU109" s="378"/>
      <c r="EV109" s="378"/>
      <c r="EW109" s="378"/>
      <c r="EX109" s="378"/>
      <c r="EY109" s="378"/>
      <c r="EZ109" s="378"/>
      <c r="FA109" s="378"/>
      <c r="FB109" s="378"/>
      <c r="FC109" s="378"/>
      <c r="FD109" s="378"/>
      <c r="FE109" s="378"/>
      <c r="FF109" s="378"/>
      <c r="FG109" s="378"/>
      <c r="FH109" s="378"/>
      <c r="FI109" s="378"/>
      <c r="FJ109" s="378"/>
      <c r="FK109" s="378"/>
      <c r="FL109" s="378"/>
      <c r="FM109" s="378"/>
      <c r="FN109" s="378"/>
      <c r="FO109" s="378"/>
      <c r="FP109" s="378"/>
      <c r="FQ109" s="378"/>
      <c r="FR109" s="378"/>
      <c r="FS109" s="378"/>
      <c r="FT109" s="378"/>
      <c r="FU109" s="378"/>
      <c r="FV109" s="378"/>
      <c r="FW109" s="378"/>
      <c r="FX109" s="378"/>
      <c r="FY109" s="378"/>
      <c r="FZ109" s="378"/>
      <c r="GA109" s="378"/>
      <c r="GB109" s="378"/>
      <c r="GC109" s="378"/>
      <c r="GD109" s="378"/>
      <c r="GE109" s="378"/>
      <c r="GF109" s="378"/>
      <c r="GG109" s="378"/>
      <c r="GH109" s="378"/>
      <c r="GI109" s="378"/>
      <c r="GJ109" s="378"/>
      <c r="GK109" s="378"/>
      <c r="GL109" s="378"/>
      <c r="GM109" s="378"/>
      <c r="GN109" s="378"/>
      <c r="GO109" s="378"/>
      <c r="GP109" s="378"/>
      <c r="GQ109" s="378"/>
      <c r="GR109" s="378"/>
      <c r="GS109" s="378"/>
      <c r="GT109" s="378"/>
      <c r="GU109" s="378"/>
      <c r="GV109" s="378"/>
      <c r="GW109" s="378"/>
      <c r="GX109" s="378"/>
      <c r="GY109" s="378"/>
      <c r="GZ109" s="378"/>
      <c r="HA109" s="378"/>
      <c r="HB109" s="378"/>
      <c r="HC109" s="378"/>
      <c r="HD109" s="378"/>
      <c r="HE109" s="378"/>
      <c r="HF109" s="378"/>
      <c r="HG109" s="378"/>
      <c r="HH109" s="378"/>
      <c r="HI109" s="378"/>
      <c r="HJ109" s="378"/>
      <c r="HK109" s="378"/>
      <c r="HL109" s="378"/>
      <c r="HM109" s="378"/>
      <c r="HN109" s="378"/>
      <c r="HO109" s="378"/>
      <c r="HP109" s="378"/>
      <c r="HQ109" s="378"/>
      <c r="HR109" s="378"/>
      <c r="HS109" s="378"/>
      <c r="HT109" s="378"/>
      <c r="HU109" s="378"/>
      <c r="HV109" s="378"/>
      <c r="HW109" s="378"/>
      <c r="HX109" s="378"/>
      <c r="HY109" s="378"/>
      <c r="HZ109" s="378"/>
      <c r="IA109" s="378"/>
      <c r="IB109" s="378"/>
      <c r="IC109" s="378"/>
      <c r="ID109" s="378"/>
      <c r="IE109" s="378"/>
      <c r="IF109" s="378"/>
      <c r="IG109" s="378"/>
      <c r="IH109" s="378"/>
      <c r="II109" s="378"/>
      <c r="IJ109" s="378"/>
      <c r="IK109" s="378"/>
      <c r="IL109" s="378"/>
      <c r="IM109" s="378"/>
      <c r="IN109" s="378"/>
      <c r="IO109" s="378"/>
      <c r="IP109" s="378"/>
      <c r="IQ109" s="378"/>
      <c r="IR109" s="378"/>
      <c r="IS109" s="378"/>
      <c r="IT109" s="378"/>
      <c r="IU109" s="378"/>
      <c r="IV109" s="378"/>
      <c r="IW109" s="378"/>
      <c r="IX109" s="378"/>
      <c r="IY109" s="378"/>
      <c r="IZ109" s="378"/>
      <c r="JA109" s="378"/>
    </row>
    <row r="110" spans="2:261" s="379" customFormat="1">
      <c r="B110" s="374"/>
      <c r="C110" s="375"/>
      <c r="D110" s="403"/>
      <c r="E110" s="403"/>
      <c r="F110" s="409" t="str">
        <f>"    Actual action: "&amp;F30</f>
        <v xml:space="preserve">    Actual action: </v>
      </c>
      <c r="G110" s="403"/>
      <c r="H110" s="376"/>
      <c r="I110" s="377"/>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8"/>
      <c r="AG110" s="378"/>
      <c r="AH110" s="378"/>
      <c r="AI110" s="378"/>
      <c r="AJ110" s="378"/>
      <c r="AK110" s="378"/>
      <c r="AL110" s="378"/>
      <c r="AM110" s="378"/>
      <c r="AN110" s="378"/>
      <c r="AO110" s="378"/>
      <c r="AP110" s="378"/>
      <c r="AQ110" s="378"/>
      <c r="AR110" s="378"/>
      <c r="AS110" s="378"/>
      <c r="AT110" s="378"/>
      <c r="AU110" s="378"/>
      <c r="AV110" s="378"/>
      <c r="AW110" s="378"/>
      <c r="AX110" s="378"/>
      <c r="AY110" s="378"/>
      <c r="AZ110" s="378"/>
      <c r="BA110" s="378"/>
      <c r="BB110" s="378"/>
      <c r="BC110" s="378"/>
      <c r="BD110" s="378"/>
      <c r="BE110" s="378"/>
      <c r="BF110" s="378"/>
      <c r="BG110" s="378"/>
      <c r="BH110" s="378"/>
      <c r="BI110" s="378"/>
      <c r="BJ110" s="378"/>
      <c r="BK110" s="378"/>
      <c r="BL110" s="378"/>
      <c r="BM110" s="378"/>
      <c r="BN110" s="378"/>
      <c r="BO110" s="378"/>
      <c r="BP110" s="378"/>
      <c r="BQ110" s="378"/>
      <c r="BR110" s="378"/>
      <c r="BS110" s="378"/>
      <c r="BT110" s="378"/>
      <c r="BU110" s="378"/>
      <c r="BV110" s="378"/>
      <c r="BW110" s="378"/>
      <c r="BX110" s="378"/>
      <c r="BY110" s="378"/>
      <c r="BZ110" s="378"/>
      <c r="CA110" s="378"/>
      <c r="CB110" s="378"/>
      <c r="CC110" s="378"/>
      <c r="CD110" s="378"/>
      <c r="CE110" s="378"/>
      <c r="CF110" s="378"/>
      <c r="CG110" s="378"/>
      <c r="CH110" s="378"/>
      <c r="CI110" s="378"/>
      <c r="CJ110" s="378"/>
      <c r="CK110" s="378"/>
      <c r="CL110" s="378"/>
      <c r="CM110" s="378"/>
      <c r="CN110" s="378"/>
      <c r="CO110" s="378"/>
      <c r="CP110" s="378"/>
      <c r="CQ110" s="378"/>
      <c r="CR110" s="378"/>
      <c r="CS110" s="378"/>
      <c r="CT110" s="378"/>
      <c r="CU110" s="378"/>
      <c r="CV110" s="378"/>
      <c r="CW110" s="378"/>
      <c r="CX110" s="378"/>
      <c r="CY110" s="378"/>
      <c r="CZ110" s="378"/>
      <c r="DA110" s="378"/>
      <c r="DB110" s="378"/>
      <c r="DC110" s="378"/>
      <c r="DD110" s="378"/>
      <c r="DE110" s="378"/>
      <c r="DF110" s="378"/>
      <c r="DG110" s="378"/>
      <c r="DH110" s="378"/>
      <c r="DI110" s="378"/>
      <c r="DJ110" s="378"/>
      <c r="DK110" s="378"/>
      <c r="DL110" s="378"/>
      <c r="DM110" s="378"/>
      <c r="DN110" s="378"/>
      <c r="DO110" s="378"/>
      <c r="DP110" s="378"/>
      <c r="DQ110" s="378"/>
      <c r="DR110" s="378"/>
      <c r="DS110" s="378"/>
      <c r="DT110" s="378"/>
      <c r="DU110" s="378"/>
      <c r="DV110" s="378"/>
      <c r="DW110" s="378"/>
      <c r="DX110" s="378"/>
      <c r="DY110" s="378"/>
      <c r="DZ110" s="378"/>
      <c r="EA110" s="378"/>
      <c r="EB110" s="378"/>
      <c r="EC110" s="378"/>
      <c r="ED110" s="378"/>
      <c r="EE110" s="378"/>
      <c r="EF110" s="378"/>
      <c r="EG110" s="378"/>
      <c r="EH110" s="378"/>
      <c r="EI110" s="378"/>
      <c r="EJ110" s="378"/>
      <c r="EK110" s="378"/>
      <c r="EL110" s="378"/>
      <c r="EM110" s="378"/>
      <c r="EN110" s="378"/>
      <c r="EO110" s="378"/>
      <c r="EP110" s="378"/>
      <c r="EQ110" s="378"/>
      <c r="ER110" s="378"/>
      <c r="ES110" s="378"/>
      <c r="ET110" s="378"/>
      <c r="EU110" s="378"/>
      <c r="EV110" s="378"/>
      <c r="EW110" s="378"/>
      <c r="EX110" s="378"/>
      <c r="EY110" s="378"/>
      <c r="EZ110" s="378"/>
      <c r="FA110" s="378"/>
      <c r="FB110" s="378"/>
      <c r="FC110" s="378"/>
      <c r="FD110" s="378"/>
      <c r="FE110" s="378"/>
      <c r="FF110" s="378"/>
      <c r="FG110" s="378"/>
      <c r="FH110" s="378"/>
      <c r="FI110" s="378"/>
      <c r="FJ110" s="378"/>
      <c r="FK110" s="378"/>
      <c r="FL110" s="378"/>
      <c r="FM110" s="378"/>
      <c r="FN110" s="378"/>
      <c r="FO110" s="378"/>
      <c r="FP110" s="378"/>
      <c r="FQ110" s="378"/>
      <c r="FR110" s="378"/>
      <c r="FS110" s="378"/>
      <c r="FT110" s="378"/>
      <c r="FU110" s="378"/>
      <c r="FV110" s="378"/>
      <c r="FW110" s="378"/>
      <c r="FX110" s="378"/>
      <c r="FY110" s="378"/>
      <c r="FZ110" s="378"/>
      <c r="GA110" s="378"/>
      <c r="GB110" s="378"/>
      <c r="GC110" s="378"/>
      <c r="GD110" s="378"/>
      <c r="GE110" s="378"/>
      <c r="GF110" s="378"/>
      <c r="GG110" s="378"/>
      <c r="GH110" s="378"/>
      <c r="GI110" s="378"/>
      <c r="GJ110" s="378"/>
      <c r="GK110" s="378"/>
      <c r="GL110" s="378"/>
      <c r="GM110" s="378"/>
      <c r="GN110" s="378"/>
      <c r="GO110" s="378"/>
      <c r="GP110" s="378"/>
      <c r="GQ110" s="378"/>
      <c r="GR110" s="378"/>
      <c r="GS110" s="378"/>
      <c r="GT110" s="378"/>
      <c r="GU110" s="378"/>
      <c r="GV110" s="378"/>
      <c r="GW110" s="378"/>
      <c r="GX110" s="378"/>
      <c r="GY110" s="378"/>
      <c r="GZ110" s="378"/>
      <c r="HA110" s="378"/>
      <c r="HB110" s="378"/>
      <c r="HC110" s="378"/>
      <c r="HD110" s="378"/>
      <c r="HE110" s="378"/>
      <c r="HF110" s="378"/>
      <c r="HG110" s="378"/>
      <c r="HH110" s="378"/>
      <c r="HI110" s="378"/>
      <c r="HJ110" s="378"/>
      <c r="HK110" s="378"/>
      <c r="HL110" s="378"/>
      <c r="HM110" s="378"/>
      <c r="HN110" s="378"/>
      <c r="HO110" s="378"/>
      <c r="HP110" s="378"/>
      <c r="HQ110" s="378"/>
      <c r="HR110" s="378"/>
      <c r="HS110" s="378"/>
      <c r="HT110" s="378"/>
      <c r="HU110" s="378"/>
      <c r="HV110" s="378"/>
      <c r="HW110" s="378"/>
      <c r="HX110" s="378"/>
      <c r="HY110" s="378"/>
      <c r="HZ110" s="378"/>
      <c r="IA110" s="378"/>
      <c r="IB110" s="378"/>
      <c r="IC110" s="378"/>
      <c r="ID110" s="378"/>
      <c r="IE110" s="378"/>
      <c r="IF110" s="378"/>
      <c r="IG110" s="378"/>
      <c r="IH110" s="378"/>
      <c r="II110" s="378"/>
      <c r="IJ110" s="378"/>
      <c r="IK110" s="378"/>
      <c r="IL110" s="378"/>
      <c r="IM110" s="378"/>
      <c r="IN110" s="378"/>
      <c r="IO110" s="378"/>
      <c r="IP110" s="378"/>
      <c r="IQ110" s="378"/>
      <c r="IR110" s="378"/>
      <c r="IS110" s="378"/>
      <c r="IT110" s="378"/>
      <c r="IU110" s="378"/>
      <c r="IV110" s="378"/>
      <c r="IW110" s="378"/>
      <c r="IX110" s="378"/>
      <c r="IY110" s="378"/>
      <c r="IZ110" s="378"/>
      <c r="JA110" s="378"/>
    </row>
    <row r="111" spans="2:261" s="379" customFormat="1" ht="14">
      <c r="B111" s="374"/>
      <c r="C111" s="375"/>
      <c r="D111" s="402"/>
      <c r="E111" s="400"/>
      <c r="F111" s="406" t="str">
        <f>"Action plan 2C: "&amp;F31</f>
        <v>Action plan 2C:  (starting )</v>
      </c>
      <c r="G111" s="400"/>
      <c r="H111" s="376"/>
      <c r="I111" s="377"/>
      <c r="J111" s="378"/>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8"/>
      <c r="AG111" s="378"/>
      <c r="AH111" s="378"/>
      <c r="AI111" s="378"/>
      <c r="AJ111" s="378"/>
      <c r="AK111" s="378"/>
      <c r="AL111" s="378"/>
      <c r="AM111" s="378"/>
      <c r="AN111" s="378"/>
      <c r="AO111" s="378"/>
      <c r="AP111" s="378"/>
      <c r="AQ111" s="378"/>
      <c r="AR111" s="378"/>
      <c r="AS111" s="378"/>
      <c r="AT111" s="378"/>
      <c r="AU111" s="378"/>
      <c r="AV111" s="378"/>
      <c r="AW111" s="378"/>
      <c r="AX111" s="378"/>
      <c r="AY111" s="378"/>
      <c r="AZ111" s="378"/>
      <c r="BA111" s="378"/>
      <c r="BB111" s="378"/>
      <c r="BC111" s="378"/>
      <c r="BD111" s="378"/>
      <c r="BE111" s="378"/>
      <c r="BF111" s="378"/>
      <c r="BG111" s="378"/>
      <c r="BH111" s="378"/>
      <c r="BI111" s="378"/>
      <c r="BJ111" s="378"/>
      <c r="BK111" s="378"/>
      <c r="BL111" s="378"/>
      <c r="BM111" s="378"/>
      <c r="BN111" s="378"/>
      <c r="BO111" s="378"/>
      <c r="BP111" s="378"/>
      <c r="BQ111" s="378"/>
      <c r="BR111" s="378"/>
      <c r="BS111" s="378"/>
      <c r="BT111" s="378"/>
      <c r="BU111" s="378"/>
      <c r="BV111" s="378"/>
      <c r="BW111" s="378"/>
      <c r="BX111" s="378"/>
      <c r="BY111" s="378"/>
      <c r="BZ111" s="378"/>
      <c r="CA111" s="378"/>
      <c r="CB111" s="378"/>
      <c r="CC111" s="378"/>
      <c r="CD111" s="378"/>
      <c r="CE111" s="378"/>
      <c r="CF111" s="378"/>
      <c r="CG111" s="378"/>
      <c r="CH111" s="378"/>
      <c r="CI111" s="378"/>
      <c r="CJ111" s="378"/>
      <c r="CK111" s="378"/>
      <c r="CL111" s="378"/>
      <c r="CM111" s="378"/>
      <c r="CN111" s="378"/>
      <c r="CO111" s="378"/>
      <c r="CP111" s="378"/>
      <c r="CQ111" s="378"/>
      <c r="CR111" s="378"/>
      <c r="CS111" s="378"/>
      <c r="CT111" s="378"/>
      <c r="CU111" s="378"/>
      <c r="CV111" s="378"/>
      <c r="CW111" s="378"/>
      <c r="CX111" s="378"/>
      <c r="CY111" s="378"/>
      <c r="CZ111" s="378"/>
      <c r="DA111" s="378"/>
      <c r="DB111" s="378"/>
      <c r="DC111" s="378"/>
      <c r="DD111" s="378"/>
      <c r="DE111" s="378"/>
      <c r="DF111" s="378"/>
      <c r="DG111" s="378"/>
      <c r="DH111" s="378"/>
      <c r="DI111" s="378"/>
      <c r="DJ111" s="378"/>
      <c r="DK111" s="378"/>
      <c r="DL111" s="378"/>
      <c r="DM111" s="378"/>
      <c r="DN111" s="378"/>
      <c r="DO111" s="378"/>
      <c r="DP111" s="378"/>
      <c r="DQ111" s="378"/>
      <c r="DR111" s="378"/>
      <c r="DS111" s="378"/>
      <c r="DT111" s="378"/>
      <c r="DU111" s="378"/>
      <c r="DV111" s="378"/>
      <c r="DW111" s="378"/>
      <c r="DX111" s="378"/>
      <c r="DY111" s="378"/>
      <c r="DZ111" s="378"/>
      <c r="EA111" s="378"/>
      <c r="EB111" s="378"/>
      <c r="EC111" s="378"/>
      <c r="ED111" s="378"/>
      <c r="EE111" s="378"/>
      <c r="EF111" s="378"/>
      <c r="EG111" s="378"/>
      <c r="EH111" s="378"/>
      <c r="EI111" s="378"/>
      <c r="EJ111" s="378"/>
      <c r="EK111" s="378"/>
      <c r="EL111" s="378"/>
      <c r="EM111" s="378"/>
      <c r="EN111" s="378"/>
      <c r="EO111" s="378"/>
      <c r="EP111" s="378"/>
      <c r="EQ111" s="378"/>
      <c r="ER111" s="378"/>
      <c r="ES111" s="378"/>
      <c r="ET111" s="378"/>
      <c r="EU111" s="378"/>
      <c r="EV111" s="378"/>
      <c r="EW111" s="378"/>
      <c r="EX111" s="378"/>
      <c r="EY111" s="378"/>
      <c r="EZ111" s="378"/>
      <c r="FA111" s="378"/>
      <c r="FB111" s="378"/>
      <c r="FC111" s="378"/>
      <c r="FD111" s="378"/>
      <c r="FE111" s="378"/>
      <c r="FF111" s="378"/>
      <c r="FG111" s="378"/>
      <c r="FH111" s="378"/>
      <c r="FI111" s="378"/>
      <c r="FJ111" s="378"/>
      <c r="FK111" s="378"/>
      <c r="FL111" s="378"/>
      <c r="FM111" s="378"/>
      <c r="FN111" s="378"/>
      <c r="FO111" s="378"/>
      <c r="FP111" s="378"/>
      <c r="FQ111" s="378"/>
      <c r="FR111" s="378"/>
      <c r="FS111" s="378"/>
      <c r="FT111" s="378"/>
      <c r="FU111" s="378"/>
      <c r="FV111" s="378"/>
      <c r="FW111" s="378"/>
      <c r="FX111" s="378"/>
      <c r="FY111" s="378"/>
      <c r="FZ111" s="378"/>
      <c r="GA111" s="378"/>
      <c r="GB111" s="378"/>
      <c r="GC111" s="378"/>
      <c r="GD111" s="378"/>
      <c r="GE111" s="378"/>
      <c r="GF111" s="378"/>
      <c r="GG111" s="378"/>
      <c r="GH111" s="378"/>
      <c r="GI111" s="378"/>
      <c r="GJ111" s="378"/>
      <c r="GK111" s="378"/>
      <c r="GL111" s="378"/>
      <c r="GM111" s="378"/>
      <c r="GN111" s="378"/>
      <c r="GO111" s="378"/>
      <c r="GP111" s="378"/>
      <c r="GQ111" s="378"/>
      <c r="GR111" s="378"/>
      <c r="GS111" s="378"/>
      <c r="GT111" s="378"/>
      <c r="GU111" s="378"/>
      <c r="GV111" s="378"/>
      <c r="GW111" s="378"/>
      <c r="GX111" s="378"/>
      <c r="GY111" s="378"/>
      <c r="GZ111" s="378"/>
      <c r="HA111" s="378"/>
      <c r="HB111" s="378"/>
      <c r="HC111" s="378"/>
      <c r="HD111" s="378"/>
      <c r="HE111" s="378"/>
      <c r="HF111" s="378"/>
      <c r="HG111" s="378"/>
      <c r="HH111" s="378"/>
      <c r="HI111" s="378"/>
      <c r="HJ111" s="378"/>
      <c r="HK111" s="378"/>
      <c r="HL111" s="378"/>
      <c r="HM111" s="378"/>
      <c r="HN111" s="378"/>
      <c r="HO111" s="378"/>
      <c r="HP111" s="378"/>
      <c r="HQ111" s="378"/>
      <c r="HR111" s="378"/>
      <c r="HS111" s="378"/>
      <c r="HT111" s="378"/>
      <c r="HU111" s="378"/>
      <c r="HV111" s="378"/>
      <c r="HW111" s="378"/>
      <c r="HX111" s="378"/>
      <c r="HY111" s="378"/>
      <c r="HZ111" s="378"/>
      <c r="IA111" s="378"/>
      <c r="IB111" s="378"/>
      <c r="IC111" s="378"/>
      <c r="ID111" s="378"/>
      <c r="IE111" s="378"/>
      <c r="IF111" s="378"/>
      <c r="IG111" s="378"/>
      <c r="IH111" s="378"/>
      <c r="II111" s="378"/>
      <c r="IJ111" s="378"/>
      <c r="IK111" s="378"/>
      <c r="IL111" s="378"/>
      <c r="IM111" s="378"/>
      <c r="IN111" s="378"/>
      <c r="IO111" s="378"/>
      <c r="IP111" s="378"/>
      <c r="IQ111" s="378"/>
      <c r="IR111" s="378"/>
      <c r="IS111" s="378"/>
      <c r="IT111" s="378"/>
      <c r="IU111" s="378"/>
      <c r="IV111" s="378"/>
      <c r="IW111" s="378"/>
      <c r="IX111" s="378"/>
      <c r="IY111" s="378"/>
      <c r="IZ111" s="378"/>
      <c r="JA111" s="378"/>
    </row>
    <row r="112" spans="2:261" s="379" customFormat="1" ht="14">
      <c r="B112" s="374"/>
      <c r="C112" s="375"/>
      <c r="D112" s="402"/>
      <c r="E112" s="400"/>
      <c r="F112" s="409" t="str">
        <f>"    Actual action: "&amp;F32</f>
        <v xml:space="preserve">    Actual action: </v>
      </c>
      <c r="G112" s="400"/>
      <c r="H112" s="376"/>
      <c r="I112" s="377"/>
      <c r="J112" s="378"/>
      <c r="K112" s="378"/>
      <c r="L112" s="378"/>
      <c r="M112" s="378"/>
      <c r="N112" s="378"/>
      <c r="O112" s="378"/>
      <c r="P112" s="378"/>
      <c r="Q112" s="378"/>
      <c r="R112" s="378"/>
      <c r="S112" s="378"/>
      <c r="T112" s="378"/>
      <c r="U112" s="378"/>
      <c r="V112" s="378"/>
      <c r="W112" s="378"/>
      <c r="X112" s="378"/>
      <c r="Y112" s="378"/>
      <c r="Z112" s="378"/>
      <c r="AA112" s="378"/>
      <c r="AB112" s="378"/>
      <c r="AC112" s="378"/>
      <c r="AD112" s="378"/>
      <c r="AE112" s="378"/>
      <c r="AF112" s="378"/>
      <c r="AG112" s="378"/>
      <c r="AH112" s="378"/>
      <c r="AI112" s="378"/>
      <c r="AJ112" s="378"/>
      <c r="AK112" s="378"/>
      <c r="AL112" s="378"/>
      <c r="AM112" s="378"/>
      <c r="AN112" s="378"/>
      <c r="AO112" s="378"/>
      <c r="AP112" s="378"/>
      <c r="AQ112" s="378"/>
      <c r="AR112" s="378"/>
      <c r="AS112" s="378"/>
      <c r="AT112" s="378"/>
      <c r="AU112" s="378"/>
      <c r="AV112" s="378"/>
      <c r="AW112" s="378"/>
      <c r="AX112" s="378"/>
      <c r="AY112" s="378"/>
      <c r="AZ112" s="378"/>
      <c r="BA112" s="378"/>
      <c r="BB112" s="378"/>
      <c r="BC112" s="378"/>
      <c r="BD112" s="378"/>
      <c r="BE112" s="378"/>
      <c r="BF112" s="378"/>
      <c r="BG112" s="378"/>
      <c r="BH112" s="378"/>
      <c r="BI112" s="378"/>
      <c r="BJ112" s="378"/>
      <c r="BK112" s="378"/>
      <c r="BL112" s="378"/>
      <c r="BM112" s="378"/>
      <c r="BN112" s="378"/>
      <c r="BO112" s="378"/>
      <c r="BP112" s="378"/>
      <c r="BQ112" s="378"/>
      <c r="BR112" s="378"/>
      <c r="BS112" s="378"/>
      <c r="BT112" s="378"/>
      <c r="BU112" s="378"/>
      <c r="BV112" s="378"/>
      <c r="BW112" s="378"/>
      <c r="BX112" s="378"/>
      <c r="BY112" s="378"/>
      <c r="BZ112" s="378"/>
      <c r="CA112" s="378"/>
      <c r="CB112" s="378"/>
      <c r="CC112" s="378"/>
      <c r="CD112" s="378"/>
      <c r="CE112" s="378"/>
      <c r="CF112" s="378"/>
      <c r="CG112" s="378"/>
      <c r="CH112" s="378"/>
      <c r="CI112" s="378"/>
      <c r="CJ112" s="378"/>
      <c r="CK112" s="378"/>
      <c r="CL112" s="378"/>
      <c r="CM112" s="378"/>
      <c r="CN112" s="378"/>
      <c r="CO112" s="378"/>
      <c r="CP112" s="378"/>
      <c r="CQ112" s="378"/>
      <c r="CR112" s="378"/>
      <c r="CS112" s="378"/>
      <c r="CT112" s="378"/>
      <c r="CU112" s="378"/>
      <c r="CV112" s="378"/>
      <c r="CW112" s="378"/>
      <c r="CX112" s="378"/>
      <c r="CY112" s="378"/>
      <c r="CZ112" s="378"/>
      <c r="DA112" s="378"/>
      <c r="DB112" s="378"/>
      <c r="DC112" s="378"/>
      <c r="DD112" s="378"/>
      <c r="DE112" s="378"/>
      <c r="DF112" s="378"/>
      <c r="DG112" s="378"/>
      <c r="DH112" s="378"/>
      <c r="DI112" s="378"/>
      <c r="DJ112" s="378"/>
      <c r="DK112" s="378"/>
      <c r="DL112" s="378"/>
      <c r="DM112" s="378"/>
      <c r="DN112" s="378"/>
      <c r="DO112" s="378"/>
      <c r="DP112" s="378"/>
      <c r="DQ112" s="378"/>
      <c r="DR112" s="378"/>
      <c r="DS112" s="378"/>
      <c r="DT112" s="378"/>
      <c r="DU112" s="378"/>
      <c r="DV112" s="378"/>
      <c r="DW112" s="378"/>
      <c r="DX112" s="378"/>
      <c r="DY112" s="378"/>
      <c r="DZ112" s="378"/>
      <c r="EA112" s="378"/>
      <c r="EB112" s="378"/>
      <c r="EC112" s="378"/>
      <c r="ED112" s="378"/>
      <c r="EE112" s="378"/>
      <c r="EF112" s="378"/>
      <c r="EG112" s="378"/>
      <c r="EH112" s="378"/>
      <c r="EI112" s="378"/>
      <c r="EJ112" s="378"/>
      <c r="EK112" s="378"/>
      <c r="EL112" s="378"/>
      <c r="EM112" s="378"/>
      <c r="EN112" s="378"/>
      <c r="EO112" s="378"/>
      <c r="EP112" s="378"/>
      <c r="EQ112" s="378"/>
      <c r="ER112" s="378"/>
      <c r="ES112" s="378"/>
      <c r="ET112" s="378"/>
      <c r="EU112" s="378"/>
      <c r="EV112" s="378"/>
      <c r="EW112" s="378"/>
      <c r="EX112" s="378"/>
      <c r="EY112" s="378"/>
      <c r="EZ112" s="378"/>
      <c r="FA112" s="378"/>
      <c r="FB112" s="378"/>
      <c r="FC112" s="378"/>
      <c r="FD112" s="378"/>
      <c r="FE112" s="378"/>
      <c r="FF112" s="378"/>
      <c r="FG112" s="378"/>
      <c r="FH112" s="378"/>
      <c r="FI112" s="378"/>
      <c r="FJ112" s="378"/>
      <c r="FK112" s="378"/>
      <c r="FL112" s="378"/>
      <c r="FM112" s="378"/>
      <c r="FN112" s="378"/>
      <c r="FO112" s="378"/>
      <c r="FP112" s="378"/>
      <c r="FQ112" s="378"/>
      <c r="FR112" s="378"/>
      <c r="FS112" s="378"/>
      <c r="FT112" s="378"/>
      <c r="FU112" s="378"/>
      <c r="FV112" s="378"/>
      <c r="FW112" s="378"/>
      <c r="FX112" s="378"/>
      <c r="FY112" s="378"/>
      <c r="FZ112" s="378"/>
      <c r="GA112" s="378"/>
      <c r="GB112" s="378"/>
      <c r="GC112" s="378"/>
      <c r="GD112" s="378"/>
      <c r="GE112" s="378"/>
      <c r="GF112" s="378"/>
      <c r="GG112" s="378"/>
      <c r="GH112" s="378"/>
      <c r="GI112" s="378"/>
      <c r="GJ112" s="378"/>
      <c r="GK112" s="378"/>
      <c r="GL112" s="378"/>
      <c r="GM112" s="378"/>
      <c r="GN112" s="378"/>
      <c r="GO112" s="378"/>
      <c r="GP112" s="378"/>
      <c r="GQ112" s="378"/>
      <c r="GR112" s="378"/>
      <c r="GS112" s="378"/>
      <c r="GT112" s="378"/>
      <c r="GU112" s="378"/>
      <c r="GV112" s="378"/>
      <c r="GW112" s="378"/>
      <c r="GX112" s="378"/>
      <c r="GY112" s="378"/>
      <c r="GZ112" s="378"/>
      <c r="HA112" s="378"/>
      <c r="HB112" s="378"/>
      <c r="HC112" s="378"/>
      <c r="HD112" s="378"/>
      <c r="HE112" s="378"/>
      <c r="HF112" s="378"/>
      <c r="HG112" s="378"/>
      <c r="HH112" s="378"/>
      <c r="HI112" s="378"/>
      <c r="HJ112" s="378"/>
      <c r="HK112" s="378"/>
      <c r="HL112" s="378"/>
      <c r="HM112" s="378"/>
      <c r="HN112" s="378"/>
      <c r="HO112" s="378"/>
      <c r="HP112" s="378"/>
      <c r="HQ112" s="378"/>
      <c r="HR112" s="378"/>
      <c r="HS112" s="378"/>
      <c r="HT112" s="378"/>
      <c r="HU112" s="378"/>
      <c r="HV112" s="378"/>
      <c r="HW112" s="378"/>
      <c r="HX112" s="378"/>
      <c r="HY112" s="378"/>
      <c r="HZ112" s="378"/>
      <c r="IA112" s="378"/>
      <c r="IB112" s="378"/>
      <c r="IC112" s="378"/>
      <c r="ID112" s="378"/>
      <c r="IE112" s="378"/>
      <c r="IF112" s="378"/>
      <c r="IG112" s="378"/>
      <c r="IH112" s="378"/>
      <c r="II112" s="378"/>
      <c r="IJ112" s="378"/>
      <c r="IK112" s="378"/>
      <c r="IL112" s="378"/>
      <c r="IM112" s="378"/>
      <c r="IN112" s="378"/>
      <c r="IO112" s="378"/>
      <c r="IP112" s="378"/>
      <c r="IQ112" s="378"/>
      <c r="IR112" s="378"/>
      <c r="IS112" s="378"/>
      <c r="IT112" s="378"/>
      <c r="IU112" s="378"/>
      <c r="IV112" s="378"/>
      <c r="IW112" s="378"/>
      <c r="IX112" s="378"/>
      <c r="IY112" s="378"/>
      <c r="IZ112" s="378"/>
      <c r="JA112" s="378"/>
    </row>
    <row r="113" spans="2:261" s="379" customFormat="1">
      <c r="B113" s="374"/>
      <c r="C113" s="375"/>
      <c r="D113" s="403"/>
      <c r="E113" s="404"/>
      <c r="F113" s="406" t="str">
        <f>"Minimum gain ("&amp;'Planning Template'!$F$91&amp;") was "&amp;E34&amp;"."</f>
        <v>Minimum gain () was .</v>
      </c>
      <c r="G113" s="405"/>
      <c r="H113" s="376"/>
      <c r="I113" s="377"/>
      <c r="J113" s="378"/>
      <c r="K113" s="378"/>
      <c r="L113" s="378"/>
      <c r="M113" s="378"/>
      <c r="N113" s="378"/>
      <c r="O113" s="378"/>
      <c r="P113" s="378"/>
      <c r="Q113" s="378"/>
      <c r="R113" s="378"/>
      <c r="S113" s="378"/>
      <c r="T113" s="378"/>
      <c r="U113" s="378"/>
      <c r="V113" s="378"/>
      <c r="W113" s="378"/>
      <c r="X113" s="378"/>
      <c r="Y113" s="378"/>
      <c r="Z113" s="378"/>
      <c r="AA113" s="378"/>
      <c r="AB113" s="378"/>
      <c r="AC113" s="378"/>
      <c r="AD113" s="378"/>
      <c r="AE113" s="378"/>
      <c r="AF113" s="378"/>
      <c r="AG113" s="378"/>
      <c r="AH113" s="378"/>
      <c r="AI113" s="378"/>
      <c r="AJ113" s="378"/>
      <c r="AK113" s="378"/>
      <c r="AL113" s="378"/>
      <c r="AM113" s="378"/>
      <c r="AN113" s="378"/>
      <c r="AO113" s="378"/>
      <c r="AP113" s="378"/>
      <c r="AQ113" s="378"/>
      <c r="AR113" s="378"/>
      <c r="AS113" s="378"/>
      <c r="AT113" s="378"/>
      <c r="AU113" s="378"/>
      <c r="AV113" s="378"/>
      <c r="AW113" s="378"/>
      <c r="AX113" s="378"/>
      <c r="AY113" s="378"/>
      <c r="AZ113" s="378"/>
      <c r="BA113" s="378"/>
      <c r="BB113" s="378"/>
      <c r="BC113" s="378"/>
      <c r="BD113" s="378"/>
      <c r="BE113" s="378"/>
      <c r="BF113" s="378"/>
      <c r="BG113" s="378"/>
      <c r="BH113" s="378"/>
      <c r="BI113" s="378"/>
      <c r="BJ113" s="378"/>
      <c r="BK113" s="378"/>
      <c r="BL113" s="378"/>
      <c r="BM113" s="378"/>
      <c r="BN113" s="378"/>
      <c r="BO113" s="378"/>
      <c r="BP113" s="378"/>
      <c r="BQ113" s="378"/>
      <c r="BR113" s="378"/>
      <c r="BS113" s="378"/>
      <c r="BT113" s="378"/>
      <c r="BU113" s="378"/>
      <c r="BV113" s="378"/>
      <c r="BW113" s="378"/>
      <c r="BX113" s="378"/>
      <c r="BY113" s="378"/>
      <c r="BZ113" s="378"/>
      <c r="CA113" s="378"/>
      <c r="CB113" s="378"/>
      <c r="CC113" s="378"/>
      <c r="CD113" s="378"/>
      <c r="CE113" s="378"/>
      <c r="CF113" s="378"/>
      <c r="CG113" s="378"/>
      <c r="CH113" s="378"/>
      <c r="CI113" s="378"/>
      <c r="CJ113" s="378"/>
      <c r="CK113" s="378"/>
      <c r="CL113" s="378"/>
      <c r="CM113" s="378"/>
      <c r="CN113" s="378"/>
      <c r="CO113" s="378"/>
      <c r="CP113" s="378"/>
      <c r="CQ113" s="378"/>
      <c r="CR113" s="378"/>
      <c r="CS113" s="378"/>
      <c r="CT113" s="378"/>
      <c r="CU113" s="378"/>
      <c r="CV113" s="378"/>
      <c r="CW113" s="378"/>
      <c r="CX113" s="378"/>
      <c r="CY113" s="378"/>
      <c r="CZ113" s="378"/>
      <c r="DA113" s="378"/>
      <c r="DB113" s="378"/>
      <c r="DC113" s="378"/>
      <c r="DD113" s="378"/>
      <c r="DE113" s="378"/>
      <c r="DF113" s="378"/>
      <c r="DG113" s="378"/>
      <c r="DH113" s="378"/>
      <c r="DI113" s="378"/>
      <c r="DJ113" s="378"/>
      <c r="DK113" s="378"/>
      <c r="DL113" s="378"/>
      <c r="DM113" s="378"/>
      <c r="DN113" s="378"/>
      <c r="DO113" s="378"/>
      <c r="DP113" s="378"/>
      <c r="DQ113" s="378"/>
      <c r="DR113" s="378"/>
      <c r="DS113" s="378"/>
      <c r="DT113" s="378"/>
      <c r="DU113" s="378"/>
      <c r="DV113" s="378"/>
      <c r="DW113" s="378"/>
      <c r="DX113" s="378"/>
      <c r="DY113" s="378"/>
      <c r="DZ113" s="378"/>
      <c r="EA113" s="378"/>
      <c r="EB113" s="378"/>
      <c r="EC113" s="378"/>
      <c r="ED113" s="378"/>
      <c r="EE113" s="378"/>
      <c r="EF113" s="378"/>
      <c r="EG113" s="378"/>
      <c r="EH113" s="378"/>
      <c r="EI113" s="378"/>
      <c r="EJ113" s="378"/>
      <c r="EK113" s="378"/>
      <c r="EL113" s="378"/>
      <c r="EM113" s="378"/>
      <c r="EN113" s="378"/>
      <c r="EO113" s="378"/>
      <c r="EP113" s="378"/>
      <c r="EQ113" s="378"/>
      <c r="ER113" s="378"/>
      <c r="ES113" s="378"/>
      <c r="ET113" s="378"/>
      <c r="EU113" s="378"/>
      <c r="EV113" s="378"/>
      <c r="EW113" s="378"/>
      <c r="EX113" s="378"/>
      <c r="EY113" s="378"/>
      <c r="EZ113" s="378"/>
      <c r="FA113" s="378"/>
      <c r="FB113" s="378"/>
      <c r="FC113" s="378"/>
      <c r="FD113" s="378"/>
      <c r="FE113" s="378"/>
      <c r="FF113" s="378"/>
      <c r="FG113" s="378"/>
      <c r="FH113" s="378"/>
      <c r="FI113" s="378"/>
      <c r="FJ113" s="378"/>
      <c r="FK113" s="378"/>
      <c r="FL113" s="378"/>
      <c r="FM113" s="378"/>
      <c r="FN113" s="378"/>
      <c r="FO113" s="378"/>
      <c r="FP113" s="378"/>
      <c r="FQ113" s="378"/>
      <c r="FR113" s="378"/>
      <c r="FS113" s="378"/>
      <c r="FT113" s="378"/>
      <c r="FU113" s="378"/>
      <c r="FV113" s="378"/>
      <c r="FW113" s="378"/>
      <c r="FX113" s="378"/>
      <c r="FY113" s="378"/>
      <c r="FZ113" s="378"/>
      <c r="GA113" s="378"/>
      <c r="GB113" s="378"/>
      <c r="GC113" s="378"/>
      <c r="GD113" s="378"/>
      <c r="GE113" s="378"/>
      <c r="GF113" s="378"/>
      <c r="GG113" s="378"/>
      <c r="GH113" s="378"/>
      <c r="GI113" s="378"/>
      <c r="GJ113" s="378"/>
      <c r="GK113" s="378"/>
      <c r="GL113" s="378"/>
      <c r="GM113" s="378"/>
      <c r="GN113" s="378"/>
      <c r="GO113" s="378"/>
      <c r="GP113" s="378"/>
      <c r="GQ113" s="378"/>
      <c r="GR113" s="378"/>
      <c r="GS113" s="378"/>
      <c r="GT113" s="378"/>
      <c r="GU113" s="378"/>
      <c r="GV113" s="378"/>
      <c r="GW113" s="378"/>
      <c r="GX113" s="378"/>
      <c r="GY113" s="378"/>
      <c r="GZ113" s="378"/>
      <c r="HA113" s="378"/>
      <c r="HB113" s="378"/>
      <c r="HC113" s="378"/>
      <c r="HD113" s="378"/>
      <c r="HE113" s="378"/>
      <c r="HF113" s="378"/>
      <c r="HG113" s="378"/>
      <c r="HH113" s="378"/>
      <c r="HI113" s="378"/>
      <c r="HJ113" s="378"/>
      <c r="HK113" s="378"/>
      <c r="HL113" s="378"/>
      <c r="HM113" s="378"/>
      <c r="HN113" s="378"/>
      <c r="HO113" s="378"/>
      <c r="HP113" s="378"/>
      <c r="HQ113" s="378"/>
      <c r="HR113" s="378"/>
      <c r="HS113" s="378"/>
      <c r="HT113" s="378"/>
      <c r="HU113" s="378"/>
      <c r="HV113" s="378"/>
      <c r="HW113" s="378"/>
      <c r="HX113" s="378"/>
      <c r="HY113" s="378"/>
      <c r="HZ113" s="378"/>
      <c r="IA113" s="378"/>
      <c r="IB113" s="378"/>
      <c r="IC113" s="378"/>
      <c r="ID113" s="378"/>
      <c r="IE113" s="378"/>
      <c r="IF113" s="378"/>
      <c r="IG113" s="378"/>
      <c r="IH113" s="378"/>
      <c r="II113" s="378"/>
      <c r="IJ113" s="378"/>
      <c r="IK113" s="378"/>
      <c r="IL113" s="378"/>
      <c r="IM113" s="378"/>
      <c r="IN113" s="378"/>
      <c r="IO113" s="378"/>
      <c r="IP113" s="378"/>
      <c r="IQ113" s="378"/>
      <c r="IR113" s="378"/>
      <c r="IS113" s="378"/>
      <c r="IT113" s="378"/>
      <c r="IU113" s="378"/>
      <c r="IV113" s="378"/>
      <c r="IW113" s="378"/>
      <c r="IX113" s="378"/>
      <c r="IY113" s="378"/>
      <c r="IZ113" s="378"/>
      <c r="JA113" s="378"/>
    </row>
    <row r="114" spans="2:261" s="379" customFormat="1">
      <c r="B114" s="374"/>
      <c r="C114" s="375"/>
      <c r="D114" s="403"/>
      <c r="E114" s="404"/>
      <c r="F114" s="406"/>
      <c r="G114" s="405"/>
      <c r="H114" s="376"/>
      <c r="I114" s="377"/>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378"/>
      <c r="AS114" s="378"/>
      <c r="AT114" s="378"/>
      <c r="AU114" s="378"/>
      <c r="AV114" s="378"/>
      <c r="AW114" s="378"/>
      <c r="AX114" s="378"/>
      <c r="AY114" s="378"/>
      <c r="AZ114" s="378"/>
      <c r="BA114" s="378"/>
      <c r="BB114" s="378"/>
      <c r="BC114" s="378"/>
      <c r="BD114" s="378"/>
      <c r="BE114" s="378"/>
      <c r="BF114" s="378"/>
      <c r="BG114" s="378"/>
      <c r="BH114" s="378"/>
      <c r="BI114" s="378"/>
      <c r="BJ114" s="378"/>
      <c r="BK114" s="378"/>
      <c r="BL114" s="378"/>
      <c r="BM114" s="378"/>
      <c r="BN114" s="378"/>
      <c r="BO114" s="378"/>
      <c r="BP114" s="378"/>
      <c r="BQ114" s="378"/>
      <c r="BR114" s="378"/>
      <c r="BS114" s="378"/>
      <c r="BT114" s="378"/>
      <c r="BU114" s="378"/>
      <c r="BV114" s="378"/>
      <c r="BW114" s="378"/>
      <c r="BX114" s="378"/>
      <c r="BY114" s="378"/>
      <c r="BZ114" s="378"/>
      <c r="CA114" s="378"/>
      <c r="CB114" s="378"/>
      <c r="CC114" s="378"/>
      <c r="CD114" s="378"/>
      <c r="CE114" s="378"/>
      <c r="CF114" s="378"/>
      <c r="CG114" s="378"/>
      <c r="CH114" s="378"/>
      <c r="CI114" s="378"/>
      <c r="CJ114" s="378"/>
      <c r="CK114" s="378"/>
      <c r="CL114" s="378"/>
      <c r="CM114" s="378"/>
      <c r="CN114" s="378"/>
      <c r="CO114" s="378"/>
      <c r="CP114" s="378"/>
      <c r="CQ114" s="378"/>
      <c r="CR114" s="378"/>
      <c r="CS114" s="378"/>
      <c r="CT114" s="378"/>
      <c r="CU114" s="378"/>
      <c r="CV114" s="378"/>
      <c r="CW114" s="378"/>
      <c r="CX114" s="378"/>
      <c r="CY114" s="378"/>
      <c r="CZ114" s="378"/>
      <c r="DA114" s="378"/>
      <c r="DB114" s="378"/>
      <c r="DC114" s="378"/>
      <c r="DD114" s="378"/>
      <c r="DE114" s="378"/>
      <c r="DF114" s="378"/>
      <c r="DG114" s="378"/>
      <c r="DH114" s="378"/>
      <c r="DI114" s="378"/>
      <c r="DJ114" s="378"/>
      <c r="DK114" s="378"/>
      <c r="DL114" s="378"/>
      <c r="DM114" s="378"/>
      <c r="DN114" s="378"/>
      <c r="DO114" s="378"/>
      <c r="DP114" s="378"/>
      <c r="DQ114" s="378"/>
      <c r="DR114" s="378"/>
      <c r="DS114" s="378"/>
      <c r="DT114" s="378"/>
      <c r="DU114" s="378"/>
      <c r="DV114" s="378"/>
      <c r="DW114" s="378"/>
      <c r="DX114" s="378"/>
      <c r="DY114" s="378"/>
      <c r="DZ114" s="378"/>
      <c r="EA114" s="378"/>
      <c r="EB114" s="378"/>
      <c r="EC114" s="378"/>
      <c r="ED114" s="378"/>
      <c r="EE114" s="378"/>
      <c r="EF114" s="378"/>
      <c r="EG114" s="378"/>
      <c r="EH114" s="378"/>
      <c r="EI114" s="378"/>
      <c r="EJ114" s="378"/>
      <c r="EK114" s="378"/>
      <c r="EL114" s="378"/>
      <c r="EM114" s="378"/>
      <c r="EN114" s="378"/>
      <c r="EO114" s="378"/>
      <c r="EP114" s="378"/>
      <c r="EQ114" s="378"/>
      <c r="ER114" s="378"/>
      <c r="ES114" s="378"/>
      <c r="ET114" s="378"/>
      <c r="EU114" s="378"/>
      <c r="EV114" s="378"/>
      <c r="EW114" s="378"/>
      <c r="EX114" s="378"/>
      <c r="EY114" s="378"/>
      <c r="EZ114" s="378"/>
      <c r="FA114" s="378"/>
      <c r="FB114" s="378"/>
      <c r="FC114" s="378"/>
      <c r="FD114" s="378"/>
      <c r="FE114" s="378"/>
      <c r="FF114" s="378"/>
      <c r="FG114" s="378"/>
      <c r="FH114" s="378"/>
      <c r="FI114" s="378"/>
      <c r="FJ114" s="378"/>
      <c r="FK114" s="378"/>
      <c r="FL114" s="378"/>
      <c r="FM114" s="378"/>
      <c r="FN114" s="378"/>
      <c r="FO114" s="378"/>
      <c r="FP114" s="378"/>
      <c r="FQ114" s="378"/>
      <c r="FR114" s="378"/>
      <c r="FS114" s="378"/>
      <c r="FT114" s="378"/>
      <c r="FU114" s="378"/>
      <c r="FV114" s="378"/>
      <c r="FW114" s="378"/>
      <c r="FX114" s="378"/>
      <c r="FY114" s="378"/>
      <c r="FZ114" s="378"/>
      <c r="GA114" s="378"/>
      <c r="GB114" s="378"/>
      <c r="GC114" s="378"/>
      <c r="GD114" s="378"/>
      <c r="GE114" s="378"/>
      <c r="GF114" s="378"/>
      <c r="GG114" s="378"/>
      <c r="GH114" s="378"/>
      <c r="GI114" s="378"/>
      <c r="GJ114" s="378"/>
      <c r="GK114" s="378"/>
      <c r="GL114" s="378"/>
      <c r="GM114" s="378"/>
      <c r="GN114" s="378"/>
      <c r="GO114" s="378"/>
      <c r="GP114" s="378"/>
      <c r="GQ114" s="378"/>
      <c r="GR114" s="378"/>
      <c r="GS114" s="378"/>
      <c r="GT114" s="378"/>
      <c r="GU114" s="378"/>
      <c r="GV114" s="378"/>
      <c r="GW114" s="378"/>
      <c r="GX114" s="378"/>
      <c r="GY114" s="378"/>
      <c r="GZ114" s="378"/>
      <c r="HA114" s="378"/>
      <c r="HB114" s="378"/>
      <c r="HC114" s="378"/>
      <c r="HD114" s="378"/>
      <c r="HE114" s="378"/>
      <c r="HF114" s="378"/>
      <c r="HG114" s="378"/>
      <c r="HH114" s="378"/>
      <c r="HI114" s="378"/>
      <c r="HJ114" s="378"/>
      <c r="HK114" s="378"/>
      <c r="HL114" s="378"/>
      <c r="HM114" s="378"/>
      <c r="HN114" s="378"/>
      <c r="HO114" s="378"/>
      <c r="HP114" s="378"/>
      <c r="HQ114" s="378"/>
      <c r="HR114" s="378"/>
      <c r="HS114" s="378"/>
      <c r="HT114" s="378"/>
      <c r="HU114" s="378"/>
      <c r="HV114" s="378"/>
      <c r="HW114" s="378"/>
      <c r="HX114" s="378"/>
      <c r="HY114" s="378"/>
      <c r="HZ114" s="378"/>
      <c r="IA114" s="378"/>
      <c r="IB114" s="378"/>
      <c r="IC114" s="378"/>
      <c r="ID114" s="378"/>
      <c r="IE114" s="378"/>
      <c r="IF114" s="378"/>
      <c r="IG114" s="378"/>
      <c r="IH114" s="378"/>
      <c r="II114" s="378"/>
      <c r="IJ114" s="378"/>
      <c r="IK114" s="378"/>
      <c r="IL114" s="378"/>
      <c r="IM114" s="378"/>
      <c r="IN114" s="378"/>
      <c r="IO114" s="378"/>
      <c r="IP114" s="378"/>
      <c r="IQ114" s="378"/>
      <c r="IR114" s="378"/>
      <c r="IS114" s="378"/>
      <c r="IT114" s="378"/>
      <c r="IU114" s="378"/>
      <c r="IV114" s="378"/>
      <c r="IW114" s="378"/>
      <c r="IX114" s="378"/>
      <c r="IY114" s="378"/>
      <c r="IZ114" s="378"/>
      <c r="JA114" s="378"/>
    </row>
    <row r="115" spans="2:261" s="379" customFormat="1">
      <c r="B115" s="374"/>
      <c r="C115" s="375"/>
      <c r="D115" s="403"/>
      <c r="E115" s="404"/>
      <c r="F115" s="410" t="str">
        <f>"Objective "&amp;F37</f>
        <v xml:space="preserve">Objective </v>
      </c>
      <c r="G115" s="405"/>
      <c r="H115" s="376"/>
      <c r="I115" s="377"/>
      <c r="J115" s="378"/>
      <c r="K115" s="378"/>
      <c r="L115" s="378"/>
      <c r="M115" s="378"/>
      <c r="N115" s="378"/>
      <c r="O115" s="378"/>
      <c r="P115" s="378"/>
      <c r="Q115" s="378"/>
      <c r="R115" s="378"/>
      <c r="S115" s="378"/>
      <c r="T115" s="378"/>
      <c r="U115" s="378"/>
      <c r="V115" s="378"/>
      <c r="W115" s="378"/>
      <c r="X115" s="378"/>
      <c r="Y115" s="378"/>
      <c r="Z115" s="378"/>
      <c r="AA115" s="378"/>
      <c r="AB115" s="378"/>
      <c r="AC115" s="378"/>
      <c r="AD115" s="378"/>
      <c r="AE115" s="378"/>
      <c r="AF115" s="378"/>
      <c r="AG115" s="378"/>
      <c r="AH115" s="378"/>
      <c r="AI115" s="378"/>
      <c r="AJ115" s="378"/>
      <c r="AK115" s="378"/>
      <c r="AL115" s="378"/>
      <c r="AM115" s="378"/>
      <c r="AN115" s="378"/>
      <c r="AO115" s="378"/>
      <c r="AP115" s="378"/>
      <c r="AQ115" s="378"/>
      <c r="AR115" s="378"/>
      <c r="AS115" s="378"/>
      <c r="AT115" s="378"/>
      <c r="AU115" s="378"/>
      <c r="AV115" s="378"/>
      <c r="AW115" s="378"/>
      <c r="AX115" s="378"/>
      <c r="AY115" s="378"/>
      <c r="AZ115" s="378"/>
      <c r="BA115" s="378"/>
      <c r="BB115" s="378"/>
      <c r="BC115" s="378"/>
      <c r="BD115" s="378"/>
      <c r="BE115" s="378"/>
      <c r="BF115" s="378"/>
      <c r="BG115" s="378"/>
      <c r="BH115" s="378"/>
      <c r="BI115" s="378"/>
      <c r="BJ115" s="378"/>
      <c r="BK115" s="378"/>
      <c r="BL115" s="378"/>
      <c r="BM115" s="378"/>
      <c r="BN115" s="378"/>
      <c r="BO115" s="378"/>
      <c r="BP115" s="378"/>
      <c r="BQ115" s="378"/>
      <c r="BR115" s="378"/>
      <c r="BS115" s="378"/>
      <c r="BT115" s="378"/>
      <c r="BU115" s="378"/>
      <c r="BV115" s="378"/>
      <c r="BW115" s="378"/>
      <c r="BX115" s="378"/>
      <c r="BY115" s="378"/>
      <c r="BZ115" s="378"/>
      <c r="CA115" s="378"/>
      <c r="CB115" s="378"/>
      <c r="CC115" s="378"/>
      <c r="CD115" s="378"/>
      <c r="CE115" s="378"/>
      <c r="CF115" s="378"/>
      <c r="CG115" s="378"/>
      <c r="CH115" s="378"/>
      <c r="CI115" s="378"/>
      <c r="CJ115" s="378"/>
      <c r="CK115" s="378"/>
      <c r="CL115" s="378"/>
      <c r="CM115" s="378"/>
      <c r="CN115" s="378"/>
      <c r="CO115" s="378"/>
      <c r="CP115" s="378"/>
      <c r="CQ115" s="378"/>
      <c r="CR115" s="378"/>
      <c r="CS115" s="378"/>
      <c r="CT115" s="378"/>
      <c r="CU115" s="378"/>
      <c r="CV115" s="378"/>
      <c r="CW115" s="378"/>
      <c r="CX115" s="378"/>
      <c r="CY115" s="378"/>
      <c r="CZ115" s="378"/>
      <c r="DA115" s="378"/>
      <c r="DB115" s="378"/>
      <c r="DC115" s="378"/>
      <c r="DD115" s="378"/>
      <c r="DE115" s="378"/>
      <c r="DF115" s="378"/>
      <c r="DG115" s="378"/>
      <c r="DH115" s="378"/>
      <c r="DI115" s="378"/>
      <c r="DJ115" s="378"/>
      <c r="DK115" s="378"/>
      <c r="DL115" s="378"/>
      <c r="DM115" s="378"/>
      <c r="DN115" s="378"/>
      <c r="DO115" s="378"/>
      <c r="DP115" s="378"/>
      <c r="DQ115" s="378"/>
      <c r="DR115" s="378"/>
      <c r="DS115" s="378"/>
      <c r="DT115" s="378"/>
      <c r="DU115" s="378"/>
      <c r="DV115" s="378"/>
      <c r="DW115" s="378"/>
      <c r="DX115" s="378"/>
      <c r="DY115" s="378"/>
      <c r="DZ115" s="378"/>
      <c r="EA115" s="378"/>
      <c r="EB115" s="378"/>
      <c r="EC115" s="378"/>
      <c r="ED115" s="378"/>
      <c r="EE115" s="378"/>
      <c r="EF115" s="378"/>
      <c r="EG115" s="378"/>
      <c r="EH115" s="378"/>
      <c r="EI115" s="378"/>
      <c r="EJ115" s="378"/>
      <c r="EK115" s="378"/>
      <c r="EL115" s="378"/>
      <c r="EM115" s="378"/>
      <c r="EN115" s="378"/>
      <c r="EO115" s="378"/>
      <c r="EP115" s="378"/>
      <c r="EQ115" s="378"/>
      <c r="ER115" s="378"/>
      <c r="ES115" s="378"/>
      <c r="ET115" s="378"/>
      <c r="EU115" s="378"/>
      <c r="EV115" s="378"/>
      <c r="EW115" s="378"/>
      <c r="EX115" s="378"/>
      <c r="EY115" s="378"/>
      <c r="EZ115" s="378"/>
      <c r="FA115" s="378"/>
      <c r="FB115" s="378"/>
      <c r="FC115" s="378"/>
      <c r="FD115" s="378"/>
      <c r="FE115" s="378"/>
      <c r="FF115" s="378"/>
      <c r="FG115" s="378"/>
      <c r="FH115" s="378"/>
      <c r="FI115" s="378"/>
      <c r="FJ115" s="378"/>
      <c r="FK115" s="378"/>
      <c r="FL115" s="378"/>
      <c r="FM115" s="378"/>
      <c r="FN115" s="378"/>
      <c r="FO115" s="378"/>
      <c r="FP115" s="378"/>
      <c r="FQ115" s="378"/>
      <c r="FR115" s="378"/>
      <c r="FS115" s="378"/>
      <c r="FT115" s="378"/>
      <c r="FU115" s="378"/>
      <c r="FV115" s="378"/>
      <c r="FW115" s="378"/>
      <c r="FX115" s="378"/>
      <c r="FY115" s="378"/>
      <c r="FZ115" s="378"/>
      <c r="GA115" s="378"/>
      <c r="GB115" s="378"/>
      <c r="GC115" s="378"/>
      <c r="GD115" s="378"/>
      <c r="GE115" s="378"/>
      <c r="GF115" s="378"/>
      <c r="GG115" s="378"/>
      <c r="GH115" s="378"/>
      <c r="GI115" s="378"/>
      <c r="GJ115" s="378"/>
      <c r="GK115" s="378"/>
      <c r="GL115" s="378"/>
      <c r="GM115" s="378"/>
      <c r="GN115" s="378"/>
      <c r="GO115" s="378"/>
      <c r="GP115" s="378"/>
      <c r="GQ115" s="378"/>
      <c r="GR115" s="378"/>
      <c r="GS115" s="378"/>
      <c r="GT115" s="378"/>
      <c r="GU115" s="378"/>
      <c r="GV115" s="378"/>
      <c r="GW115" s="378"/>
      <c r="GX115" s="378"/>
      <c r="GY115" s="378"/>
      <c r="GZ115" s="378"/>
      <c r="HA115" s="378"/>
      <c r="HB115" s="378"/>
      <c r="HC115" s="378"/>
      <c r="HD115" s="378"/>
      <c r="HE115" s="378"/>
      <c r="HF115" s="378"/>
      <c r="HG115" s="378"/>
      <c r="HH115" s="378"/>
      <c r="HI115" s="378"/>
      <c r="HJ115" s="378"/>
      <c r="HK115" s="378"/>
      <c r="HL115" s="378"/>
      <c r="HM115" s="378"/>
      <c r="HN115" s="378"/>
      <c r="HO115" s="378"/>
      <c r="HP115" s="378"/>
      <c r="HQ115" s="378"/>
      <c r="HR115" s="378"/>
      <c r="HS115" s="378"/>
      <c r="HT115" s="378"/>
      <c r="HU115" s="378"/>
      <c r="HV115" s="378"/>
      <c r="HW115" s="378"/>
      <c r="HX115" s="378"/>
      <c r="HY115" s="378"/>
      <c r="HZ115" s="378"/>
      <c r="IA115" s="378"/>
      <c r="IB115" s="378"/>
      <c r="IC115" s="378"/>
      <c r="ID115" s="378"/>
      <c r="IE115" s="378"/>
      <c r="IF115" s="378"/>
      <c r="IG115" s="378"/>
      <c r="IH115" s="378"/>
      <c r="II115" s="378"/>
      <c r="IJ115" s="378"/>
      <c r="IK115" s="378"/>
      <c r="IL115" s="378"/>
      <c r="IM115" s="378"/>
      <c r="IN115" s="378"/>
      <c r="IO115" s="378"/>
      <c r="IP115" s="378"/>
      <c r="IQ115" s="378"/>
      <c r="IR115" s="378"/>
      <c r="IS115" s="378"/>
      <c r="IT115" s="378"/>
      <c r="IU115" s="378"/>
      <c r="IV115" s="378"/>
      <c r="IW115" s="378"/>
      <c r="IX115" s="378"/>
      <c r="IY115" s="378"/>
      <c r="IZ115" s="378"/>
      <c r="JA115" s="378"/>
    </row>
    <row r="116" spans="2:261" s="379" customFormat="1">
      <c r="B116" s="374"/>
      <c r="C116" s="375"/>
      <c r="D116" s="403"/>
      <c r="E116" s="404"/>
      <c r="F116" s="406" t="str">
        <f>"Action plan 3A: "&amp;F39</f>
        <v>Action plan 3A:  (starting )</v>
      </c>
      <c r="G116" s="405"/>
      <c r="H116" s="376"/>
      <c r="I116" s="377"/>
      <c r="J116" s="378"/>
      <c r="K116" s="378"/>
      <c r="L116" s="378"/>
      <c r="M116" s="378"/>
      <c r="N116" s="378"/>
      <c r="O116" s="378"/>
      <c r="P116" s="378"/>
      <c r="Q116" s="378"/>
      <c r="R116" s="378"/>
      <c r="S116" s="378"/>
      <c r="T116" s="378"/>
      <c r="U116" s="378"/>
      <c r="V116" s="378"/>
      <c r="W116" s="378"/>
      <c r="X116" s="378"/>
      <c r="Y116" s="378"/>
      <c r="Z116" s="378"/>
      <c r="AA116" s="378"/>
      <c r="AB116" s="378"/>
      <c r="AC116" s="378"/>
      <c r="AD116" s="378"/>
      <c r="AE116" s="378"/>
      <c r="AF116" s="378"/>
      <c r="AG116" s="378"/>
      <c r="AH116" s="378"/>
      <c r="AI116" s="378"/>
      <c r="AJ116" s="378"/>
      <c r="AK116" s="378"/>
      <c r="AL116" s="378"/>
      <c r="AM116" s="378"/>
      <c r="AN116" s="378"/>
      <c r="AO116" s="378"/>
      <c r="AP116" s="378"/>
      <c r="AQ116" s="378"/>
      <c r="AR116" s="378"/>
      <c r="AS116" s="378"/>
      <c r="AT116" s="378"/>
      <c r="AU116" s="378"/>
      <c r="AV116" s="378"/>
      <c r="AW116" s="378"/>
      <c r="AX116" s="378"/>
      <c r="AY116" s="378"/>
      <c r="AZ116" s="378"/>
      <c r="BA116" s="378"/>
      <c r="BB116" s="378"/>
      <c r="BC116" s="378"/>
      <c r="BD116" s="378"/>
      <c r="BE116" s="378"/>
      <c r="BF116" s="378"/>
      <c r="BG116" s="378"/>
      <c r="BH116" s="378"/>
      <c r="BI116" s="378"/>
      <c r="BJ116" s="378"/>
      <c r="BK116" s="378"/>
      <c r="BL116" s="378"/>
      <c r="BM116" s="378"/>
      <c r="BN116" s="378"/>
      <c r="BO116" s="378"/>
      <c r="BP116" s="378"/>
      <c r="BQ116" s="378"/>
      <c r="BR116" s="378"/>
      <c r="BS116" s="378"/>
      <c r="BT116" s="378"/>
      <c r="BU116" s="378"/>
      <c r="BV116" s="378"/>
      <c r="BW116" s="378"/>
      <c r="BX116" s="378"/>
      <c r="BY116" s="378"/>
      <c r="BZ116" s="378"/>
      <c r="CA116" s="378"/>
      <c r="CB116" s="378"/>
      <c r="CC116" s="378"/>
      <c r="CD116" s="378"/>
      <c r="CE116" s="378"/>
      <c r="CF116" s="378"/>
      <c r="CG116" s="378"/>
      <c r="CH116" s="378"/>
      <c r="CI116" s="378"/>
      <c r="CJ116" s="378"/>
      <c r="CK116" s="378"/>
      <c r="CL116" s="378"/>
      <c r="CM116" s="378"/>
      <c r="CN116" s="378"/>
      <c r="CO116" s="378"/>
      <c r="CP116" s="378"/>
      <c r="CQ116" s="378"/>
      <c r="CR116" s="378"/>
      <c r="CS116" s="378"/>
      <c r="CT116" s="378"/>
      <c r="CU116" s="378"/>
      <c r="CV116" s="378"/>
      <c r="CW116" s="378"/>
      <c r="CX116" s="378"/>
      <c r="CY116" s="378"/>
      <c r="CZ116" s="378"/>
      <c r="DA116" s="378"/>
      <c r="DB116" s="378"/>
      <c r="DC116" s="378"/>
      <c r="DD116" s="378"/>
      <c r="DE116" s="378"/>
      <c r="DF116" s="378"/>
      <c r="DG116" s="378"/>
      <c r="DH116" s="378"/>
      <c r="DI116" s="378"/>
      <c r="DJ116" s="378"/>
      <c r="DK116" s="378"/>
      <c r="DL116" s="378"/>
      <c r="DM116" s="378"/>
      <c r="DN116" s="378"/>
      <c r="DO116" s="378"/>
      <c r="DP116" s="378"/>
      <c r="DQ116" s="378"/>
      <c r="DR116" s="378"/>
      <c r="DS116" s="378"/>
      <c r="DT116" s="378"/>
      <c r="DU116" s="378"/>
      <c r="DV116" s="378"/>
      <c r="DW116" s="378"/>
      <c r="DX116" s="378"/>
      <c r="DY116" s="378"/>
      <c r="DZ116" s="378"/>
      <c r="EA116" s="378"/>
      <c r="EB116" s="378"/>
      <c r="EC116" s="378"/>
      <c r="ED116" s="378"/>
      <c r="EE116" s="378"/>
      <c r="EF116" s="378"/>
      <c r="EG116" s="378"/>
      <c r="EH116" s="378"/>
      <c r="EI116" s="378"/>
      <c r="EJ116" s="378"/>
      <c r="EK116" s="378"/>
      <c r="EL116" s="378"/>
      <c r="EM116" s="378"/>
      <c r="EN116" s="378"/>
      <c r="EO116" s="378"/>
      <c r="EP116" s="378"/>
      <c r="EQ116" s="378"/>
      <c r="ER116" s="378"/>
      <c r="ES116" s="378"/>
      <c r="ET116" s="378"/>
      <c r="EU116" s="378"/>
      <c r="EV116" s="378"/>
      <c r="EW116" s="378"/>
      <c r="EX116" s="378"/>
      <c r="EY116" s="378"/>
      <c r="EZ116" s="378"/>
      <c r="FA116" s="378"/>
      <c r="FB116" s="378"/>
      <c r="FC116" s="378"/>
      <c r="FD116" s="378"/>
      <c r="FE116" s="378"/>
      <c r="FF116" s="378"/>
      <c r="FG116" s="378"/>
      <c r="FH116" s="378"/>
      <c r="FI116" s="378"/>
      <c r="FJ116" s="378"/>
      <c r="FK116" s="378"/>
      <c r="FL116" s="378"/>
      <c r="FM116" s="378"/>
      <c r="FN116" s="378"/>
      <c r="FO116" s="378"/>
      <c r="FP116" s="378"/>
      <c r="FQ116" s="378"/>
      <c r="FR116" s="378"/>
      <c r="FS116" s="378"/>
      <c r="FT116" s="378"/>
      <c r="FU116" s="378"/>
      <c r="FV116" s="378"/>
      <c r="FW116" s="378"/>
      <c r="FX116" s="378"/>
      <c r="FY116" s="378"/>
      <c r="FZ116" s="378"/>
      <c r="GA116" s="378"/>
      <c r="GB116" s="378"/>
      <c r="GC116" s="378"/>
      <c r="GD116" s="378"/>
      <c r="GE116" s="378"/>
      <c r="GF116" s="378"/>
      <c r="GG116" s="378"/>
      <c r="GH116" s="378"/>
      <c r="GI116" s="378"/>
      <c r="GJ116" s="378"/>
      <c r="GK116" s="378"/>
      <c r="GL116" s="378"/>
      <c r="GM116" s="378"/>
      <c r="GN116" s="378"/>
      <c r="GO116" s="378"/>
      <c r="GP116" s="378"/>
      <c r="GQ116" s="378"/>
      <c r="GR116" s="378"/>
      <c r="GS116" s="378"/>
      <c r="GT116" s="378"/>
      <c r="GU116" s="378"/>
      <c r="GV116" s="378"/>
      <c r="GW116" s="378"/>
      <c r="GX116" s="378"/>
      <c r="GY116" s="378"/>
      <c r="GZ116" s="378"/>
      <c r="HA116" s="378"/>
      <c r="HB116" s="378"/>
      <c r="HC116" s="378"/>
      <c r="HD116" s="378"/>
      <c r="HE116" s="378"/>
      <c r="HF116" s="378"/>
      <c r="HG116" s="378"/>
      <c r="HH116" s="378"/>
      <c r="HI116" s="378"/>
      <c r="HJ116" s="378"/>
      <c r="HK116" s="378"/>
      <c r="HL116" s="378"/>
      <c r="HM116" s="378"/>
      <c r="HN116" s="378"/>
      <c r="HO116" s="378"/>
      <c r="HP116" s="378"/>
      <c r="HQ116" s="378"/>
      <c r="HR116" s="378"/>
      <c r="HS116" s="378"/>
      <c r="HT116" s="378"/>
      <c r="HU116" s="378"/>
      <c r="HV116" s="378"/>
      <c r="HW116" s="378"/>
      <c r="HX116" s="378"/>
      <c r="HY116" s="378"/>
      <c r="HZ116" s="378"/>
      <c r="IA116" s="378"/>
      <c r="IB116" s="378"/>
      <c r="IC116" s="378"/>
      <c r="ID116" s="378"/>
      <c r="IE116" s="378"/>
      <c r="IF116" s="378"/>
      <c r="IG116" s="378"/>
      <c r="IH116" s="378"/>
      <c r="II116" s="378"/>
      <c r="IJ116" s="378"/>
      <c r="IK116" s="378"/>
      <c r="IL116" s="378"/>
      <c r="IM116" s="378"/>
      <c r="IN116" s="378"/>
      <c r="IO116" s="378"/>
      <c r="IP116" s="378"/>
      <c r="IQ116" s="378"/>
      <c r="IR116" s="378"/>
      <c r="IS116" s="378"/>
      <c r="IT116" s="378"/>
      <c r="IU116" s="378"/>
      <c r="IV116" s="378"/>
      <c r="IW116" s="378"/>
      <c r="IX116" s="378"/>
      <c r="IY116" s="378"/>
      <c r="IZ116" s="378"/>
      <c r="JA116" s="378"/>
    </row>
    <row r="117" spans="2:261" s="379" customFormat="1">
      <c r="B117" s="374"/>
      <c r="C117" s="375"/>
      <c r="D117" s="403"/>
      <c r="E117" s="404"/>
      <c r="F117" s="409" t="str">
        <f>"    Actual action: "&amp;F40</f>
        <v xml:space="preserve">    Actual action: </v>
      </c>
      <c r="G117" s="405"/>
      <c r="H117" s="376"/>
      <c r="I117" s="377"/>
      <c r="J117" s="378"/>
      <c r="K117" s="378"/>
      <c r="L117" s="378"/>
      <c r="M117" s="378"/>
      <c r="N117" s="378"/>
      <c r="O117" s="378"/>
      <c r="P117" s="378"/>
      <c r="Q117" s="378"/>
      <c r="R117" s="378"/>
      <c r="S117" s="378"/>
      <c r="T117" s="378"/>
      <c r="U117" s="378"/>
      <c r="V117" s="378"/>
      <c r="W117" s="378"/>
      <c r="X117" s="378"/>
      <c r="Y117" s="378"/>
      <c r="Z117" s="378"/>
      <c r="AA117" s="378"/>
      <c r="AB117" s="378"/>
      <c r="AC117" s="378"/>
      <c r="AD117" s="378"/>
      <c r="AE117" s="378"/>
      <c r="AF117" s="378"/>
      <c r="AG117" s="378"/>
      <c r="AH117" s="378"/>
      <c r="AI117" s="378"/>
      <c r="AJ117" s="378"/>
      <c r="AK117" s="378"/>
      <c r="AL117" s="378"/>
      <c r="AM117" s="378"/>
      <c r="AN117" s="378"/>
      <c r="AO117" s="378"/>
      <c r="AP117" s="378"/>
      <c r="AQ117" s="378"/>
      <c r="AR117" s="378"/>
      <c r="AS117" s="378"/>
      <c r="AT117" s="378"/>
      <c r="AU117" s="378"/>
      <c r="AV117" s="378"/>
      <c r="AW117" s="378"/>
      <c r="AX117" s="378"/>
      <c r="AY117" s="378"/>
      <c r="AZ117" s="378"/>
      <c r="BA117" s="378"/>
      <c r="BB117" s="378"/>
      <c r="BC117" s="378"/>
      <c r="BD117" s="378"/>
      <c r="BE117" s="378"/>
      <c r="BF117" s="378"/>
      <c r="BG117" s="378"/>
      <c r="BH117" s="378"/>
      <c r="BI117" s="378"/>
      <c r="BJ117" s="378"/>
      <c r="BK117" s="378"/>
      <c r="BL117" s="378"/>
      <c r="BM117" s="378"/>
      <c r="BN117" s="378"/>
      <c r="BO117" s="378"/>
      <c r="BP117" s="378"/>
      <c r="BQ117" s="378"/>
      <c r="BR117" s="378"/>
      <c r="BS117" s="378"/>
      <c r="BT117" s="378"/>
      <c r="BU117" s="378"/>
      <c r="BV117" s="378"/>
      <c r="BW117" s="378"/>
      <c r="BX117" s="378"/>
      <c r="BY117" s="378"/>
      <c r="BZ117" s="378"/>
      <c r="CA117" s="378"/>
      <c r="CB117" s="378"/>
      <c r="CC117" s="378"/>
      <c r="CD117" s="378"/>
      <c r="CE117" s="378"/>
      <c r="CF117" s="378"/>
      <c r="CG117" s="378"/>
      <c r="CH117" s="378"/>
      <c r="CI117" s="378"/>
      <c r="CJ117" s="378"/>
      <c r="CK117" s="378"/>
      <c r="CL117" s="378"/>
      <c r="CM117" s="378"/>
      <c r="CN117" s="378"/>
      <c r="CO117" s="378"/>
      <c r="CP117" s="378"/>
      <c r="CQ117" s="378"/>
      <c r="CR117" s="378"/>
      <c r="CS117" s="378"/>
      <c r="CT117" s="378"/>
      <c r="CU117" s="378"/>
      <c r="CV117" s="378"/>
      <c r="CW117" s="378"/>
      <c r="CX117" s="378"/>
      <c r="CY117" s="378"/>
      <c r="CZ117" s="378"/>
      <c r="DA117" s="378"/>
      <c r="DB117" s="378"/>
      <c r="DC117" s="378"/>
      <c r="DD117" s="378"/>
      <c r="DE117" s="378"/>
      <c r="DF117" s="378"/>
      <c r="DG117" s="378"/>
      <c r="DH117" s="378"/>
      <c r="DI117" s="378"/>
      <c r="DJ117" s="378"/>
      <c r="DK117" s="378"/>
      <c r="DL117" s="378"/>
      <c r="DM117" s="378"/>
      <c r="DN117" s="378"/>
      <c r="DO117" s="378"/>
      <c r="DP117" s="378"/>
      <c r="DQ117" s="378"/>
      <c r="DR117" s="378"/>
      <c r="DS117" s="378"/>
      <c r="DT117" s="378"/>
      <c r="DU117" s="378"/>
      <c r="DV117" s="378"/>
      <c r="DW117" s="378"/>
      <c r="DX117" s="378"/>
      <c r="DY117" s="378"/>
      <c r="DZ117" s="378"/>
      <c r="EA117" s="378"/>
      <c r="EB117" s="378"/>
      <c r="EC117" s="378"/>
      <c r="ED117" s="378"/>
      <c r="EE117" s="378"/>
      <c r="EF117" s="378"/>
      <c r="EG117" s="378"/>
      <c r="EH117" s="378"/>
      <c r="EI117" s="378"/>
      <c r="EJ117" s="378"/>
      <c r="EK117" s="378"/>
      <c r="EL117" s="378"/>
      <c r="EM117" s="378"/>
      <c r="EN117" s="378"/>
      <c r="EO117" s="378"/>
      <c r="EP117" s="378"/>
      <c r="EQ117" s="378"/>
      <c r="ER117" s="378"/>
      <c r="ES117" s="378"/>
      <c r="ET117" s="378"/>
      <c r="EU117" s="378"/>
      <c r="EV117" s="378"/>
      <c r="EW117" s="378"/>
      <c r="EX117" s="378"/>
      <c r="EY117" s="378"/>
      <c r="EZ117" s="378"/>
      <c r="FA117" s="378"/>
      <c r="FB117" s="378"/>
      <c r="FC117" s="378"/>
      <c r="FD117" s="378"/>
      <c r="FE117" s="378"/>
      <c r="FF117" s="378"/>
      <c r="FG117" s="378"/>
      <c r="FH117" s="378"/>
      <c r="FI117" s="378"/>
      <c r="FJ117" s="378"/>
      <c r="FK117" s="378"/>
      <c r="FL117" s="378"/>
      <c r="FM117" s="378"/>
      <c r="FN117" s="378"/>
      <c r="FO117" s="378"/>
      <c r="FP117" s="378"/>
      <c r="FQ117" s="378"/>
      <c r="FR117" s="378"/>
      <c r="FS117" s="378"/>
      <c r="FT117" s="378"/>
      <c r="FU117" s="378"/>
      <c r="FV117" s="378"/>
      <c r="FW117" s="378"/>
      <c r="FX117" s="378"/>
      <c r="FY117" s="378"/>
      <c r="FZ117" s="378"/>
      <c r="GA117" s="378"/>
      <c r="GB117" s="378"/>
      <c r="GC117" s="378"/>
      <c r="GD117" s="378"/>
      <c r="GE117" s="378"/>
      <c r="GF117" s="378"/>
      <c r="GG117" s="378"/>
      <c r="GH117" s="378"/>
      <c r="GI117" s="378"/>
      <c r="GJ117" s="378"/>
      <c r="GK117" s="378"/>
      <c r="GL117" s="378"/>
      <c r="GM117" s="378"/>
      <c r="GN117" s="378"/>
      <c r="GO117" s="378"/>
      <c r="GP117" s="378"/>
      <c r="GQ117" s="378"/>
      <c r="GR117" s="378"/>
      <c r="GS117" s="378"/>
      <c r="GT117" s="378"/>
      <c r="GU117" s="378"/>
      <c r="GV117" s="378"/>
      <c r="GW117" s="378"/>
      <c r="GX117" s="378"/>
      <c r="GY117" s="378"/>
      <c r="GZ117" s="378"/>
      <c r="HA117" s="378"/>
      <c r="HB117" s="378"/>
      <c r="HC117" s="378"/>
      <c r="HD117" s="378"/>
      <c r="HE117" s="378"/>
      <c r="HF117" s="378"/>
      <c r="HG117" s="378"/>
      <c r="HH117" s="378"/>
      <c r="HI117" s="378"/>
      <c r="HJ117" s="378"/>
      <c r="HK117" s="378"/>
      <c r="HL117" s="378"/>
      <c r="HM117" s="378"/>
      <c r="HN117" s="378"/>
      <c r="HO117" s="378"/>
      <c r="HP117" s="378"/>
      <c r="HQ117" s="378"/>
      <c r="HR117" s="378"/>
      <c r="HS117" s="378"/>
      <c r="HT117" s="378"/>
      <c r="HU117" s="378"/>
      <c r="HV117" s="378"/>
      <c r="HW117" s="378"/>
      <c r="HX117" s="378"/>
      <c r="HY117" s="378"/>
      <c r="HZ117" s="378"/>
      <c r="IA117" s="378"/>
      <c r="IB117" s="378"/>
      <c r="IC117" s="378"/>
      <c r="ID117" s="378"/>
      <c r="IE117" s="378"/>
      <c r="IF117" s="378"/>
      <c r="IG117" s="378"/>
      <c r="IH117" s="378"/>
      <c r="II117" s="378"/>
      <c r="IJ117" s="378"/>
      <c r="IK117" s="378"/>
      <c r="IL117" s="378"/>
      <c r="IM117" s="378"/>
      <c r="IN117" s="378"/>
      <c r="IO117" s="378"/>
      <c r="IP117" s="378"/>
      <c r="IQ117" s="378"/>
      <c r="IR117" s="378"/>
      <c r="IS117" s="378"/>
      <c r="IT117" s="378"/>
      <c r="IU117" s="378"/>
      <c r="IV117" s="378"/>
      <c r="IW117" s="378"/>
      <c r="IX117" s="378"/>
      <c r="IY117" s="378"/>
      <c r="IZ117" s="378"/>
      <c r="JA117" s="378"/>
    </row>
    <row r="118" spans="2:261" s="379" customFormat="1">
      <c r="B118" s="374"/>
      <c r="C118" s="375"/>
      <c r="D118" s="403"/>
      <c r="E118" s="404"/>
      <c r="F118" s="406" t="str">
        <f>"Action plan 3B: "&amp;F41</f>
        <v>Action plan 3B:  (starting )</v>
      </c>
      <c r="G118" s="405"/>
      <c r="H118" s="376"/>
      <c r="I118" s="377"/>
      <c r="J118" s="378"/>
      <c r="K118" s="378"/>
      <c r="L118" s="378"/>
      <c r="M118" s="378"/>
      <c r="N118" s="378"/>
      <c r="O118" s="378"/>
      <c r="P118" s="378"/>
      <c r="Q118" s="378"/>
      <c r="R118" s="378"/>
      <c r="S118" s="378"/>
      <c r="T118" s="378"/>
      <c r="U118" s="378"/>
      <c r="V118" s="378"/>
      <c r="W118" s="378"/>
      <c r="X118" s="378"/>
      <c r="Y118" s="378"/>
      <c r="Z118" s="378"/>
      <c r="AA118" s="378"/>
      <c r="AB118" s="378"/>
      <c r="AC118" s="378"/>
      <c r="AD118" s="378"/>
      <c r="AE118" s="378"/>
      <c r="AF118" s="378"/>
      <c r="AG118" s="378"/>
      <c r="AH118" s="378"/>
      <c r="AI118" s="378"/>
      <c r="AJ118" s="378"/>
      <c r="AK118" s="378"/>
      <c r="AL118" s="378"/>
      <c r="AM118" s="378"/>
      <c r="AN118" s="378"/>
      <c r="AO118" s="378"/>
      <c r="AP118" s="378"/>
      <c r="AQ118" s="378"/>
      <c r="AR118" s="378"/>
      <c r="AS118" s="378"/>
      <c r="AT118" s="378"/>
      <c r="AU118" s="378"/>
      <c r="AV118" s="378"/>
      <c r="AW118" s="378"/>
      <c r="AX118" s="378"/>
      <c r="AY118" s="378"/>
      <c r="AZ118" s="378"/>
      <c r="BA118" s="378"/>
      <c r="BB118" s="378"/>
      <c r="BC118" s="378"/>
      <c r="BD118" s="378"/>
      <c r="BE118" s="378"/>
      <c r="BF118" s="378"/>
      <c r="BG118" s="378"/>
      <c r="BH118" s="378"/>
      <c r="BI118" s="378"/>
      <c r="BJ118" s="378"/>
      <c r="BK118" s="378"/>
      <c r="BL118" s="378"/>
      <c r="BM118" s="378"/>
      <c r="BN118" s="378"/>
      <c r="BO118" s="378"/>
      <c r="BP118" s="378"/>
      <c r="BQ118" s="378"/>
      <c r="BR118" s="378"/>
      <c r="BS118" s="378"/>
      <c r="BT118" s="378"/>
      <c r="BU118" s="378"/>
      <c r="BV118" s="378"/>
      <c r="BW118" s="378"/>
      <c r="BX118" s="378"/>
      <c r="BY118" s="378"/>
      <c r="BZ118" s="378"/>
      <c r="CA118" s="378"/>
      <c r="CB118" s="378"/>
      <c r="CC118" s="378"/>
      <c r="CD118" s="378"/>
      <c r="CE118" s="378"/>
      <c r="CF118" s="378"/>
      <c r="CG118" s="378"/>
      <c r="CH118" s="378"/>
      <c r="CI118" s="378"/>
      <c r="CJ118" s="378"/>
      <c r="CK118" s="378"/>
      <c r="CL118" s="378"/>
      <c r="CM118" s="378"/>
      <c r="CN118" s="378"/>
      <c r="CO118" s="378"/>
      <c r="CP118" s="378"/>
      <c r="CQ118" s="378"/>
      <c r="CR118" s="378"/>
      <c r="CS118" s="378"/>
      <c r="CT118" s="378"/>
      <c r="CU118" s="378"/>
      <c r="CV118" s="378"/>
      <c r="CW118" s="378"/>
      <c r="CX118" s="378"/>
      <c r="CY118" s="378"/>
      <c r="CZ118" s="378"/>
      <c r="DA118" s="378"/>
      <c r="DB118" s="378"/>
      <c r="DC118" s="378"/>
      <c r="DD118" s="378"/>
      <c r="DE118" s="378"/>
      <c r="DF118" s="378"/>
      <c r="DG118" s="378"/>
      <c r="DH118" s="378"/>
      <c r="DI118" s="378"/>
      <c r="DJ118" s="378"/>
      <c r="DK118" s="378"/>
      <c r="DL118" s="378"/>
      <c r="DM118" s="378"/>
      <c r="DN118" s="378"/>
      <c r="DO118" s="378"/>
      <c r="DP118" s="378"/>
      <c r="DQ118" s="378"/>
      <c r="DR118" s="378"/>
      <c r="DS118" s="378"/>
      <c r="DT118" s="378"/>
      <c r="DU118" s="378"/>
      <c r="DV118" s="378"/>
      <c r="DW118" s="378"/>
      <c r="DX118" s="378"/>
      <c r="DY118" s="378"/>
      <c r="DZ118" s="378"/>
      <c r="EA118" s="378"/>
      <c r="EB118" s="378"/>
      <c r="EC118" s="378"/>
      <c r="ED118" s="378"/>
      <c r="EE118" s="378"/>
      <c r="EF118" s="378"/>
      <c r="EG118" s="378"/>
      <c r="EH118" s="378"/>
      <c r="EI118" s="378"/>
      <c r="EJ118" s="378"/>
      <c r="EK118" s="378"/>
      <c r="EL118" s="378"/>
      <c r="EM118" s="378"/>
      <c r="EN118" s="378"/>
      <c r="EO118" s="378"/>
      <c r="EP118" s="378"/>
      <c r="EQ118" s="378"/>
      <c r="ER118" s="378"/>
      <c r="ES118" s="378"/>
      <c r="ET118" s="378"/>
      <c r="EU118" s="378"/>
      <c r="EV118" s="378"/>
      <c r="EW118" s="378"/>
      <c r="EX118" s="378"/>
      <c r="EY118" s="378"/>
      <c r="EZ118" s="378"/>
      <c r="FA118" s="378"/>
      <c r="FB118" s="378"/>
      <c r="FC118" s="378"/>
      <c r="FD118" s="378"/>
      <c r="FE118" s="378"/>
      <c r="FF118" s="378"/>
      <c r="FG118" s="378"/>
      <c r="FH118" s="378"/>
      <c r="FI118" s="378"/>
      <c r="FJ118" s="378"/>
      <c r="FK118" s="378"/>
      <c r="FL118" s="378"/>
      <c r="FM118" s="378"/>
      <c r="FN118" s="378"/>
      <c r="FO118" s="378"/>
      <c r="FP118" s="378"/>
      <c r="FQ118" s="378"/>
      <c r="FR118" s="378"/>
      <c r="FS118" s="378"/>
      <c r="FT118" s="378"/>
      <c r="FU118" s="378"/>
      <c r="FV118" s="378"/>
      <c r="FW118" s="378"/>
      <c r="FX118" s="378"/>
      <c r="FY118" s="378"/>
      <c r="FZ118" s="378"/>
      <c r="GA118" s="378"/>
      <c r="GB118" s="378"/>
      <c r="GC118" s="378"/>
      <c r="GD118" s="378"/>
      <c r="GE118" s="378"/>
      <c r="GF118" s="378"/>
      <c r="GG118" s="378"/>
      <c r="GH118" s="378"/>
      <c r="GI118" s="378"/>
      <c r="GJ118" s="378"/>
      <c r="GK118" s="378"/>
      <c r="GL118" s="378"/>
      <c r="GM118" s="378"/>
      <c r="GN118" s="378"/>
      <c r="GO118" s="378"/>
      <c r="GP118" s="378"/>
      <c r="GQ118" s="378"/>
      <c r="GR118" s="378"/>
      <c r="GS118" s="378"/>
      <c r="GT118" s="378"/>
      <c r="GU118" s="378"/>
      <c r="GV118" s="378"/>
      <c r="GW118" s="378"/>
      <c r="GX118" s="378"/>
      <c r="GY118" s="378"/>
      <c r="GZ118" s="378"/>
      <c r="HA118" s="378"/>
      <c r="HB118" s="378"/>
      <c r="HC118" s="378"/>
      <c r="HD118" s="378"/>
      <c r="HE118" s="378"/>
      <c r="HF118" s="378"/>
      <c r="HG118" s="378"/>
      <c r="HH118" s="378"/>
      <c r="HI118" s="378"/>
      <c r="HJ118" s="378"/>
      <c r="HK118" s="378"/>
      <c r="HL118" s="378"/>
      <c r="HM118" s="378"/>
      <c r="HN118" s="378"/>
      <c r="HO118" s="378"/>
      <c r="HP118" s="378"/>
      <c r="HQ118" s="378"/>
      <c r="HR118" s="378"/>
      <c r="HS118" s="378"/>
      <c r="HT118" s="378"/>
      <c r="HU118" s="378"/>
      <c r="HV118" s="378"/>
      <c r="HW118" s="378"/>
      <c r="HX118" s="378"/>
      <c r="HY118" s="378"/>
      <c r="HZ118" s="378"/>
      <c r="IA118" s="378"/>
      <c r="IB118" s="378"/>
      <c r="IC118" s="378"/>
      <c r="ID118" s="378"/>
      <c r="IE118" s="378"/>
      <c r="IF118" s="378"/>
      <c r="IG118" s="378"/>
      <c r="IH118" s="378"/>
      <c r="II118" s="378"/>
      <c r="IJ118" s="378"/>
      <c r="IK118" s="378"/>
      <c r="IL118" s="378"/>
      <c r="IM118" s="378"/>
      <c r="IN118" s="378"/>
      <c r="IO118" s="378"/>
      <c r="IP118" s="378"/>
      <c r="IQ118" s="378"/>
      <c r="IR118" s="378"/>
      <c r="IS118" s="378"/>
      <c r="IT118" s="378"/>
      <c r="IU118" s="378"/>
      <c r="IV118" s="378"/>
      <c r="IW118" s="378"/>
      <c r="IX118" s="378"/>
      <c r="IY118" s="378"/>
      <c r="IZ118" s="378"/>
      <c r="JA118" s="378"/>
    </row>
    <row r="119" spans="2:261" s="379" customFormat="1">
      <c r="B119" s="374"/>
      <c r="C119" s="375"/>
      <c r="D119" s="403"/>
      <c r="E119" s="403"/>
      <c r="F119" s="409" t="str">
        <f>"    Actual action: "&amp;F42</f>
        <v xml:space="preserve">    Actual action: </v>
      </c>
      <c r="G119" s="403"/>
      <c r="H119" s="376"/>
      <c r="I119" s="377"/>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378"/>
      <c r="AS119" s="378"/>
      <c r="AT119" s="378"/>
      <c r="AU119" s="378"/>
      <c r="AV119" s="378"/>
      <c r="AW119" s="378"/>
      <c r="AX119" s="378"/>
      <c r="AY119" s="378"/>
      <c r="AZ119" s="378"/>
      <c r="BA119" s="378"/>
      <c r="BB119" s="378"/>
      <c r="BC119" s="378"/>
      <c r="BD119" s="378"/>
      <c r="BE119" s="378"/>
      <c r="BF119" s="378"/>
      <c r="BG119" s="378"/>
      <c r="BH119" s="378"/>
      <c r="BI119" s="378"/>
      <c r="BJ119" s="378"/>
      <c r="BK119" s="378"/>
      <c r="BL119" s="378"/>
      <c r="BM119" s="378"/>
      <c r="BN119" s="378"/>
      <c r="BO119" s="378"/>
      <c r="BP119" s="378"/>
      <c r="BQ119" s="378"/>
      <c r="BR119" s="378"/>
      <c r="BS119" s="378"/>
      <c r="BT119" s="378"/>
      <c r="BU119" s="378"/>
      <c r="BV119" s="378"/>
      <c r="BW119" s="378"/>
      <c r="BX119" s="378"/>
      <c r="BY119" s="378"/>
      <c r="BZ119" s="378"/>
      <c r="CA119" s="378"/>
      <c r="CB119" s="378"/>
      <c r="CC119" s="378"/>
      <c r="CD119" s="378"/>
      <c r="CE119" s="378"/>
      <c r="CF119" s="378"/>
      <c r="CG119" s="378"/>
      <c r="CH119" s="378"/>
      <c r="CI119" s="378"/>
      <c r="CJ119" s="378"/>
      <c r="CK119" s="378"/>
      <c r="CL119" s="378"/>
      <c r="CM119" s="378"/>
      <c r="CN119" s="378"/>
      <c r="CO119" s="378"/>
      <c r="CP119" s="378"/>
      <c r="CQ119" s="378"/>
      <c r="CR119" s="378"/>
      <c r="CS119" s="378"/>
      <c r="CT119" s="378"/>
      <c r="CU119" s="378"/>
      <c r="CV119" s="378"/>
      <c r="CW119" s="378"/>
      <c r="CX119" s="378"/>
      <c r="CY119" s="378"/>
      <c r="CZ119" s="378"/>
      <c r="DA119" s="378"/>
      <c r="DB119" s="378"/>
      <c r="DC119" s="378"/>
      <c r="DD119" s="378"/>
      <c r="DE119" s="378"/>
      <c r="DF119" s="378"/>
      <c r="DG119" s="378"/>
      <c r="DH119" s="378"/>
      <c r="DI119" s="378"/>
      <c r="DJ119" s="378"/>
      <c r="DK119" s="378"/>
      <c r="DL119" s="378"/>
      <c r="DM119" s="378"/>
      <c r="DN119" s="378"/>
      <c r="DO119" s="378"/>
      <c r="DP119" s="378"/>
      <c r="DQ119" s="378"/>
      <c r="DR119" s="378"/>
      <c r="DS119" s="378"/>
      <c r="DT119" s="378"/>
      <c r="DU119" s="378"/>
      <c r="DV119" s="378"/>
      <c r="DW119" s="378"/>
      <c r="DX119" s="378"/>
      <c r="DY119" s="378"/>
      <c r="DZ119" s="378"/>
      <c r="EA119" s="378"/>
      <c r="EB119" s="378"/>
      <c r="EC119" s="378"/>
      <c r="ED119" s="378"/>
      <c r="EE119" s="378"/>
      <c r="EF119" s="378"/>
      <c r="EG119" s="378"/>
      <c r="EH119" s="378"/>
      <c r="EI119" s="378"/>
      <c r="EJ119" s="378"/>
      <c r="EK119" s="378"/>
      <c r="EL119" s="378"/>
      <c r="EM119" s="378"/>
      <c r="EN119" s="378"/>
      <c r="EO119" s="378"/>
      <c r="EP119" s="378"/>
      <c r="EQ119" s="378"/>
      <c r="ER119" s="378"/>
      <c r="ES119" s="378"/>
      <c r="ET119" s="378"/>
      <c r="EU119" s="378"/>
      <c r="EV119" s="378"/>
      <c r="EW119" s="378"/>
      <c r="EX119" s="378"/>
      <c r="EY119" s="378"/>
      <c r="EZ119" s="378"/>
      <c r="FA119" s="378"/>
      <c r="FB119" s="378"/>
      <c r="FC119" s="378"/>
      <c r="FD119" s="378"/>
      <c r="FE119" s="378"/>
      <c r="FF119" s="378"/>
      <c r="FG119" s="378"/>
      <c r="FH119" s="378"/>
      <c r="FI119" s="378"/>
      <c r="FJ119" s="378"/>
      <c r="FK119" s="378"/>
      <c r="FL119" s="378"/>
      <c r="FM119" s="378"/>
      <c r="FN119" s="378"/>
      <c r="FO119" s="378"/>
      <c r="FP119" s="378"/>
      <c r="FQ119" s="378"/>
      <c r="FR119" s="378"/>
      <c r="FS119" s="378"/>
      <c r="FT119" s="378"/>
      <c r="FU119" s="378"/>
      <c r="FV119" s="378"/>
      <c r="FW119" s="378"/>
      <c r="FX119" s="378"/>
      <c r="FY119" s="378"/>
      <c r="FZ119" s="378"/>
      <c r="GA119" s="378"/>
      <c r="GB119" s="378"/>
      <c r="GC119" s="378"/>
      <c r="GD119" s="378"/>
      <c r="GE119" s="378"/>
      <c r="GF119" s="378"/>
      <c r="GG119" s="378"/>
      <c r="GH119" s="378"/>
      <c r="GI119" s="378"/>
      <c r="GJ119" s="378"/>
      <c r="GK119" s="378"/>
      <c r="GL119" s="378"/>
      <c r="GM119" s="378"/>
      <c r="GN119" s="378"/>
      <c r="GO119" s="378"/>
      <c r="GP119" s="378"/>
      <c r="GQ119" s="378"/>
      <c r="GR119" s="378"/>
      <c r="GS119" s="378"/>
      <c r="GT119" s="378"/>
      <c r="GU119" s="378"/>
      <c r="GV119" s="378"/>
      <c r="GW119" s="378"/>
      <c r="GX119" s="378"/>
      <c r="GY119" s="378"/>
      <c r="GZ119" s="378"/>
      <c r="HA119" s="378"/>
      <c r="HB119" s="378"/>
      <c r="HC119" s="378"/>
      <c r="HD119" s="378"/>
      <c r="HE119" s="378"/>
      <c r="HF119" s="378"/>
      <c r="HG119" s="378"/>
      <c r="HH119" s="378"/>
      <c r="HI119" s="378"/>
      <c r="HJ119" s="378"/>
      <c r="HK119" s="378"/>
      <c r="HL119" s="378"/>
      <c r="HM119" s="378"/>
      <c r="HN119" s="378"/>
      <c r="HO119" s="378"/>
      <c r="HP119" s="378"/>
      <c r="HQ119" s="378"/>
      <c r="HR119" s="378"/>
      <c r="HS119" s="378"/>
      <c r="HT119" s="378"/>
      <c r="HU119" s="378"/>
      <c r="HV119" s="378"/>
      <c r="HW119" s="378"/>
      <c r="HX119" s="378"/>
      <c r="HY119" s="378"/>
      <c r="HZ119" s="378"/>
      <c r="IA119" s="378"/>
      <c r="IB119" s="378"/>
      <c r="IC119" s="378"/>
      <c r="ID119" s="378"/>
      <c r="IE119" s="378"/>
      <c r="IF119" s="378"/>
      <c r="IG119" s="378"/>
      <c r="IH119" s="378"/>
      <c r="II119" s="378"/>
      <c r="IJ119" s="378"/>
      <c r="IK119" s="378"/>
      <c r="IL119" s="378"/>
      <c r="IM119" s="378"/>
      <c r="IN119" s="378"/>
      <c r="IO119" s="378"/>
      <c r="IP119" s="378"/>
      <c r="IQ119" s="378"/>
      <c r="IR119" s="378"/>
      <c r="IS119" s="378"/>
      <c r="IT119" s="378"/>
      <c r="IU119" s="378"/>
      <c r="IV119" s="378"/>
      <c r="IW119" s="378"/>
      <c r="IX119" s="378"/>
      <c r="IY119" s="378"/>
      <c r="IZ119" s="378"/>
      <c r="JA119" s="378"/>
    </row>
    <row r="120" spans="2:261" s="379" customFormat="1" ht="14">
      <c r="B120" s="374"/>
      <c r="C120" s="375"/>
      <c r="D120" s="402"/>
      <c r="E120" s="400"/>
      <c r="F120" s="406" t="str">
        <f>"Action plan 3C: "&amp;F43</f>
        <v>Action plan 3C:  (starting )</v>
      </c>
      <c r="G120" s="400"/>
      <c r="H120" s="376"/>
      <c r="I120" s="377"/>
      <c r="J120" s="378"/>
      <c r="K120" s="378"/>
      <c r="L120" s="378"/>
      <c r="M120" s="378"/>
      <c r="N120" s="378"/>
      <c r="O120" s="378"/>
      <c r="P120" s="378"/>
      <c r="Q120" s="378"/>
      <c r="R120" s="378"/>
      <c r="S120" s="378"/>
      <c r="T120" s="378"/>
      <c r="U120" s="378"/>
      <c r="V120" s="378"/>
      <c r="W120" s="378"/>
      <c r="X120" s="378"/>
      <c r="Y120" s="378"/>
      <c r="Z120" s="378"/>
      <c r="AA120" s="378"/>
      <c r="AB120" s="378"/>
      <c r="AC120" s="378"/>
      <c r="AD120" s="378"/>
      <c r="AE120" s="378"/>
      <c r="AF120" s="378"/>
      <c r="AG120" s="378"/>
      <c r="AH120" s="378"/>
      <c r="AI120" s="378"/>
      <c r="AJ120" s="378"/>
      <c r="AK120" s="378"/>
      <c r="AL120" s="378"/>
      <c r="AM120" s="378"/>
      <c r="AN120" s="378"/>
      <c r="AO120" s="378"/>
      <c r="AP120" s="378"/>
      <c r="AQ120" s="378"/>
      <c r="AR120" s="378"/>
      <c r="AS120" s="378"/>
      <c r="AT120" s="378"/>
      <c r="AU120" s="378"/>
      <c r="AV120" s="378"/>
      <c r="AW120" s="378"/>
      <c r="AX120" s="378"/>
      <c r="AY120" s="378"/>
      <c r="AZ120" s="378"/>
      <c r="BA120" s="378"/>
      <c r="BB120" s="378"/>
      <c r="BC120" s="378"/>
      <c r="BD120" s="378"/>
      <c r="BE120" s="378"/>
      <c r="BF120" s="378"/>
      <c r="BG120" s="378"/>
      <c r="BH120" s="378"/>
      <c r="BI120" s="378"/>
      <c r="BJ120" s="378"/>
      <c r="BK120" s="378"/>
      <c r="BL120" s="378"/>
      <c r="BM120" s="378"/>
      <c r="BN120" s="378"/>
      <c r="BO120" s="378"/>
      <c r="BP120" s="378"/>
      <c r="BQ120" s="378"/>
      <c r="BR120" s="378"/>
      <c r="BS120" s="378"/>
      <c r="BT120" s="378"/>
      <c r="BU120" s="378"/>
      <c r="BV120" s="378"/>
      <c r="BW120" s="378"/>
      <c r="BX120" s="378"/>
      <c r="BY120" s="378"/>
      <c r="BZ120" s="378"/>
      <c r="CA120" s="378"/>
      <c r="CB120" s="378"/>
      <c r="CC120" s="378"/>
      <c r="CD120" s="378"/>
      <c r="CE120" s="378"/>
      <c r="CF120" s="378"/>
      <c r="CG120" s="378"/>
      <c r="CH120" s="378"/>
      <c r="CI120" s="378"/>
      <c r="CJ120" s="378"/>
      <c r="CK120" s="378"/>
      <c r="CL120" s="378"/>
      <c r="CM120" s="378"/>
      <c r="CN120" s="378"/>
      <c r="CO120" s="378"/>
      <c r="CP120" s="378"/>
      <c r="CQ120" s="378"/>
      <c r="CR120" s="378"/>
      <c r="CS120" s="378"/>
      <c r="CT120" s="378"/>
      <c r="CU120" s="378"/>
      <c r="CV120" s="378"/>
      <c r="CW120" s="378"/>
      <c r="CX120" s="378"/>
      <c r="CY120" s="378"/>
      <c r="CZ120" s="378"/>
      <c r="DA120" s="378"/>
      <c r="DB120" s="378"/>
      <c r="DC120" s="378"/>
      <c r="DD120" s="378"/>
      <c r="DE120" s="378"/>
      <c r="DF120" s="378"/>
      <c r="DG120" s="378"/>
      <c r="DH120" s="378"/>
      <c r="DI120" s="378"/>
      <c r="DJ120" s="378"/>
      <c r="DK120" s="378"/>
      <c r="DL120" s="378"/>
      <c r="DM120" s="378"/>
      <c r="DN120" s="378"/>
      <c r="DO120" s="378"/>
      <c r="DP120" s="378"/>
      <c r="DQ120" s="378"/>
      <c r="DR120" s="378"/>
      <c r="DS120" s="378"/>
      <c r="DT120" s="378"/>
      <c r="DU120" s="378"/>
      <c r="DV120" s="378"/>
      <c r="DW120" s="378"/>
      <c r="DX120" s="378"/>
      <c r="DY120" s="378"/>
      <c r="DZ120" s="378"/>
      <c r="EA120" s="378"/>
      <c r="EB120" s="378"/>
      <c r="EC120" s="378"/>
      <c r="ED120" s="378"/>
      <c r="EE120" s="378"/>
      <c r="EF120" s="378"/>
      <c r="EG120" s="378"/>
      <c r="EH120" s="378"/>
      <c r="EI120" s="378"/>
      <c r="EJ120" s="378"/>
      <c r="EK120" s="378"/>
      <c r="EL120" s="378"/>
      <c r="EM120" s="378"/>
      <c r="EN120" s="378"/>
      <c r="EO120" s="378"/>
      <c r="EP120" s="378"/>
      <c r="EQ120" s="378"/>
      <c r="ER120" s="378"/>
      <c r="ES120" s="378"/>
      <c r="ET120" s="378"/>
      <c r="EU120" s="378"/>
      <c r="EV120" s="378"/>
      <c r="EW120" s="378"/>
      <c r="EX120" s="378"/>
      <c r="EY120" s="378"/>
      <c r="EZ120" s="378"/>
      <c r="FA120" s="378"/>
      <c r="FB120" s="378"/>
      <c r="FC120" s="378"/>
      <c r="FD120" s="378"/>
      <c r="FE120" s="378"/>
      <c r="FF120" s="378"/>
      <c r="FG120" s="378"/>
      <c r="FH120" s="378"/>
      <c r="FI120" s="378"/>
      <c r="FJ120" s="378"/>
      <c r="FK120" s="378"/>
      <c r="FL120" s="378"/>
      <c r="FM120" s="378"/>
      <c r="FN120" s="378"/>
      <c r="FO120" s="378"/>
      <c r="FP120" s="378"/>
      <c r="FQ120" s="378"/>
      <c r="FR120" s="378"/>
      <c r="FS120" s="378"/>
      <c r="FT120" s="378"/>
      <c r="FU120" s="378"/>
      <c r="FV120" s="378"/>
      <c r="FW120" s="378"/>
      <c r="FX120" s="378"/>
      <c r="FY120" s="378"/>
      <c r="FZ120" s="378"/>
      <c r="GA120" s="378"/>
      <c r="GB120" s="378"/>
      <c r="GC120" s="378"/>
      <c r="GD120" s="378"/>
      <c r="GE120" s="378"/>
      <c r="GF120" s="378"/>
      <c r="GG120" s="378"/>
      <c r="GH120" s="378"/>
      <c r="GI120" s="378"/>
      <c r="GJ120" s="378"/>
      <c r="GK120" s="378"/>
      <c r="GL120" s="378"/>
      <c r="GM120" s="378"/>
      <c r="GN120" s="378"/>
      <c r="GO120" s="378"/>
      <c r="GP120" s="378"/>
      <c r="GQ120" s="378"/>
      <c r="GR120" s="378"/>
      <c r="GS120" s="378"/>
      <c r="GT120" s="378"/>
      <c r="GU120" s="378"/>
      <c r="GV120" s="378"/>
      <c r="GW120" s="378"/>
      <c r="GX120" s="378"/>
      <c r="GY120" s="378"/>
      <c r="GZ120" s="378"/>
      <c r="HA120" s="378"/>
      <c r="HB120" s="378"/>
      <c r="HC120" s="378"/>
      <c r="HD120" s="378"/>
      <c r="HE120" s="378"/>
      <c r="HF120" s="378"/>
      <c r="HG120" s="378"/>
      <c r="HH120" s="378"/>
      <c r="HI120" s="378"/>
      <c r="HJ120" s="378"/>
      <c r="HK120" s="378"/>
      <c r="HL120" s="378"/>
      <c r="HM120" s="378"/>
      <c r="HN120" s="378"/>
      <c r="HO120" s="378"/>
      <c r="HP120" s="378"/>
      <c r="HQ120" s="378"/>
      <c r="HR120" s="378"/>
      <c r="HS120" s="378"/>
      <c r="HT120" s="378"/>
      <c r="HU120" s="378"/>
      <c r="HV120" s="378"/>
      <c r="HW120" s="378"/>
      <c r="HX120" s="378"/>
      <c r="HY120" s="378"/>
      <c r="HZ120" s="378"/>
      <c r="IA120" s="378"/>
      <c r="IB120" s="378"/>
      <c r="IC120" s="378"/>
      <c r="ID120" s="378"/>
      <c r="IE120" s="378"/>
      <c r="IF120" s="378"/>
      <c r="IG120" s="378"/>
      <c r="IH120" s="378"/>
      <c r="II120" s="378"/>
      <c r="IJ120" s="378"/>
      <c r="IK120" s="378"/>
      <c r="IL120" s="378"/>
      <c r="IM120" s="378"/>
      <c r="IN120" s="378"/>
      <c r="IO120" s="378"/>
      <c r="IP120" s="378"/>
      <c r="IQ120" s="378"/>
      <c r="IR120" s="378"/>
      <c r="IS120" s="378"/>
      <c r="IT120" s="378"/>
      <c r="IU120" s="378"/>
      <c r="IV120" s="378"/>
      <c r="IW120" s="378"/>
      <c r="IX120" s="378"/>
      <c r="IY120" s="378"/>
      <c r="IZ120" s="378"/>
      <c r="JA120" s="378"/>
    </row>
    <row r="121" spans="2:261" s="379" customFormat="1" ht="14">
      <c r="B121" s="374"/>
      <c r="C121" s="375"/>
      <c r="D121" s="402"/>
      <c r="E121" s="400"/>
      <c r="F121" s="409" t="str">
        <f>"    Actual action: "&amp;F44</f>
        <v xml:space="preserve">    Actual action: </v>
      </c>
      <c r="G121" s="400"/>
      <c r="H121" s="376"/>
      <c r="I121" s="377"/>
      <c r="J121" s="378"/>
      <c r="K121" s="378"/>
      <c r="L121" s="378"/>
      <c r="M121" s="378"/>
      <c r="N121" s="378"/>
      <c r="O121" s="378"/>
      <c r="P121" s="378"/>
      <c r="Q121" s="378"/>
      <c r="R121" s="378"/>
      <c r="S121" s="378"/>
      <c r="T121" s="378"/>
      <c r="U121" s="378"/>
      <c r="V121" s="378"/>
      <c r="W121" s="378"/>
      <c r="X121" s="378"/>
      <c r="Y121" s="378"/>
      <c r="Z121" s="378"/>
      <c r="AA121" s="378"/>
      <c r="AB121" s="378"/>
      <c r="AC121" s="378"/>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78"/>
      <c r="AY121" s="378"/>
      <c r="AZ121" s="378"/>
      <c r="BA121" s="378"/>
      <c r="BB121" s="378"/>
      <c r="BC121" s="378"/>
      <c r="BD121" s="378"/>
      <c r="BE121" s="378"/>
      <c r="BF121" s="378"/>
      <c r="BG121" s="378"/>
      <c r="BH121" s="378"/>
      <c r="BI121" s="378"/>
      <c r="BJ121" s="378"/>
      <c r="BK121" s="378"/>
      <c r="BL121" s="378"/>
      <c r="BM121" s="378"/>
      <c r="BN121" s="378"/>
      <c r="BO121" s="378"/>
      <c r="BP121" s="378"/>
      <c r="BQ121" s="378"/>
      <c r="BR121" s="378"/>
      <c r="BS121" s="378"/>
      <c r="BT121" s="378"/>
      <c r="BU121" s="378"/>
      <c r="BV121" s="378"/>
      <c r="BW121" s="378"/>
      <c r="BX121" s="378"/>
      <c r="BY121" s="378"/>
      <c r="BZ121" s="378"/>
      <c r="CA121" s="378"/>
      <c r="CB121" s="378"/>
      <c r="CC121" s="378"/>
      <c r="CD121" s="378"/>
      <c r="CE121" s="378"/>
      <c r="CF121" s="378"/>
      <c r="CG121" s="378"/>
      <c r="CH121" s="378"/>
      <c r="CI121" s="378"/>
      <c r="CJ121" s="378"/>
      <c r="CK121" s="378"/>
      <c r="CL121" s="378"/>
      <c r="CM121" s="378"/>
      <c r="CN121" s="378"/>
      <c r="CO121" s="378"/>
      <c r="CP121" s="378"/>
      <c r="CQ121" s="378"/>
      <c r="CR121" s="378"/>
      <c r="CS121" s="378"/>
      <c r="CT121" s="378"/>
      <c r="CU121" s="378"/>
      <c r="CV121" s="378"/>
      <c r="CW121" s="378"/>
      <c r="CX121" s="378"/>
      <c r="CY121" s="378"/>
      <c r="CZ121" s="378"/>
      <c r="DA121" s="378"/>
      <c r="DB121" s="378"/>
      <c r="DC121" s="378"/>
      <c r="DD121" s="378"/>
      <c r="DE121" s="378"/>
      <c r="DF121" s="378"/>
      <c r="DG121" s="378"/>
      <c r="DH121" s="378"/>
      <c r="DI121" s="378"/>
      <c r="DJ121" s="378"/>
      <c r="DK121" s="378"/>
      <c r="DL121" s="378"/>
      <c r="DM121" s="378"/>
      <c r="DN121" s="378"/>
      <c r="DO121" s="378"/>
      <c r="DP121" s="378"/>
      <c r="DQ121" s="378"/>
      <c r="DR121" s="378"/>
      <c r="DS121" s="378"/>
      <c r="DT121" s="378"/>
      <c r="DU121" s="378"/>
      <c r="DV121" s="378"/>
      <c r="DW121" s="378"/>
      <c r="DX121" s="378"/>
      <c r="DY121" s="378"/>
      <c r="DZ121" s="378"/>
      <c r="EA121" s="378"/>
      <c r="EB121" s="378"/>
      <c r="EC121" s="378"/>
      <c r="ED121" s="378"/>
      <c r="EE121" s="378"/>
      <c r="EF121" s="378"/>
      <c r="EG121" s="378"/>
      <c r="EH121" s="378"/>
      <c r="EI121" s="378"/>
      <c r="EJ121" s="378"/>
      <c r="EK121" s="378"/>
      <c r="EL121" s="378"/>
      <c r="EM121" s="378"/>
      <c r="EN121" s="378"/>
      <c r="EO121" s="378"/>
      <c r="EP121" s="378"/>
      <c r="EQ121" s="378"/>
      <c r="ER121" s="378"/>
      <c r="ES121" s="378"/>
      <c r="ET121" s="378"/>
      <c r="EU121" s="378"/>
      <c r="EV121" s="378"/>
      <c r="EW121" s="378"/>
      <c r="EX121" s="378"/>
      <c r="EY121" s="378"/>
      <c r="EZ121" s="378"/>
      <c r="FA121" s="378"/>
      <c r="FB121" s="378"/>
      <c r="FC121" s="378"/>
      <c r="FD121" s="378"/>
      <c r="FE121" s="378"/>
      <c r="FF121" s="378"/>
      <c r="FG121" s="378"/>
      <c r="FH121" s="378"/>
      <c r="FI121" s="378"/>
      <c r="FJ121" s="378"/>
      <c r="FK121" s="378"/>
      <c r="FL121" s="378"/>
      <c r="FM121" s="378"/>
      <c r="FN121" s="378"/>
      <c r="FO121" s="378"/>
      <c r="FP121" s="378"/>
      <c r="FQ121" s="378"/>
      <c r="FR121" s="378"/>
      <c r="FS121" s="378"/>
      <c r="FT121" s="378"/>
      <c r="FU121" s="378"/>
      <c r="FV121" s="378"/>
      <c r="FW121" s="378"/>
      <c r="FX121" s="378"/>
      <c r="FY121" s="378"/>
      <c r="FZ121" s="378"/>
      <c r="GA121" s="378"/>
      <c r="GB121" s="378"/>
      <c r="GC121" s="378"/>
      <c r="GD121" s="378"/>
      <c r="GE121" s="378"/>
      <c r="GF121" s="378"/>
      <c r="GG121" s="378"/>
      <c r="GH121" s="378"/>
      <c r="GI121" s="378"/>
      <c r="GJ121" s="378"/>
      <c r="GK121" s="378"/>
      <c r="GL121" s="378"/>
      <c r="GM121" s="378"/>
      <c r="GN121" s="378"/>
      <c r="GO121" s="378"/>
      <c r="GP121" s="378"/>
      <c r="GQ121" s="378"/>
      <c r="GR121" s="378"/>
      <c r="GS121" s="378"/>
      <c r="GT121" s="378"/>
      <c r="GU121" s="378"/>
      <c r="GV121" s="378"/>
      <c r="GW121" s="378"/>
      <c r="GX121" s="378"/>
      <c r="GY121" s="378"/>
      <c r="GZ121" s="378"/>
      <c r="HA121" s="378"/>
      <c r="HB121" s="378"/>
      <c r="HC121" s="378"/>
      <c r="HD121" s="378"/>
      <c r="HE121" s="378"/>
      <c r="HF121" s="378"/>
      <c r="HG121" s="378"/>
      <c r="HH121" s="378"/>
      <c r="HI121" s="378"/>
      <c r="HJ121" s="378"/>
      <c r="HK121" s="378"/>
      <c r="HL121" s="378"/>
      <c r="HM121" s="378"/>
      <c r="HN121" s="378"/>
      <c r="HO121" s="378"/>
      <c r="HP121" s="378"/>
      <c r="HQ121" s="378"/>
      <c r="HR121" s="378"/>
      <c r="HS121" s="378"/>
      <c r="HT121" s="378"/>
      <c r="HU121" s="378"/>
      <c r="HV121" s="378"/>
      <c r="HW121" s="378"/>
      <c r="HX121" s="378"/>
      <c r="HY121" s="378"/>
      <c r="HZ121" s="378"/>
      <c r="IA121" s="378"/>
      <c r="IB121" s="378"/>
      <c r="IC121" s="378"/>
      <c r="ID121" s="378"/>
      <c r="IE121" s="378"/>
      <c r="IF121" s="378"/>
      <c r="IG121" s="378"/>
      <c r="IH121" s="378"/>
      <c r="II121" s="378"/>
      <c r="IJ121" s="378"/>
      <c r="IK121" s="378"/>
      <c r="IL121" s="378"/>
      <c r="IM121" s="378"/>
      <c r="IN121" s="378"/>
      <c r="IO121" s="378"/>
      <c r="IP121" s="378"/>
      <c r="IQ121" s="378"/>
      <c r="IR121" s="378"/>
      <c r="IS121" s="378"/>
      <c r="IT121" s="378"/>
      <c r="IU121" s="378"/>
      <c r="IV121" s="378"/>
      <c r="IW121" s="378"/>
      <c r="IX121" s="378"/>
      <c r="IY121" s="378"/>
      <c r="IZ121" s="378"/>
      <c r="JA121" s="378"/>
    </row>
    <row r="122" spans="2:261" s="379" customFormat="1">
      <c r="B122" s="374"/>
      <c r="C122" s="375"/>
      <c r="D122" s="403"/>
      <c r="E122" s="404"/>
      <c r="F122" s="406" t="str">
        <f>"Minimum gain ("&amp;'Planning Template'!$F$101&amp;") was "&amp;E46&amp;"."</f>
        <v>Minimum gain () was .</v>
      </c>
      <c r="G122" s="405"/>
      <c r="H122" s="376"/>
      <c r="I122" s="377"/>
      <c r="J122" s="378"/>
      <c r="K122" s="378"/>
      <c r="L122" s="378"/>
      <c r="M122" s="378"/>
      <c r="N122" s="378"/>
      <c r="O122" s="378"/>
      <c r="P122" s="378"/>
      <c r="Q122" s="378"/>
      <c r="R122" s="378"/>
      <c r="S122" s="378"/>
      <c r="T122" s="378"/>
      <c r="U122" s="378"/>
      <c r="V122" s="378"/>
      <c r="W122" s="378"/>
      <c r="X122" s="378"/>
      <c r="Y122" s="378"/>
      <c r="Z122" s="378"/>
      <c r="AA122" s="378"/>
      <c r="AB122" s="378"/>
      <c r="AC122" s="378"/>
      <c r="AD122" s="378"/>
      <c r="AE122" s="378"/>
      <c r="AF122" s="378"/>
      <c r="AG122" s="378"/>
      <c r="AH122" s="378"/>
      <c r="AI122" s="378"/>
      <c r="AJ122" s="378"/>
      <c r="AK122" s="378"/>
      <c r="AL122" s="378"/>
      <c r="AM122" s="378"/>
      <c r="AN122" s="378"/>
      <c r="AO122" s="378"/>
      <c r="AP122" s="378"/>
      <c r="AQ122" s="378"/>
      <c r="AR122" s="378"/>
      <c r="AS122" s="378"/>
      <c r="AT122" s="378"/>
      <c r="AU122" s="378"/>
      <c r="AV122" s="378"/>
      <c r="AW122" s="378"/>
      <c r="AX122" s="378"/>
      <c r="AY122" s="378"/>
      <c r="AZ122" s="378"/>
      <c r="BA122" s="378"/>
      <c r="BB122" s="378"/>
      <c r="BC122" s="378"/>
      <c r="BD122" s="378"/>
      <c r="BE122" s="378"/>
      <c r="BF122" s="378"/>
      <c r="BG122" s="378"/>
      <c r="BH122" s="378"/>
      <c r="BI122" s="378"/>
      <c r="BJ122" s="378"/>
      <c r="BK122" s="378"/>
      <c r="BL122" s="378"/>
      <c r="BM122" s="378"/>
      <c r="BN122" s="378"/>
      <c r="BO122" s="378"/>
      <c r="BP122" s="378"/>
      <c r="BQ122" s="378"/>
      <c r="BR122" s="378"/>
      <c r="BS122" s="378"/>
      <c r="BT122" s="378"/>
      <c r="BU122" s="378"/>
      <c r="BV122" s="378"/>
      <c r="BW122" s="378"/>
      <c r="BX122" s="378"/>
      <c r="BY122" s="378"/>
      <c r="BZ122" s="378"/>
      <c r="CA122" s="378"/>
      <c r="CB122" s="378"/>
      <c r="CC122" s="378"/>
      <c r="CD122" s="378"/>
      <c r="CE122" s="378"/>
      <c r="CF122" s="378"/>
      <c r="CG122" s="378"/>
      <c r="CH122" s="378"/>
      <c r="CI122" s="378"/>
      <c r="CJ122" s="378"/>
      <c r="CK122" s="378"/>
      <c r="CL122" s="378"/>
      <c r="CM122" s="378"/>
      <c r="CN122" s="378"/>
      <c r="CO122" s="378"/>
      <c r="CP122" s="378"/>
      <c r="CQ122" s="378"/>
      <c r="CR122" s="378"/>
      <c r="CS122" s="378"/>
      <c r="CT122" s="378"/>
      <c r="CU122" s="378"/>
      <c r="CV122" s="378"/>
      <c r="CW122" s="378"/>
      <c r="CX122" s="378"/>
      <c r="CY122" s="378"/>
      <c r="CZ122" s="378"/>
      <c r="DA122" s="378"/>
      <c r="DB122" s="378"/>
      <c r="DC122" s="378"/>
      <c r="DD122" s="378"/>
      <c r="DE122" s="378"/>
      <c r="DF122" s="378"/>
      <c r="DG122" s="378"/>
      <c r="DH122" s="378"/>
      <c r="DI122" s="378"/>
      <c r="DJ122" s="378"/>
      <c r="DK122" s="378"/>
      <c r="DL122" s="378"/>
      <c r="DM122" s="378"/>
      <c r="DN122" s="378"/>
      <c r="DO122" s="378"/>
      <c r="DP122" s="378"/>
      <c r="DQ122" s="378"/>
      <c r="DR122" s="378"/>
      <c r="DS122" s="378"/>
      <c r="DT122" s="378"/>
      <c r="DU122" s="378"/>
      <c r="DV122" s="378"/>
      <c r="DW122" s="378"/>
      <c r="DX122" s="378"/>
      <c r="DY122" s="378"/>
      <c r="DZ122" s="378"/>
      <c r="EA122" s="378"/>
      <c r="EB122" s="378"/>
      <c r="EC122" s="378"/>
      <c r="ED122" s="378"/>
      <c r="EE122" s="378"/>
      <c r="EF122" s="378"/>
      <c r="EG122" s="378"/>
      <c r="EH122" s="378"/>
      <c r="EI122" s="378"/>
      <c r="EJ122" s="378"/>
      <c r="EK122" s="378"/>
      <c r="EL122" s="378"/>
      <c r="EM122" s="378"/>
      <c r="EN122" s="378"/>
      <c r="EO122" s="378"/>
      <c r="EP122" s="378"/>
      <c r="EQ122" s="378"/>
      <c r="ER122" s="378"/>
      <c r="ES122" s="378"/>
      <c r="ET122" s="378"/>
      <c r="EU122" s="378"/>
      <c r="EV122" s="378"/>
      <c r="EW122" s="378"/>
      <c r="EX122" s="378"/>
      <c r="EY122" s="378"/>
      <c r="EZ122" s="378"/>
      <c r="FA122" s="378"/>
      <c r="FB122" s="378"/>
      <c r="FC122" s="378"/>
      <c r="FD122" s="378"/>
      <c r="FE122" s="378"/>
      <c r="FF122" s="378"/>
      <c r="FG122" s="378"/>
      <c r="FH122" s="378"/>
      <c r="FI122" s="378"/>
      <c r="FJ122" s="378"/>
      <c r="FK122" s="378"/>
      <c r="FL122" s="378"/>
      <c r="FM122" s="378"/>
      <c r="FN122" s="378"/>
      <c r="FO122" s="378"/>
      <c r="FP122" s="378"/>
      <c r="FQ122" s="378"/>
      <c r="FR122" s="378"/>
      <c r="FS122" s="378"/>
      <c r="FT122" s="378"/>
      <c r="FU122" s="378"/>
      <c r="FV122" s="378"/>
      <c r="FW122" s="378"/>
      <c r="FX122" s="378"/>
      <c r="FY122" s="378"/>
      <c r="FZ122" s="378"/>
      <c r="GA122" s="378"/>
      <c r="GB122" s="378"/>
      <c r="GC122" s="378"/>
      <c r="GD122" s="378"/>
      <c r="GE122" s="378"/>
      <c r="GF122" s="378"/>
      <c r="GG122" s="378"/>
      <c r="GH122" s="378"/>
      <c r="GI122" s="378"/>
      <c r="GJ122" s="378"/>
      <c r="GK122" s="378"/>
      <c r="GL122" s="378"/>
      <c r="GM122" s="378"/>
      <c r="GN122" s="378"/>
      <c r="GO122" s="378"/>
      <c r="GP122" s="378"/>
      <c r="GQ122" s="378"/>
      <c r="GR122" s="378"/>
      <c r="GS122" s="378"/>
      <c r="GT122" s="378"/>
      <c r="GU122" s="378"/>
      <c r="GV122" s="378"/>
      <c r="GW122" s="378"/>
      <c r="GX122" s="378"/>
      <c r="GY122" s="378"/>
      <c r="GZ122" s="378"/>
      <c r="HA122" s="378"/>
      <c r="HB122" s="378"/>
      <c r="HC122" s="378"/>
      <c r="HD122" s="378"/>
      <c r="HE122" s="378"/>
      <c r="HF122" s="378"/>
      <c r="HG122" s="378"/>
      <c r="HH122" s="378"/>
      <c r="HI122" s="378"/>
      <c r="HJ122" s="378"/>
      <c r="HK122" s="378"/>
      <c r="HL122" s="378"/>
      <c r="HM122" s="378"/>
      <c r="HN122" s="378"/>
      <c r="HO122" s="378"/>
      <c r="HP122" s="378"/>
      <c r="HQ122" s="378"/>
      <c r="HR122" s="378"/>
      <c r="HS122" s="378"/>
      <c r="HT122" s="378"/>
      <c r="HU122" s="378"/>
      <c r="HV122" s="378"/>
      <c r="HW122" s="378"/>
      <c r="HX122" s="378"/>
      <c r="HY122" s="378"/>
      <c r="HZ122" s="378"/>
      <c r="IA122" s="378"/>
      <c r="IB122" s="378"/>
      <c r="IC122" s="378"/>
      <c r="ID122" s="378"/>
      <c r="IE122" s="378"/>
      <c r="IF122" s="378"/>
      <c r="IG122" s="378"/>
      <c r="IH122" s="378"/>
      <c r="II122" s="378"/>
      <c r="IJ122" s="378"/>
      <c r="IK122" s="378"/>
      <c r="IL122" s="378"/>
      <c r="IM122" s="378"/>
      <c r="IN122" s="378"/>
      <c r="IO122" s="378"/>
      <c r="IP122" s="378"/>
      <c r="IQ122" s="378"/>
      <c r="IR122" s="378"/>
      <c r="IS122" s="378"/>
      <c r="IT122" s="378"/>
      <c r="IU122" s="378"/>
      <c r="IV122" s="378"/>
      <c r="IW122" s="378"/>
      <c r="IX122" s="378"/>
      <c r="IY122" s="378"/>
      <c r="IZ122" s="378"/>
      <c r="JA122" s="378"/>
    </row>
    <row r="123" spans="2:261" s="379" customFormat="1">
      <c r="B123" s="374"/>
      <c r="C123" s="375"/>
      <c r="D123" s="403"/>
      <c r="E123" s="404"/>
      <c r="F123" s="406"/>
      <c r="G123" s="405"/>
      <c r="H123" s="376"/>
      <c r="I123" s="377"/>
      <c r="J123" s="378"/>
      <c r="K123" s="378"/>
      <c r="L123" s="378"/>
      <c r="M123" s="378"/>
      <c r="N123" s="378"/>
      <c r="O123" s="378"/>
      <c r="P123" s="378"/>
      <c r="Q123" s="378"/>
      <c r="R123" s="378"/>
      <c r="S123" s="378"/>
      <c r="T123" s="378"/>
      <c r="U123" s="378"/>
      <c r="V123" s="378"/>
      <c r="W123" s="378"/>
      <c r="X123" s="378"/>
      <c r="Y123" s="378"/>
      <c r="Z123" s="378"/>
      <c r="AA123" s="378"/>
      <c r="AB123" s="378"/>
      <c r="AC123" s="378"/>
      <c r="AD123" s="378"/>
      <c r="AE123" s="378"/>
      <c r="AF123" s="378"/>
      <c r="AG123" s="378"/>
      <c r="AH123" s="378"/>
      <c r="AI123" s="378"/>
      <c r="AJ123" s="378"/>
      <c r="AK123" s="378"/>
      <c r="AL123" s="378"/>
      <c r="AM123" s="378"/>
      <c r="AN123" s="378"/>
      <c r="AO123" s="378"/>
      <c r="AP123" s="378"/>
      <c r="AQ123" s="378"/>
      <c r="AR123" s="378"/>
      <c r="AS123" s="378"/>
      <c r="AT123" s="378"/>
      <c r="AU123" s="378"/>
      <c r="AV123" s="378"/>
      <c r="AW123" s="378"/>
      <c r="AX123" s="378"/>
      <c r="AY123" s="378"/>
      <c r="AZ123" s="378"/>
      <c r="BA123" s="378"/>
      <c r="BB123" s="378"/>
      <c r="BC123" s="378"/>
      <c r="BD123" s="378"/>
      <c r="BE123" s="378"/>
      <c r="BF123" s="378"/>
      <c r="BG123" s="378"/>
      <c r="BH123" s="378"/>
      <c r="BI123" s="378"/>
      <c r="BJ123" s="378"/>
      <c r="BK123" s="378"/>
      <c r="BL123" s="378"/>
      <c r="BM123" s="378"/>
      <c r="BN123" s="378"/>
      <c r="BO123" s="378"/>
      <c r="BP123" s="378"/>
      <c r="BQ123" s="378"/>
      <c r="BR123" s="378"/>
      <c r="BS123" s="378"/>
      <c r="BT123" s="378"/>
      <c r="BU123" s="378"/>
      <c r="BV123" s="378"/>
      <c r="BW123" s="378"/>
      <c r="BX123" s="378"/>
      <c r="BY123" s="378"/>
      <c r="BZ123" s="378"/>
      <c r="CA123" s="378"/>
      <c r="CB123" s="378"/>
      <c r="CC123" s="378"/>
      <c r="CD123" s="378"/>
      <c r="CE123" s="378"/>
      <c r="CF123" s="378"/>
      <c r="CG123" s="378"/>
      <c r="CH123" s="378"/>
      <c r="CI123" s="378"/>
      <c r="CJ123" s="378"/>
      <c r="CK123" s="378"/>
      <c r="CL123" s="378"/>
      <c r="CM123" s="378"/>
      <c r="CN123" s="378"/>
      <c r="CO123" s="378"/>
      <c r="CP123" s="378"/>
      <c r="CQ123" s="378"/>
      <c r="CR123" s="378"/>
      <c r="CS123" s="378"/>
      <c r="CT123" s="378"/>
      <c r="CU123" s="378"/>
      <c r="CV123" s="378"/>
      <c r="CW123" s="378"/>
      <c r="CX123" s="378"/>
      <c r="CY123" s="378"/>
      <c r="CZ123" s="378"/>
      <c r="DA123" s="378"/>
      <c r="DB123" s="378"/>
      <c r="DC123" s="378"/>
      <c r="DD123" s="378"/>
      <c r="DE123" s="378"/>
      <c r="DF123" s="378"/>
      <c r="DG123" s="378"/>
      <c r="DH123" s="378"/>
      <c r="DI123" s="378"/>
      <c r="DJ123" s="378"/>
      <c r="DK123" s="378"/>
      <c r="DL123" s="378"/>
      <c r="DM123" s="378"/>
      <c r="DN123" s="378"/>
      <c r="DO123" s="378"/>
      <c r="DP123" s="378"/>
      <c r="DQ123" s="378"/>
      <c r="DR123" s="378"/>
      <c r="DS123" s="378"/>
      <c r="DT123" s="378"/>
      <c r="DU123" s="378"/>
      <c r="DV123" s="378"/>
      <c r="DW123" s="378"/>
      <c r="DX123" s="378"/>
      <c r="DY123" s="378"/>
      <c r="DZ123" s="378"/>
      <c r="EA123" s="378"/>
      <c r="EB123" s="378"/>
      <c r="EC123" s="378"/>
      <c r="ED123" s="378"/>
      <c r="EE123" s="378"/>
      <c r="EF123" s="378"/>
      <c r="EG123" s="378"/>
      <c r="EH123" s="378"/>
      <c r="EI123" s="378"/>
      <c r="EJ123" s="378"/>
      <c r="EK123" s="378"/>
      <c r="EL123" s="378"/>
      <c r="EM123" s="378"/>
      <c r="EN123" s="378"/>
      <c r="EO123" s="378"/>
      <c r="EP123" s="378"/>
      <c r="EQ123" s="378"/>
      <c r="ER123" s="378"/>
      <c r="ES123" s="378"/>
      <c r="ET123" s="378"/>
      <c r="EU123" s="378"/>
      <c r="EV123" s="378"/>
      <c r="EW123" s="378"/>
      <c r="EX123" s="378"/>
      <c r="EY123" s="378"/>
      <c r="EZ123" s="378"/>
      <c r="FA123" s="378"/>
      <c r="FB123" s="378"/>
      <c r="FC123" s="378"/>
      <c r="FD123" s="378"/>
      <c r="FE123" s="378"/>
      <c r="FF123" s="378"/>
      <c r="FG123" s="378"/>
      <c r="FH123" s="378"/>
      <c r="FI123" s="378"/>
      <c r="FJ123" s="378"/>
      <c r="FK123" s="378"/>
      <c r="FL123" s="378"/>
      <c r="FM123" s="378"/>
      <c r="FN123" s="378"/>
      <c r="FO123" s="378"/>
      <c r="FP123" s="378"/>
      <c r="FQ123" s="378"/>
      <c r="FR123" s="378"/>
      <c r="FS123" s="378"/>
      <c r="FT123" s="378"/>
      <c r="FU123" s="378"/>
      <c r="FV123" s="378"/>
      <c r="FW123" s="378"/>
      <c r="FX123" s="378"/>
      <c r="FY123" s="378"/>
      <c r="FZ123" s="378"/>
      <c r="GA123" s="378"/>
      <c r="GB123" s="378"/>
      <c r="GC123" s="378"/>
      <c r="GD123" s="378"/>
      <c r="GE123" s="378"/>
      <c r="GF123" s="378"/>
      <c r="GG123" s="378"/>
      <c r="GH123" s="378"/>
      <c r="GI123" s="378"/>
      <c r="GJ123" s="378"/>
      <c r="GK123" s="378"/>
      <c r="GL123" s="378"/>
      <c r="GM123" s="378"/>
      <c r="GN123" s="378"/>
      <c r="GO123" s="378"/>
      <c r="GP123" s="378"/>
      <c r="GQ123" s="378"/>
      <c r="GR123" s="378"/>
      <c r="GS123" s="378"/>
      <c r="GT123" s="378"/>
      <c r="GU123" s="378"/>
      <c r="GV123" s="378"/>
      <c r="GW123" s="378"/>
      <c r="GX123" s="378"/>
      <c r="GY123" s="378"/>
      <c r="GZ123" s="378"/>
      <c r="HA123" s="378"/>
      <c r="HB123" s="378"/>
      <c r="HC123" s="378"/>
      <c r="HD123" s="378"/>
      <c r="HE123" s="378"/>
      <c r="HF123" s="378"/>
      <c r="HG123" s="378"/>
      <c r="HH123" s="378"/>
      <c r="HI123" s="378"/>
      <c r="HJ123" s="378"/>
      <c r="HK123" s="378"/>
      <c r="HL123" s="378"/>
      <c r="HM123" s="378"/>
      <c r="HN123" s="378"/>
      <c r="HO123" s="378"/>
      <c r="HP123" s="378"/>
      <c r="HQ123" s="378"/>
      <c r="HR123" s="378"/>
      <c r="HS123" s="378"/>
      <c r="HT123" s="378"/>
      <c r="HU123" s="378"/>
      <c r="HV123" s="378"/>
      <c r="HW123" s="378"/>
      <c r="HX123" s="378"/>
      <c r="HY123" s="378"/>
      <c r="HZ123" s="378"/>
      <c r="IA123" s="378"/>
      <c r="IB123" s="378"/>
      <c r="IC123" s="378"/>
      <c r="ID123" s="378"/>
      <c r="IE123" s="378"/>
      <c r="IF123" s="378"/>
      <c r="IG123" s="378"/>
      <c r="IH123" s="378"/>
      <c r="II123" s="378"/>
      <c r="IJ123" s="378"/>
      <c r="IK123" s="378"/>
      <c r="IL123" s="378"/>
      <c r="IM123" s="378"/>
      <c r="IN123" s="378"/>
      <c r="IO123" s="378"/>
      <c r="IP123" s="378"/>
      <c r="IQ123" s="378"/>
      <c r="IR123" s="378"/>
      <c r="IS123" s="378"/>
      <c r="IT123" s="378"/>
      <c r="IU123" s="378"/>
      <c r="IV123" s="378"/>
      <c r="IW123" s="378"/>
      <c r="IX123" s="378"/>
      <c r="IY123" s="378"/>
      <c r="IZ123" s="378"/>
      <c r="JA123" s="378"/>
    </row>
    <row r="124" spans="2:261" s="379" customFormat="1">
      <c r="B124" s="374"/>
      <c r="C124" s="375"/>
      <c r="D124" s="403"/>
      <c r="E124" s="404"/>
      <c r="F124" s="410" t="str">
        <f>"Objective "&amp;F49</f>
        <v>Objective 0</v>
      </c>
      <c r="G124" s="405"/>
      <c r="H124" s="376"/>
      <c r="I124" s="377"/>
      <c r="J124" s="378"/>
      <c r="K124" s="378"/>
      <c r="L124" s="378"/>
      <c r="M124" s="378"/>
      <c r="N124" s="378"/>
      <c r="O124" s="378"/>
      <c r="P124" s="378"/>
      <c r="Q124" s="378"/>
      <c r="R124" s="378"/>
      <c r="S124" s="378"/>
      <c r="T124" s="378"/>
      <c r="U124" s="378"/>
      <c r="V124" s="378"/>
      <c r="W124" s="378"/>
      <c r="X124" s="378"/>
      <c r="Y124" s="378"/>
      <c r="Z124" s="378"/>
      <c r="AA124" s="378"/>
      <c r="AB124" s="378"/>
      <c r="AC124" s="378"/>
      <c r="AD124" s="378"/>
      <c r="AE124" s="378"/>
      <c r="AF124" s="378"/>
      <c r="AG124" s="378"/>
      <c r="AH124" s="378"/>
      <c r="AI124" s="378"/>
      <c r="AJ124" s="378"/>
      <c r="AK124" s="378"/>
      <c r="AL124" s="378"/>
      <c r="AM124" s="378"/>
      <c r="AN124" s="378"/>
      <c r="AO124" s="378"/>
      <c r="AP124" s="378"/>
      <c r="AQ124" s="378"/>
      <c r="AR124" s="378"/>
      <c r="AS124" s="378"/>
      <c r="AT124" s="378"/>
      <c r="AU124" s="378"/>
      <c r="AV124" s="378"/>
      <c r="AW124" s="378"/>
      <c r="AX124" s="378"/>
      <c r="AY124" s="378"/>
      <c r="AZ124" s="378"/>
      <c r="BA124" s="378"/>
      <c r="BB124" s="378"/>
      <c r="BC124" s="378"/>
      <c r="BD124" s="378"/>
      <c r="BE124" s="378"/>
      <c r="BF124" s="378"/>
      <c r="BG124" s="378"/>
      <c r="BH124" s="378"/>
      <c r="BI124" s="378"/>
      <c r="BJ124" s="378"/>
      <c r="BK124" s="378"/>
      <c r="BL124" s="378"/>
      <c r="BM124" s="378"/>
      <c r="BN124" s="378"/>
      <c r="BO124" s="378"/>
      <c r="BP124" s="378"/>
      <c r="BQ124" s="378"/>
      <c r="BR124" s="378"/>
      <c r="BS124" s="378"/>
      <c r="BT124" s="378"/>
      <c r="BU124" s="378"/>
      <c r="BV124" s="378"/>
      <c r="BW124" s="378"/>
      <c r="BX124" s="378"/>
      <c r="BY124" s="378"/>
      <c r="BZ124" s="378"/>
      <c r="CA124" s="378"/>
      <c r="CB124" s="378"/>
      <c r="CC124" s="378"/>
      <c r="CD124" s="378"/>
      <c r="CE124" s="378"/>
      <c r="CF124" s="378"/>
      <c r="CG124" s="378"/>
      <c r="CH124" s="378"/>
      <c r="CI124" s="378"/>
      <c r="CJ124" s="378"/>
      <c r="CK124" s="378"/>
      <c r="CL124" s="378"/>
      <c r="CM124" s="378"/>
      <c r="CN124" s="378"/>
      <c r="CO124" s="378"/>
      <c r="CP124" s="378"/>
      <c r="CQ124" s="378"/>
      <c r="CR124" s="378"/>
      <c r="CS124" s="378"/>
      <c r="CT124" s="378"/>
      <c r="CU124" s="378"/>
      <c r="CV124" s="378"/>
      <c r="CW124" s="378"/>
      <c r="CX124" s="378"/>
      <c r="CY124" s="378"/>
      <c r="CZ124" s="378"/>
      <c r="DA124" s="378"/>
      <c r="DB124" s="378"/>
      <c r="DC124" s="378"/>
      <c r="DD124" s="378"/>
      <c r="DE124" s="378"/>
      <c r="DF124" s="378"/>
      <c r="DG124" s="378"/>
      <c r="DH124" s="378"/>
      <c r="DI124" s="378"/>
      <c r="DJ124" s="378"/>
      <c r="DK124" s="378"/>
      <c r="DL124" s="378"/>
      <c r="DM124" s="378"/>
      <c r="DN124" s="378"/>
      <c r="DO124" s="378"/>
      <c r="DP124" s="378"/>
      <c r="DQ124" s="378"/>
      <c r="DR124" s="378"/>
      <c r="DS124" s="378"/>
      <c r="DT124" s="378"/>
      <c r="DU124" s="378"/>
      <c r="DV124" s="378"/>
      <c r="DW124" s="378"/>
      <c r="DX124" s="378"/>
      <c r="DY124" s="378"/>
      <c r="DZ124" s="378"/>
      <c r="EA124" s="378"/>
      <c r="EB124" s="378"/>
      <c r="EC124" s="378"/>
      <c r="ED124" s="378"/>
      <c r="EE124" s="378"/>
      <c r="EF124" s="378"/>
      <c r="EG124" s="378"/>
      <c r="EH124" s="378"/>
      <c r="EI124" s="378"/>
      <c r="EJ124" s="378"/>
      <c r="EK124" s="378"/>
      <c r="EL124" s="378"/>
      <c r="EM124" s="378"/>
      <c r="EN124" s="378"/>
      <c r="EO124" s="378"/>
      <c r="EP124" s="378"/>
      <c r="EQ124" s="378"/>
      <c r="ER124" s="378"/>
      <c r="ES124" s="378"/>
      <c r="ET124" s="378"/>
      <c r="EU124" s="378"/>
      <c r="EV124" s="378"/>
      <c r="EW124" s="378"/>
      <c r="EX124" s="378"/>
      <c r="EY124" s="378"/>
      <c r="EZ124" s="378"/>
      <c r="FA124" s="378"/>
      <c r="FB124" s="378"/>
      <c r="FC124" s="378"/>
      <c r="FD124" s="378"/>
      <c r="FE124" s="378"/>
      <c r="FF124" s="378"/>
      <c r="FG124" s="378"/>
      <c r="FH124" s="378"/>
      <c r="FI124" s="378"/>
      <c r="FJ124" s="378"/>
      <c r="FK124" s="378"/>
      <c r="FL124" s="378"/>
      <c r="FM124" s="378"/>
      <c r="FN124" s="378"/>
      <c r="FO124" s="378"/>
      <c r="FP124" s="378"/>
      <c r="FQ124" s="378"/>
      <c r="FR124" s="378"/>
      <c r="FS124" s="378"/>
      <c r="FT124" s="378"/>
      <c r="FU124" s="378"/>
      <c r="FV124" s="378"/>
      <c r="FW124" s="378"/>
      <c r="FX124" s="378"/>
      <c r="FY124" s="378"/>
      <c r="FZ124" s="378"/>
      <c r="GA124" s="378"/>
      <c r="GB124" s="378"/>
      <c r="GC124" s="378"/>
      <c r="GD124" s="378"/>
      <c r="GE124" s="378"/>
      <c r="GF124" s="378"/>
      <c r="GG124" s="378"/>
      <c r="GH124" s="378"/>
      <c r="GI124" s="378"/>
      <c r="GJ124" s="378"/>
      <c r="GK124" s="378"/>
      <c r="GL124" s="378"/>
      <c r="GM124" s="378"/>
      <c r="GN124" s="378"/>
      <c r="GO124" s="378"/>
      <c r="GP124" s="378"/>
      <c r="GQ124" s="378"/>
      <c r="GR124" s="378"/>
      <c r="GS124" s="378"/>
      <c r="GT124" s="378"/>
      <c r="GU124" s="378"/>
      <c r="GV124" s="378"/>
      <c r="GW124" s="378"/>
      <c r="GX124" s="378"/>
      <c r="GY124" s="378"/>
      <c r="GZ124" s="378"/>
      <c r="HA124" s="378"/>
      <c r="HB124" s="378"/>
      <c r="HC124" s="378"/>
      <c r="HD124" s="378"/>
      <c r="HE124" s="378"/>
      <c r="HF124" s="378"/>
      <c r="HG124" s="378"/>
      <c r="HH124" s="378"/>
      <c r="HI124" s="378"/>
      <c r="HJ124" s="378"/>
      <c r="HK124" s="378"/>
      <c r="HL124" s="378"/>
      <c r="HM124" s="378"/>
      <c r="HN124" s="378"/>
      <c r="HO124" s="378"/>
      <c r="HP124" s="378"/>
      <c r="HQ124" s="378"/>
      <c r="HR124" s="378"/>
      <c r="HS124" s="378"/>
      <c r="HT124" s="378"/>
      <c r="HU124" s="378"/>
      <c r="HV124" s="378"/>
      <c r="HW124" s="378"/>
      <c r="HX124" s="378"/>
      <c r="HY124" s="378"/>
      <c r="HZ124" s="378"/>
      <c r="IA124" s="378"/>
      <c r="IB124" s="378"/>
      <c r="IC124" s="378"/>
      <c r="ID124" s="378"/>
      <c r="IE124" s="378"/>
      <c r="IF124" s="378"/>
      <c r="IG124" s="378"/>
      <c r="IH124" s="378"/>
      <c r="II124" s="378"/>
      <c r="IJ124" s="378"/>
      <c r="IK124" s="378"/>
      <c r="IL124" s="378"/>
      <c r="IM124" s="378"/>
      <c r="IN124" s="378"/>
      <c r="IO124" s="378"/>
      <c r="IP124" s="378"/>
      <c r="IQ124" s="378"/>
      <c r="IR124" s="378"/>
      <c r="IS124" s="378"/>
      <c r="IT124" s="378"/>
      <c r="IU124" s="378"/>
      <c r="IV124" s="378"/>
      <c r="IW124" s="378"/>
      <c r="IX124" s="378"/>
      <c r="IY124" s="378"/>
      <c r="IZ124" s="378"/>
      <c r="JA124" s="378"/>
    </row>
    <row r="125" spans="2:261" s="379" customFormat="1">
      <c r="B125" s="374"/>
      <c r="C125" s="375"/>
      <c r="D125" s="403"/>
      <c r="E125" s="404"/>
      <c r="F125" s="406" t="str">
        <f>"Action plan 4A: "&amp;F51</f>
        <v>Action plan 4A:  (starting )</v>
      </c>
      <c r="G125" s="405"/>
      <c r="H125" s="376"/>
      <c r="I125" s="377"/>
      <c r="J125" s="378"/>
      <c r="K125" s="378"/>
      <c r="L125" s="378"/>
      <c r="M125" s="378"/>
      <c r="N125" s="378"/>
      <c r="O125" s="378"/>
      <c r="P125" s="378"/>
      <c r="Q125" s="378"/>
      <c r="R125" s="378"/>
      <c r="S125" s="378"/>
      <c r="T125" s="378"/>
      <c r="U125" s="378"/>
      <c r="V125" s="378"/>
      <c r="W125" s="378"/>
      <c r="X125" s="378"/>
      <c r="Y125" s="378"/>
      <c r="Z125" s="378"/>
      <c r="AA125" s="378"/>
      <c r="AB125" s="378"/>
      <c r="AC125" s="378"/>
      <c r="AD125" s="378"/>
      <c r="AE125" s="378"/>
      <c r="AF125" s="378"/>
      <c r="AG125" s="378"/>
      <c r="AH125" s="378"/>
      <c r="AI125" s="378"/>
      <c r="AJ125" s="378"/>
      <c r="AK125" s="378"/>
      <c r="AL125" s="378"/>
      <c r="AM125" s="378"/>
      <c r="AN125" s="378"/>
      <c r="AO125" s="378"/>
      <c r="AP125" s="378"/>
      <c r="AQ125" s="378"/>
      <c r="AR125" s="378"/>
      <c r="AS125" s="378"/>
      <c r="AT125" s="378"/>
      <c r="AU125" s="378"/>
      <c r="AV125" s="378"/>
      <c r="AW125" s="378"/>
      <c r="AX125" s="378"/>
      <c r="AY125" s="378"/>
      <c r="AZ125" s="378"/>
      <c r="BA125" s="378"/>
      <c r="BB125" s="378"/>
      <c r="BC125" s="378"/>
      <c r="BD125" s="378"/>
      <c r="BE125" s="378"/>
      <c r="BF125" s="378"/>
      <c r="BG125" s="378"/>
      <c r="BH125" s="378"/>
      <c r="BI125" s="378"/>
      <c r="BJ125" s="378"/>
      <c r="BK125" s="378"/>
      <c r="BL125" s="378"/>
      <c r="BM125" s="378"/>
      <c r="BN125" s="378"/>
      <c r="BO125" s="378"/>
      <c r="BP125" s="378"/>
      <c r="BQ125" s="378"/>
      <c r="BR125" s="378"/>
      <c r="BS125" s="378"/>
      <c r="BT125" s="378"/>
      <c r="BU125" s="378"/>
      <c r="BV125" s="378"/>
      <c r="BW125" s="378"/>
      <c r="BX125" s="378"/>
      <c r="BY125" s="378"/>
      <c r="BZ125" s="378"/>
      <c r="CA125" s="378"/>
      <c r="CB125" s="378"/>
      <c r="CC125" s="378"/>
      <c r="CD125" s="378"/>
      <c r="CE125" s="378"/>
      <c r="CF125" s="378"/>
      <c r="CG125" s="378"/>
      <c r="CH125" s="378"/>
      <c r="CI125" s="378"/>
      <c r="CJ125" s="378"/>
      <c r="CK125" s="378"/>
      <c r="CL125" s="378"/>
      <c r="CM125" s="378"/>
      <c r="CN125" s="378"/>
      <c r="CO125" s="378"/>
      <c r="CP125" s="378"/>
      <c r="CQ125" s="378"/>
      <c r="CR125" s="378"/>
      <c r="CS125" s="378"/>
      <c r="CT125" s="378"/>
      <c r="CU125" s="378"/>
      <c r="CV125" s="378"/>
      <c r="CW125" s="378"/>
      <c r="CX125" s="378"/>
      <c r="CY125" s="378"/>
      <c r="CZ125" s="378"/>
      <c r="DA125" s="378"/>
      <c r="DB125" s="378"/>
      <c r="DC125" s="378"/>
      <c r="DD125" s="378"/>
      <c r="DE125" s="378"/>
      <c r="DF125" s="378"/>
      <c r="DG125" s="378"/>
      <c r="DH125" s="378"/>
      <c r="DI125" s="378"/>
      <c r="DJ125" s="378"/>
      <c r="DK125" s="378"/>
      <c r="DL125" s="378"/>
      <c r="DM125" s="378"/>
      <c r="DN125" s="378"/>
      <c r="DO125" s="378"/>
      <c r="DP125" s="378"/>
      <c r="DQ125" s="378"/>
      <c r="DR125" s="378"/>
      <c r="DS125" s="378"/>
      <c r="DT125" s="378"/>
      <c r="DU125" s="378"/>
      <c r="DV125" s="378"/>
      <c r="DW125" s="378"/>
      <c r="DX125" s="378"/>
      <c r="DY125" s="378"/>
      <c r="DZ125" s="378"/>
      <c r="EA125" s="378"/>
      <c r="EB125" s="378"/>
      <c r="EC125" s="378"/>
      <c r="ED125" s="378"/>
      <c r="EE125" s="378"/>
      <c r="EF125" s="378"/>
      <c r="EG125" s="378"/>
      <c r="EH125" s="378"/>
      <c r="EI125" s="378"/>
      <c r="EJ125" s="378"/>
      <c r="EK125" s="378"/>
      <c r="EL125" s="378"/>
      <c r="EM125" s="378"/>
      <c r="EN125" s="378"/>
      <c r="EO125" s="378"/>
      <c r="EP125" s="378"/>
      <c r="EQ125" s="378"/>
      <c r="ER125" s="378"/>
      <c r="ES125" s="378"/>
      <c r="ET125" s="378"/>
      <c r="EU125" s="378"/>
      <c r="EV125" s="378"/>
      <c r="EW125" s="378"/>
      <c r="EX125" s="378"/>
      <c r="EY125" s="378"/>
      <c r="EZ125" s="378"/>
      <c r="FA125" s="378"/>
      <c r="FB125" s="378"/>
      <c r="FC125" s="378"/>
      <c r="FD125" s="378"/>
      <c r="FE125" s="378"/>
      <c r="FF125" s="378"/>
      <c r="FG125" s="378"/>
      <c r="FH125" s="378"/>
      <c r="FI125" s="378"/>
      <c r="FJ125" s="378"/>
      <c r="FK125" s="378"/>
      <c r="FL125" s="378"/>
      <c r="FM125" s="378"/>
      <c r="FN125" s="378"/>
      <c r="FO125" s="378"/>
      <c r="FP125" s="378"/>
      <c r="FQ125" s="378"/>
      <c r="FR125" s="378"/>
      <c r="FS125" s="378"/>
      <c r="FT125" s="378"/>
      <c r="FU125" s="378"/>
      <c r="FV125" s="378"/>
      <c r="FW125" s="378"/>
      <c r="FX125" s="378"/>
      <c r="FY125" s="378"/>
      <c r="FZ125" s="378"/>
      <c r="GA125" s="378"/>
      <c r="GB125" s="378"/>
      <c r="GC125" s="378"/>
      <c r="GD125" s="378"/>
      <c r="GE125" s="378"/>
      <c r="GF125" s="378"/>
      <c r="GG125" s="378"/>
      <c r="GH125" s="378"/>
      <c r="GI125" s="378"/>
      <c r="GJ125" s="378"/>
      <c r="GK125" s="378"/>
      <c r="GL125" s="378"/>
      <c r="GM125" s="378"/>
      <c r="GN125" s="378"/>
      <c r="GO125" s="378"/>
      <c r="GP125" s="378"/>
      <c r="GQ125" s="378"/>
      <c r="GR125" s="378"/>
      <c r="GS125" s="378"/>
      <c r="GT125" s="378"/>
      <c r="GU125" s="378"/>
      <c r="GV125" s="378"/>
      <c r="GW125" s="378"/>
      <c r="GX125" s="378"/>
      <c r="GY125" s="378"/>
      <c r="GZ125" s="378"/>
      <c r="HA125" s="378"/>
      <c r="HB125" s="378"/>
      <c r="HC125" s="378"/>
      <c r="HD125" s="378"/>
      <c r="HE125" s="378"/>
      <c r="HF125" s="378"/>
      <c r="HG125" s="378"/>
      <c r="HH125" s="378"/>
      <c r="HI125" s="378"/>
      <c r="HJ125" s="378"/>
      <c r="HK125" s="378"/>
      <c r="HL125" s="378"/>
      <c r="HM125" s="378"/>
      <c r="HN125" s="378"/>
      <c r="HO125" s="378"/>
      <c r="HP125" s="378"/>
      <c r="HQ125" s="378"/>
      <c r="HR125" s="378"/>
      <c r="HS125" s="378"/>
      <c r="HT125" s="378"/>
      <c r="HU125" s="378"/>
      <c r="HV125" s="378"/>
      <c r="HW125" s="378"/>
      <c r="HX125" s="378"/>
      <c r="HY125" s="378"/>
      <c r="HZ125" s="378"/>
      <c r="IA125" s="378"/>
      <c r="IB125" s="378"/>
      <c r="IC125" s="378"/>
      <c r="ID125" s="378"/>
      <c r="IE125" s="378"/>
      <c r="IF125" s="378"/>
      <c r="IG125" s="378"/>
      <c r="IH125" s="378"/>
      <c r="II125" s="378"/>
      <c r="IJ125" s="378"/>
      <c r="IK125" s="378"/>
      <c r="IL125" s="378"/>
      <c r="IM125" s="378"/>
      <c r="IN125" s="378"/>
      <c r="IO125" s="378"/>
      <c r="IP125" s="378"/>
      <c r="IQ125" s="378"/>
      <c r="IR125" s="378"/>
      <c r="IS125" s="378"/>
      <c r="IT125" s="378"/>
      <c r="IU125" s="378"/>
      <c r="IV125" s="378"/>
      <c r="IW125" s="378"/>
      <c r="IX125" s="378"/>
      <c r="IY125" s="378"/>
      <c r="IZ125" s="378"/>
      <c r="JA125" s="378"/>
    </row>
    <row r="126" spans="2:261" s="379" customFormat="1">
      <c r="B126" s="374"/>
      <c r="C126" s="375"/>
      <c r="D126" s="403"/>
      <c r="E126" s="404"/>
      <c r="F126" s="409" t="str">
        <f>"    Actual action: "&amp;F52</f>
        <v xml:space="preserve">    Actual action: </v>
      </c>
      <c r="G126" s="405"/>
      <c r="H126" s="376"/>
      <c r="I126" s="377"/>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378"/>
      <c r="CE126" s="378"/>
      <c r="CF126" s="378"/>
      <c r="CG126" s="378"/>
      <c r="CH126" s="378"/>
      <c r="CI126" s="378"/>
      <c r="CJ126" s="378"/>
      <c r="CK126" s="378"/>
      <c r="CL126" s="378"/>
      <c r="CM126" s="378"/>
      <c r="CN126" s="378"/>
      <c r="CO126" s="378"/>
      <c r="CP126" s="378"/>
      <c r="CQ126" s="378"/>
      <c r="CR126" s="378"/>
      <c r="CS126" s="378"/>
      <c r="CT126" s="378"/>
      <c r="CU126" s="378"/>
      <c r="CV126" s="378"/>
      <c r="CW126" s="378"/>
      <c r="CX126" s="378"/>
      <c r="CY126" s="378"/>
      <c r="CZ126" s="378"/>
      <c r="DA126" s="378"/>
      <c r="DB126" s="378"/>
      <c r="DC126" s="378"/>
      <c r="DD126" s="378"/>
      <c r="DE126" s="378"/>
      <c r="DF126" s="378"/>
      <c r="DG126" s="378"/>
      <c r="DH126" s="378"/>
      <c r="DI126" s="378"/>
      <c r="DJ126" s="378"/>
      <c r="DK126" s="378"/>
      <c r="DL126" s="378"/>
      <c r="DM126" s="378"/>
      <c r="DN126" s="378"/>
      <c r="DO126" s="378"/>
      <c r="DP126" s="378"/>
      <c r="DQ126" s="378"/>
      <c r="DR126" s="378"/>
      <c r="DS126" s="378"/>
      <c r="DT126" s="378"/>
      <c r="DU126" s="378"/>
      <c r="DV126" s="378"/>
      <c r="DW126" s="378"/>
      <c r="DX126" s="378"/>
      <c r="DY126" s="378"/>
      <c r="DZ126" s="378"/>
      <c r="EA126" s="378"/>
      <c r="EB126" s="378"/>
      <c r="EC126" s="378"/>
      <c r="ED126" s="378"/>
      <c r="EE126" s="378"/>
      <c r="EF126" s="378"/>
      <c r="EG126" s="378"/>
      <c r="EH126" s="378"/>
      <c r="EI126" s="378"/>
      <c r="EJ126" s="378"/>
      <c r="EK126" s="378"/>
      <c r="EL126" s="378"/>
      <c r="EM126" s="378"/>
      <c r="EN126" s="378"/>
      <c r="EO126" s="378"/>
      <c r="EP126" s="378"/>
      <c r="EQ126" s="378"/>
      <c r="ER126" s="378"/>
      <c r="ES126" s="378"/>
      <c r="ET126" s="378"/>
      <c r="EU126" s="378"/>
      <c r="EV126" s="378"/>
      <c r="EW126" s="378"/>
      <c r="EX126" s="378"/>
      <c r="EY126" s="378"/>
      <c r="EZ126" s="378"/>
      <c r="FA126" s="378"/>
      <c r="FB126" s="378"/>
      <c r="FC126" s="378"/>
      <c r="FD126" s="378"/>
      <c r="FE126" s="378"/>
      <c r="FF126" s="378"/>
      <c r="FG126" s="378"/>
      <c r="FH126" s="378"/>
      <c r="FI126" s="378"/>
      <c r="FJ126" s="378"/>
      <c r="FK126" s="378"/>
      <c r="FL126" s="378"/>
      <c r="FM126" s="378"/>
      <c r="FN126" s="378"/>
      <c r="FO126" s="378"/>
      <c r="FP126" s="378"/>
      <c r="FQ126" s="378"/>
      <c r="FR126" s="378"/>
      <c r="FS126" s="378"/>
      <c r="FT126" s="378"/>
      <c r="FU126" s="378"/>
      <c r="FV126" s="378"/>
      <c r="FW126" s="378"/>
      <c r="FX126" s="378"/>
      <c r="FY126" s="378"/>
      <c r="FZ126" s="378"/>
      <c r="GA126" s="378"/>
      <c r="GB126" s="378"/>
      <c r="GC126" s="378"/>
      <c r="GD126" s="378"/>
      <c r="GE126" s="378"/>
      <c r="GF126" s="378"/>
      <c r="GG126" s="378"/>
      <c r="GH126" s="378"/>
      <c r="GI126" s="378"/>
      <c r="GJ126" s="378"/>
      <c r="GK126" s="378"/>
      <c r="GL126" s="378"/>
      <c r="GM126" s="378"/>
      <c r="GN126" s="378"/>
      <c r="GO126" s="378"/>
      <c r="GP126" s="378"/>
      <c r="GQ126" s="378"/>
      <c r="GR126" s="378"/>
      <c r="GS126" s="378"/>
      <c r="GT126" s="378"/>
      <c r="GU126" s="378"/>
      <c r="GV126" s="378"/>
      <c r="GW126" s="378"/>
      <c r="GX126" s="378"/>
      <c r="GY126" s="378"/>
      <c r="GZ126" s="378"/>
      <c r="HA126" s="378"/>
      <c r="HB126" s="378"/>
      <c r="HC126" s="378"/>
      <c r="HD126" s="378"/>
      <c r="HE126" s="378"/>
      <c r="HF126" s="378"/>
      <c r="HG126" s="378"/>
      <c r="HH126" s="378"/>
      <c r="HI126" s="378"/>
      <c r="HJ126" s="378"/>
      <c r="HK126" s="378"/>
      <c r="HL126" s="378"/>
      <c r="HM126" s="378"/>
      <c r="HN126" s="378"/>
      <c r="HO126" s="378"/>
      <c r="HP126" s="378"/>
      <c r="HQ126" s="378"/>
      <c r="HR126" s="378"/>
      <c r="HS126" s="378"/>
      <c r="HT126" s="378"/>
      <c r="HU126" s="378"/>
      <c r="HV126" s="378"/>
      <c r="HW126" s="378"/>
      <c r="HX126" s="378"/>
      <c r="HY126" s="378"/>
      <c r="HZ126" s="378"/>
      <c r="IA126" s="378"/>
      <c r="IB126" s="378"/>
      <c r="IC126" s="378"/>
      <c r="ID126" s="378"/>
      <c r="IE126" s="378"/>
      <c r="IF126" s="378"/>
      <c r="IG126" s="378"/>
      <c r="IH126" s="378"/>
      <c r="II126" s="378"/>
      <c r="IJ126" s="378"/>
      <c r="IK126" s="378"/>
      <c r="IL126" s="378"/>
      <c r="IM126" s="378"/>
      <c r="IN126" s="378"/>
      <c r="IO126" s="378"/>
      <c r="IP126" s="378"/>
      <c r="IQ126" s="378"/>
      <c r="IR126" s="378"/>
      <c r="IS126" s="378"/>
      <c r="IT126" s="378"/>
      <c r="IU126" s="378"/>
      <c r="IV126" s="378"/>
      <c r="IW126" s="378"/>
      <c r="IX126" s="378"/>
      <c r="IY126" s="378"/>
      <c r="IZ126" s="378"/>
      <c r="JA126" s="378"/>
    </row>
    <row r="127" spans="2:261" s="379" customFormat="1">
      <c r="B127" s="374"/>
      <c r="C127" s="375"/>
      <c r="D127" s="403"/>
      <c r="E127" s="404"/>
      <c r="F127" s="406" t="str">
        <f>"Action plan 4B: "&amp;F53</f>
        <v>Action plan 4B:  (starting )</v>
      </c>
      <c r="G127" s="405"/>
      <c r="H127" s="376"/>
      <c r="I127" s="377"/>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S127" s="378"/>
      <c r="AT127" s="378"/>
      <c r="AU127" s="378"/>
      <c r="AV127" s="378"/>
      <c r="AW127" s="378"/>
      <c r="AX127" s="378"/>
      <c r="AY127" s="378"/>
      <c r="AZ127" s="378"/>
      <c r="BA127" s="378"/>
      <c r="BB127" s="378"/>
      <c r="BC127" s="378"/>
      <c r="BD127" s="378"/>
      <c r="BE127" s="378"/>
      <c r="BF127" s="378"/>
      <c r="BG127" s="378"/>
      <c r="BH127" s="378"/>
      <c r="BI127" s="378"/>
      <c r="BJ127" s="378"/>
      <c r="BK127" s="378"/>
      <c r="BL127" s="378"/>
      <c r="BM127" s="378"/>
      <c r="BN127" s="378"/>
      <c r="BO127" s="378"/>
      <c r="BP127" s="378"/>
      <c r="BQ127" s="378"/>
      <c r="BR127" s="378"/>
      <c r="BS127" s="378"/>
      <c r="BT127" s="378"/>
      <c r="BU127" s="378"/>
      <c r="BV127" s="378"/>
      <c r="BW127" s="378"/>
      <c r="BX127" s="378"/>
      <c r="BY127" s="378"/>
      <c r="BZ127" s="378"/>
      <c r="CA127" s="378"/>
      <c r="CB127" s="378"/>
      <c r="CC127" s="378"/>
      <c r="CD127" s="378"/>
      <c r="CE127" s="378"/>
      <c r="CF127" s="378"/>
      <c r="CG127" s="378"/>
      <c r="CH127" s="378"/>
      <c r="CI127" s="378"/>
      <c r="CJ127" s="378"/>
      <c r="CK127" s="378"/>
      <c r="CL127" s="378"/>
      <c r="CM127" s="378"/>
      <c r="CN127" s="378"/>
      <c r="CO127" s="378"/>
      <c r="CP127" s="378"/>
      <c r="CQ127" s="378"/>
      <c r="CR127" s="378"/>
      <c r="CS127" s="378"/>
      <c r="CT127" s="378"/>
      <c r="CU127" s="378"/>
      <c r="CV127" s="378"/>
      <c r="CW127" s="378"/>
      <c r="CX127" s="378"/>
      <c r="CY127" s="378"/>
      <c r="CZ127" s="378"/>
      <c r="DA127" s="378"/>
      <c r="DB127" s="378"/>
      <c r="DC127" s="378"/>
      <c r="DD127" s="378"/>
      <c r="DE127" s="378"/>
      <c r="DF127" s="378"/>
      <c r="DG127" s="378"/>
      <c r="DH127" s="378"/>
      <c r="DI127" s="378"/>
      <c r="DJ127" s="378"/>
      <c r="DK127" s="378"/>
      <c r="DL127" s="378"/>
      <c r="DM127" s="378"/>
      <c r="DN127" s="378"/>
      <c r="DO127" s="378"/>
      <c r="DP127" s="378"/>
      <c r="DQ127" s="378"/>
      <c r="DR127" s="378"/>
      <c r="DS127" s="378"/>
      <c r="DT127" s="378"/>
      <c r="DU127" s="378"/>
      <c r="DV127" s="378"/>
      <c r="DW127" s="378"/>
      <c r="DX127" s="378"/>
      <c r="DY127" s="378"/>
      <c r="DZ127" s="378"/>
      <c r="EA127" s="378"/>
      <c r="EB127" s="378"/>
      <c r="EC127" s="378"/>
      <c r="ED127" s="378"/>
      <c r="EE127" s="378"/>
      <c r="EF127" s="378"/>
      <c r="EG127" s="378"/>
      <c r="EH127" s="378"/>
      <c r="EI127" s="378"/>
      <c r="EJ127" s="378"/>
      <c r="EK127" s="378"/>
      <c r="EL127" s="378"/>
      <c r="EM127" s="378"/>
      <c r="EN127" s="378"/>
      <c r="EO127" s="378"/>
      <c r="EP127" s="378"/>
      <c r="EQ127" s="378"/>
      <c r="ER127" s="378"/>
      <c r="ES127" s="378"/>
      <c r="ET127" s="378"/>
      <c r="EU127" s="378"/>
      <c r="EV127" s="378"/>
      <c r="EW127" s="378"/>
      <c r="EX127" s="378"/>
      <c r="EY127" s="378"/>
      <c r="EZ127" s="378"/>
      <c r="FA127" s="378"/>
      <c r="FB127" s="378"/>
      <c r="FC127" s="378"/>
      <c r="FD127" s="378"/>
      <c r="FE127" s="378"/>
      <c r="FF127" s="378"/>
      <c r="FG127" s="378"/>
      <c r="FH127" s="378"/>
      <c r="FI127" s="378"/>
      <c r="FJ127" s="378"/>
      <c r="FK127" s="378"/>
      <c r="FL127" s="378"/>
      <c r="FM127" s="378"/>
      <c r="FN127" s="378"/>
      <c r="FO127" s="378"/>
      <c r="FP127" s="378"/>
      <c r="FQ127" s="378"/>
      <c r="FR127" s="378"/>
      <c r="FS127" s="378"/>
      <c r="FT127" s="378"/>
      <c r="FU127" s="378"/>
      <c r="FV127" s="378"/>
      <c r="FW127" s="378"/>
      <c r="FX127" s="378"/>
      <c r="FY127" s="378"/>
      <c r="FZ127" s="378"/>
      <c r="GA127" s="378"/>
      <c r="GB127" s="378"/>
      <c r="GC127" s="378"/>
      <c r="GD127" s="378"/>
      <c r="GE127" s="378"/>
      <c r="GF127" s="378"/>
      <c r="GG127" s="378"/>
      <c r="GH127" s="378"/>
      <c r="GI127" s="378"/>
      <c r="GJ127" s="378"/>
      <c r="GK127" s="378"/>
      <c r="GL127" s="378"/>
      <c r="GM127" s="378"/>
      <c r="GN127" s="378"/>
      <c r="GO127" s="378"/>
      <c r="GP127" s="378"/>
      <c r="GQ127" s="378"/>
      <c r="GR127" s="378"/>
      <c r="GS127" s="378"/>
      <c r="GT127" s="378"/>
      <c r="GU127" s="378"/>
      <c r="GV127" s="378"/>
      <c r="GW127" s="378"/>
      <c r="GX127" s="378"/>
      <c r="GY127" s="378"/>
      <c r="GZ127" s="378"/>
      <c r="HA127" s="378"/>
      <c r="HB127" s="378"/>
      <c r="HC127" s="378"/>
      <c r="HD127" s="378"/>
      <c r="HE127" s="378"/>
      <c r="HF127" s="378"/>
      <c r="HG127" s="378"/>
      <c r="HH127" s="378"/>
      <c r="HI127" s="378"/>
      <c r="HJ127" s="378"/>
      <c r="HK127" s="378"/>
      <c r="HL127" s="378"/>
      <c r="HM127" s="378"/>
      <c r="HN127" s="378"/>
      <c r="HO127" s="378"/>
      <c r="HP127" s="378"/>
      <c r="HQ127" s="378"/>
      <c r="HR127" s="378"/>
      <c r="HS127" s="378"/>
      <c r="HT127" s="378"/>
      <c r="HU127" s="378"/>
      <c r="HV127" s="378"/>
      <c r="HW127" s="378"/>
      <c r="HX127" s="378"/>
      <c r="HY127" s="378"/>
      <c r="HZ127" s="378"/>
      <c r="IA127" s="378"/>
      <c r="IB127" s="378"/>
      <c r="IC127" s="378"/>
      <c r="ID127" s="378"/>
      <c r="IE127" s="378"/>
      <c r="IF127" s="378"/>
      <c r="IG127" s="378"/>
      <c r="IH127" s="378"/>
      <c r="II127" s="378"/>
      <c r="IJ127" s="378"/>
      <c r="IK127" s="378"/>
      <c r="IL127" s="378"/>
      <c r="IM127" s="378"/>
      <c r="IN127" s="378"/>
      <c r="IO127" s="378"/>
      <c r="IP127" s="378"/>
      <c r="IQ127" s="378"/>
      <c r="IR127" s="378"/>
      <c r="IS127" s="378"/>
      <c r="IT127" s="378"/>
      <c r="IU127" s="378"/>
      <c r="IV127" s="378"/>
      <c r="IW127" s="378"/>
      <c r="IX127" s="378"/>
      <c r="IY127" s="378"/>
      <c r="IZ127" s="378"/>
      <c r="JA127" s="378"/>
    </row>
    <row r="128" spans="2:261" s="379" customFormat="1">
      <c r="B128" s="374"/>
      <c r="C128" s="375"/>
      <c r="D128" s="403"/>
      <c r="E128" s="403"/>
      <c r="F128" s="409" t="str">
        <f>"    Actual action: "&amp;F54</f>
        <v xml:space="preserve">    Actual action: </v>
      </c>
      <c r="G128" s="403"/>
      <c r="H128" s="376"/>
      <c r="I128" s="377"/>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378"/>
      <c r="AV128" s="378"/>
      <c r="AW128" s="378"/>
      <c r="AX128" s="378"/>
      <c r="AY128" s="378"/>
      <c r="AZ128" s="378"/>
      <c r="BA128" s="378"/>
      <c r="BB128" s="378"/>
      <c r="BC128" s="378"/>
      <c r="BD128" s="378"/>
      <c r="BE128" s="378"/>
      <c r="BF128" s="378"/>
      <c r="BG128" s="378"/>
      <c r="BH128" s="378"/>
      <c r="BI128" s="378"/>
      <c r="BJ128" s="378"/>
      <c r="BK128" s="378"/>
      <c r="BL128" s="378"/>
      <c r="BM128" s="378"/>
      <c r="BN128" s="378"/>
      <c r="BO128" s="378"/>
      <c r="BP128" s="378"/>
      <c r="BQ128" s="378"/>
      <c r="BR128" s="378"/>
      <c r="BS128" s="378"/>
      <c r="BT128" s="378"/>
      <c r="BU128" s="378"/>
      <c r="BV128" s="378"/>
      <c r="BW128" s="378"/>
      <c r="BX128" s="378"/>
      <c r="BY128" s="378"/>
      <c r="BZ128" s="378"/>
      <c r="CA128" s="378"/>
      <c r="CB128" s="378"/>
      <c r="CC128" s="378"/>
      <c r="CD128" s="378"/>
      <c r="CE128" s="378"/>
      <c r="CF128" s="378"/>
      <c r="CG128" s="378"/>
      <c r="CH128" s="378"/>
      <c r="CI128" s="378"/>
      <c r="CJ128" s="378"/>
      <c r="CK128" s="378"/>
      <c r="CL128" s="378"/>
      <c r="CM128" s="378"/>
      <c r="CN128" s="378"/>
      <c r="CO128" s="378"/>
      <c r="CP128" s="378"/>
      <c r="CQ128" s="378"/>
      <c r="CR128" s="378"/>
      <c r="CS128" s="378"/>
      <c r="CT128" s="378"/>
      <c r="CU128" s="378"/>
      <c r="CV128" s="378"/>
      <c r="CW128" s="378"/>
      <c r="CX128" s="378"/>
      <c r="CY128" s="378"/>
      <c r="CZ128" s="378"/>
      <c r="DA128" s="378"/>
      <c r="DB128" s="378"/>
      <c r="DC128" s="378"/>
      <c r="DD128" s="378"/>
      <c r="DE128" s="378"/>
      <c r="DF128" s="378"/>
      <c r="DG128" s="378"/>
      <c r="DH128" s="378"/>
      <c r="DI128" s="378"/>
      <c r="DJ128" s="378"/>
      <c r="DK128" s="378"/>
      <c r="DL128" s="378"/>
      <c r="DM128" s="378"/>
      <c r="DN128" s="378"/>
      <c r="DO128" s="378"/>
      <c r="DP128" s="378"/>
      <c r="DQ128" s="378"/>
      <c r="DR128" s="378"/>
      <c r="DS128" s="378"/>
      <c r="DT128" s="378"/>
      <c r="DU128" s="378"/>
      <c r="DV128" s="378"/>
      <c r="DW128" s="378"/>
      <c r="DX128" s="378"/>
      <c r="DY128" s="378"/>
      <c r="DZ128" s="378"/>
      <c r="EA128" s="378"/>
      <c r="EB128" s="378"/>
      <c r="EC128" s="378"/>
      <c r="ED128" s="378"/>
      <c r="EE128" s="378"/>
      <c r="EF128" s="378"/>
      <c r="EG128" s="378"/>
      <c r="EH128" s="378"/>
      <c r="EI128" s="378"/>
      <c r="EJ128" s="378"/>
      <c r="EK128" s="378"/>
      <c r="EL128" s="378"/>
      <c r="EM128" s="378"/>
      <c r="EN128" s="378"/>
      <c r="EO128" s="378"/>
      <c r="EP128" s="378"/>
      <c r="EQ128" s="378"/>
      <c r="ER128" s="378"/>
      <c r="ES128" s="378"/>
      <c r="ET128" s="378"/>
      <c r="EU128" s="378"/>
      <c r="EV128" s="378"/>
      <c r="EW128" s="378"/>
      <c r="EX128" s="378"/>
      <c r="EY128" s="378"/>
      <c r="EZ128" s="378"/>
      <c r="FA128" s="378"/>
      <c r="FB128" s="378"/>
      <c r="FC128" s="378"/>
      <c r="FD128" s="378"/>
      <c r="FE128" s="378"/>
      <c r="FF128" s="378"/>
      <c r="FG128" s="378"/>
      <c r="FH128" s="378"/>
      <c r="FI128" s="378"/>
      <c r="FJ128" s="378"/>
      <c r="FK128" s="378"/>
      <c r="FL128" s="378"/>
      <c r="FM128" s="378"/>
      <c r="FN128" s="378"/>
      <c r="FO128" s="378"/>
      <c r="FP128" s="378"/>
      <c r="FQ128" s="378"/>
      <c r="FR128" s="378"/>
      <c r="FS128" s="378"/>
      <c r="FT128" s="378"/>
      <c r="FU128" s="378"/>
      <c r="FV128" s="378"/>
      <c r="FW128" s="378"/>
      <c r="FX128" s="378"/>
      <c r="FY128" s="378"/>
      <c r="FZ128" s="378"/>
      <c r="GA128" s="378"/>
      <c r="GB128" s="378"/>
      <c r="GC128" s="378"/>
      <c r="GD128" s="378"/>
      <c r="GE128" s="378"/>
      <c r="GF128" s="378"/>
      <c r="GG128" s="378"/>
      <c r="GH128" s="378"/>
      <c r="GI128" s="378"/>
      <c r="GJ128" s="378"/>
      <c r="GK128" s="378"/>
      <c r="GL128" s="378"/>
      <c r="GM128" s="378"/>
      <c r="GN128" s="378"/>
      <c r="GO128" s="378"/>
      <c r="GP128" s="378"/>
      <c r="GQ128" s="378"/>
      <c r="GR128" s="378"/>
      <c r="GS128" s="378"/>
      <c r="GT128" s="378"/>
      <c r="GU128" s="378"/>
      <c r="GV128" s="378"/>
      <c r="GW128" s="378"/>
      <c r="GX128" s="378"/>
      <c r="GY128" s="378"/>
      <c r="GZ128" s="378"/>
      <c r="HA128" s="378"/>
      <c r="HB128" s="378"/>
      <c r="HC128" s="378"/>
      <c r="HD128" s="378"/>
      <c r="HE128" s="378"/>
      <c r="HF128" s="378"/>
      <c r="HG128" s="378"/>
      <c r="HH128" s="378"/>
      <c r="HI128" s="378"/>
      <c r="HJ128" s="378"/>
      <c r="HK128" s="378"/>
      <c r="HL128" s="378"/>
      <c r="HM128" s="378"/>
      <c r="HN128" s="378"/>
      <c r="HO128" s="378"/>
      <c r="HP128" s="378"/>
      <c r="HQ128" s="378"/>
      <c r="HR128" s="378"/>
      <c r="HS128" s="378"/>
      <c r="HT128" s="378"/>
      <c r="HU128" s="378"/>
      <c r="HV128" s="378"/>
      <c r="HW128" s="378"/>
      <c r="HX128" s="378"/>
      <c r="HY128" s="378"/>
      <c r="HZ128" s="378"/>
      <c r="IA128" s="378"/>
      <c r="IB128" s="378"/>
      <c r="IC128" s="378"/>
      <c r="ID128" s="378"/>
      <c r="IE128" s="378"/>
      <c r="IF128" s="378"/>
      <c r="IG128" s="378"/>
      <c r="IH128" s="378"/>
      <c r="II128" s="378"/>
      <c r="IJ128" s="378"/>
      <c r="IK128" s="378"/>
      <c r="IL128" s="378"/>
      <c r="IM128" s="378"/>
      <c r="IN128" s="378"/>
      <c r="IO128" s="378"/>
      <c r="IP128" s="378"/>
      <c r="IQ128" s="378"/>
      <c r="IR128" s="378"/>
      <c r="IS128" s="378"/>
      <c r="IT128" s="378"/>
      <c r="IU128" s="378"/>
      <c r="IV128" s="378"/>
      <c r="IW128" s="378"/>
      <c r="IX128" s="378"/>
      <c r="IY128" s="378"/>
      <c r="IZ128" s="378"/>
      <c r="JA128" s="378"/>
    </row>
    <row r="129" spans="2:261" s="379" customFormat="1" ht="14">
      <c r="B129" s="374"/>
      <c r="C129" s="375"/>
      <c r="D129" s="402"/>
      <c r="E129" s="400"/>
      <c r="F129" s="406" t="str">
        <f>"Action plan 4C: "&amp;F55</f>
        <v>Action plan 4C:  (starting )</v>
      </c>
      <c r="G129" s="400"/>
      <c r="H129" s="376"/>
      <c r="I129" s="377"/>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378"/>
      <c r="AS129" s="378"/>
      <c r="AT129" s="378"/>
      <c r="AU129" s="378"/>
      <c r="AV129" s="378"/>
      <c r="AW129" s="378"/>
      <c r="AX129" s="378"/>
      <c r="AY129" s="378"/>
      <c r="AZ129" s="378"/>
      <c r="BA129" s="378"/>
      <c r="BB129" s="378"/>
      <c r="BC129" s="378"/>
      <c r="BD129" s="378"/>
      <c r="BE129" s="378"/>
      <c r="BF129" s="378"/>
      <c r="BG129" s="378"/>
      <c r="BH129" s="378"/>
      <c r="BI129" s="378"/>
      <c r="BJ129" s="378"/>
      <c r="BK129" s="378"/>
      <c r="BL129" s="378"/>
      <c r="BM129" s="378"/>
      <c r="BN129" s="378"/>
      <c r="BO129" s="378"/>
      <c r="BP129" s="378"/>
      <c r="BQ129" s="378"/>
      <c r="BR129" s="378"/>
      <c r="BS129" s="378"/>
      <c r="BT129" s="378"/>
      <c r="BU129" s="378"/>
      <c r="BV129" s="378"/>
      <c r="BW129" s="378"/>
      <c r="BX129" s="378"/>
      <c r="BY129" s="378"/>
      <c r="BZ129" s="378"/>
      <c r="CA129" s="378"/>
      <c r="CB129" s="378"/>
      <c r="CC129" s="378"/>
      <c r="CD129" s="378"/>
      <c r="CE129" s="378"/>
      <c r="CF129" s="378"/>
      <c r="CG129" s="378"/>
      <c r="CH129" s="378"/>
      <c r="CI129" s="378"/>
      <c r="CJ129" s="378"/>
      <c r="CK129" s="378"/>
      <c r="CL129" s="378"/>
      <c r="CM129" s="378"/>
      <c r="CN129" s="378"/>
      <c r="CO129" s="378"/>
      <c r="CP129" s="378"/>
      <c r="CQ129" s="378"/>
      <c r="CR129" s="378"/>
      <c r="CS129" s="378"/>
      <c r="CT129" s="378"/>
      <c r="CU129" s="378"/>
      <c r="CV129" s="378"/>
      <c r="CW129" s="378"/>
      <c r="CX129" s="378"/>
      <c r="CY129" s="378"/>
      <c r="CZ129" s="378"/>
      <c r="DA129" s="378"/>
      <c r="DB129" s="378"/>
      <c r="DC129" s="378"/>
      <c r="DD129" s="378"/>
      <c r="DE129" s="378"/>
      <c r="DF129" s="378"/>
      <c r="DG129" s="378"/>
      <c r="DH129" s="378"/>
      <c r="DI129" s="378"/>
      <c r="DJ129" s="378"/>
      <c r="DK129" s="378"/>
      <c r="DL129" s="378"/>
      <c r="DM129" s="378"/>
      <c r="DN129" s="378"/>
      <c r="DO129" s="378"/>
      <c r="DP129" s="378"/>
      <c r="DQ129" s="378"/>
      <c r="DR129" s="378"/>
      <c r="DS129" s="378"/>
      <c r="DT129" s="378"/>
      <c r="DU129" s="378"/>
      <c r="DV129" s="378"/>
      <c r="DW129" s="378"/>
      <c r="DX129" s="378"/>
      <c r="DY129" s="378"/>
      <c r="DZ129" s="378"/>
      <c r="EA129" s="378"/>
      <c r="EB129" s="378"/>
      <c r="EC129" s="378"/>
      <c r="ED129" s="378"/>
      <c r="EE129" s="378"/>
      <c r="EF129" s="378"/>
      <c r="EG129" s="378"/>
      <c r="EH129" s="378"/>
      <c r="EI129" s="378"/>
      <c r="EJ129" s="378"/>
      <c r="EK129" s="378"/>
      <c r="EL129" s="378"/>
      <c r="EM129" s="378"/>
      <c r="EN129" s="378"/>
      <c r="EO129" s="378"/>
      <c r="EP129" s="378"/>
      <c r="EQ129" s="378"/>
      <c r="ER129" s="378"/>
      <c r="ES129" s="378"/>
      <c r="ET129" s="378"/>
      <c r="EU129" s="378"/>
      <c r="EV129" s="378"/>
      <c r="EW129" s="378"/>
      <c r="EX129" s="378"/>
      <c r="EY129" s="378"/>
      <c r="EZ129" s="378"/>
      <c r="FA129" s="378"/>
      <c r="FB129" s="378"/>
      <c r="FC129" s="378"/>
      <c r="FD129" s="378"/>
      <c r="FE129" s="378"/>
      <c r="FF129" s="378"/>
      <c r="FG129" s="378"/>
      <c r="FH129" s="378"/>
      <c r="FI129" s="378"/>
      <c r="FJ129" s="378"/>
      <c r="FK129" s="378"/>
      <c r="FL129" s="378"/>
      <c r="FM129" s="378"/>
      <c r="FN129" s="378"/>
      <c r="FO129" s="378"/>
      <c r="FP129" s="378"/>
      <c r="FQ129" s="378"/>
      <c r="FR129" s="378"/>
      <c r="FS129" s="378"/>
      <c r="FT129" s="378"/>
      <c r="FU129" s="378"/>
      <c r="FV129" s="378"/>
      <c r="FW129" s="378"/>
      <c r="FX129" s="378"/>
      <c r="FY129" s="378"/>
      <c r="FZ129" s="378"/>
      <c r="GA129" s="378"/>
      <c r="GB129" s="378"/>
      <c r="GC129" s="378"/>
      <c r="GD129" s="378"/>
      <c r="GE129" s="378"/>
      <c r="GF129" s="378"/>
      <c r="GG129" s="378"/>
      <c r="GH129" s="378"/>
      <c r="GI129" s="378"/>
      <c r="GJ129" s="378"/>
      <c r="GK129" s="378"/>
      <c r="GL129" s="378"/>
      <c r="GM129" s="378"/>
      <c r="GN129" s="378"/>
      <c r="GO129" s="378"/>
      <c r="GP129" s="378"/>
      <c r="GQ129" s="378"/>
      <c r="GR129" s="378"/>
      <c r="GS129" s="378"/>
      <c r="GT129" s="378"/>
      <c r="GU129" s="378"/>
      <c r="GV129" s="378"/>
      <c r="GW129" s="378"/>
      <c r="GX129" s="378"/>
      <c r="GY129" s="378"/>
      <c r="GZ129" s="378"/>
      <c r="HA129" s="378"/>
      <c r="HB129" s="378"/>
      <c r="HC129" s="378"/>
      <c r="HD129" s="378"/>
      <c r="HE129" s="378"/>
      <c r="HF129" s="378"/>
      <c r="HG129" s="378"/>
      <c r="HH129" s="378"/>
      <c r="HI129" s="378"/>
      <c r="HJ129" s="378"/>
      <c r="HK129" s="378"/>
      <c r="HL129" s="378"/>
      <c r="HM129" s="378"/>
      <c r="HN129" s="378"/>
      <c r="HO129" s="378"/>
      <c r="HP129" s="378"/>
      <c r="HQ129" s="378"/>
      <c r="HR129" s="378"/>
      <c r="HS129" s="378"/>
      <c r="HT129" s="378"/>
      <c r="HU129" s="378"/>
      <c r="HV129" s="378"/>
      <c r="HW129" s="378"/>
      <c r="HX129" s="378"/>
      <c r="HY129" s="378"/>
      <c r="HZ129" s="378"/>
      <c r="IA129" s="378"/>
      <c r="IB129" s="378"/>
      <c r="IC129" s="378"/>
      <c r="ID129" s="378"/>
      <c r="IE129" s="378"/>
      <c r="IF129" s="378"/>
      <c r="IG129" s="378"/>
      <c r="IH129" s="378"/>
      <c r="II129" s="378"/>
      <c r="IJ129" s="378"/>
      <c r="IK129" s="378"/>
      <c r="IL129" s="378"/>
      <c r="IM129" s="378"/>
      <c r="IN129" s="378"/>
      <c r="IO129" s="378"/>
      <c r="IP129" s="378"/>
      <c r="IQ129" s="378"/>
      <c r="IR129" s="378"/>
      <c r="IS129" s="378"/>
      <c r="IT129" s="378"/>
      <c r="IU129" s="378"/>
      <c r="IV129" s="378"/>
      <c r="IW129" s="378"/>
      <c r="IX129" s="378"/>
      <c r="IY129" s="378"/>
      <c r="IZ129" s="378"/>
      <c r="JA129" s="378"/>
    </row>
    <row r="130" spans="2:261" s="379" customFormat="1" ht="14">
      <c r="B130" s="374"/>
      <c r="C130" s="375"/>
      <c r="D130" s="402"/>
      <c r="E130" s="400"/>
      <c r="F130" s="409" t="str">
        <f>"    Actual action: "&amp;F56</f>
        <v xml:space="preserve">    Actual action: </v>
      </c>
      <c r="G130" s="400"/>
      <c r="H130" s="376"/>
      <c r="I130" s="377"/>
      <c r="J130" s="378"/>
      <c r="K130" s="378"/>
      <c r="L130" s="378"/>
      <c r="M130" s="378"/>
      <c r="N130" s="378"/>
      <c r="O130" s="378"/>
      <c r="P130" s="378"/>
      <c r="Q130" s="378"/>
      <c r="R130" s="378"/>
      <c r="S130" s="378"/>
      <c r="T130" s="378"/>
      <c r="U130" s="378"/>
      <c r="V130" s="378"/>
      <c r="W130" s="378"/>
      <c r="X130" s="378"/>
      <c r="Y130" s="378"/>
      <c r="Z130" s="378"/>
      <c r="AA130" s="378"/>
      <c r="AB130" s="378"/>
      <c r="AC130" s="378"/>
      <c r="AD130" s="378"/>
      <c r="AE130" s="378"/>
      <c r="AF130" s="378"/>
      <c r="AG130" s="378"/>
      <c r="AH130" s="378"/>
      <c r="AI130" s="378"/>
      <c r="AJ130" s="378"/>
      <c r="AK130" s="378"/>
      <c r="AL130" s="378"/>
      <c r="AM130" s="378"/>
      <c r="AN130" s="378"/>
      <c r="AO130" s="378"/>
      <c r="AP130" s="378"/>
      <c r="AQ130" s="378"/>
      <c r="AR130" s="378"/>
      <c r="AS130" s="378"/>
      <c r="AT130" s="378"/>
      <c r="AU130" s="378"/>
      <c r="AV130" s="378"/>
      <c r="AW130" s="378"/>
      <c r="AX130" s="378"/>
      <c r="AY130" s="378"/>
      <c r="AZ130" s="378"/>
      <c r="BA130" s="378"/>
      <c r="BB130" s="378"/>
      <c r="BC130" s="378"/>
      <c r="BD130" s="378"/>
      <c r="BE130" s="378"/>
      <c r="BF130" s="378"/>
      <c r="BG130" s="378"/>
      <c r="BH130" s="378"/>
      <c r="BI130" s="378"/>
      <c r="BJ130" s="378"/>
      <c r="BK130" s="378"/>
      <c r="BL130" s="378"/>
      <c r="BM130" s="378"/>
      <c r="BN130" s="378"/>
      <c r="BO130" s="378"/>
      <c r="BP130" s="378"/>
      <c r="BQ130" s="378"/>
      <c r="BR130" s="378"/>
      <c r="BS130" s="378"/>
      <c r="BT130" s="378"/>
      <c r="BU130" s="378"/>
      <c r="BV130" s="378"/>
      <c r="BW130" s="378"/>
      <c r="BX130" s="378"/>
      <c r="BY130" s="378"/>
      <c r="BZ130" s="378"/>
      <c r="CA130" s="378"/>
      <c r="CB130" s="378"/>
      <c r="CC130" s="378"/>
      <c r="CD130" s="378"/>
      <c r="CE130" s="378"/>
      <c r="CF130" s="378"/>
      <c r="CG130" s="378"/>
      <c r="CH130" s="378"/>
      <c r="CI130" s="378"/>
      <c r="CJ130" s="378"/>
      <c r="CK130" s="378"/>
      <c r="CL130" s="378"/>
      <c r="CM130" s="378"/>
      <c r="CN130" s="378"/>
      <c r="CO130" s="378"/>
      <c r="CP130" s="378"/>
      <c r="CQ130" s="378"/>
      <c r="CR130" s="378"/>
      <c r="CS130" s="378"/>
      <c r="CT130" s="378"/>
      <c r="CU130" s="378"/>
      <c r="CV130" s="378"/>
      <c r="CW130" s="378"/>
      <c r="CX130" s="378"/>
      <c r="CY130" s="378"/>
      <c r="CZ130" s="378"/>
      <c r="DA130" s="378"/>
      <c r="DB130" s="378"/>
      <c r="DC130" s="378"/>
      <c r="DD130" s="378"/>
      <c r="DE130" s="378"/>
      <c r="DF130" s="378"/>
      <c r="DG130" s="378"/>
      <c r="DH130" s="378"/>
      <c r="DI130" s="378"/>
      <c r="DJ130" s="378"/>
      <c r="DK130" s="378"/>
      <c r="DL130" s="378"/>
      <c r="DM130" s="378"/>
      <c r="DN130" s="378"/>
      <c r="DO130" s="378"/>
      <c r="DP130" s="378"/>
      <c r="DQ130" s="378"/>
      <c r="DR130" s="378"/>
      <c r="DS130" s="378"/>
      <c r="DT130" s="378"/>
      <c r="DU130" s="378"/>
      <c r="DV130" s="378"/>
      <c r="DW130" s="378"/>
      <c r="DX130" s="378"/>
      <c r="DY130" s="378"/>
      <c r="DZ130" s="378"/>
      <c r="EA130" s="378"/>
      <c r="EB130" s="378"/>
      <c r="EC130" s="378"/>
      <c r="ED130" s="378"/>
      <c r="EE130" s="378"/>
      <c r="EF130" s="378"/>
      <c r="EG130" s="378"/>
      <c r="EH130" s="378"/>
      <c r="EI130" s="378"/>
      <c r="EJ130" s="378"/>
      <c r="EK130" s="378"/>
      <c r="EL130" s="378"/>
      <c r="EM130" s="378"/>
      <c r="EN130" s="378"/>
      <c r="EO130" s="378"/>
      <c r="EP130" s="378"/>
      <c r="EQ130" s="378"/>
      <c r="ER130" s="378"/>
      <c r="ES130" s="378"/>
      <c r="ET130" s="378"/>
      <c r="EU130" s="378"/>
      <c r="EV130" s="378"/>
      <c r="EW130" s="378"/>
      <c r="EX130" s="378"/>
      <c r="EY130" s="378"/>
      <c r="EZ130" s="378"/>
      <c r="FA130" s="378"/>
      <c r="FB130" s="378"/>
      <c r="FC130" s="378"/>
      <c r="FD130" s="378"/>
      <c r="FE130" s="378"/>
      <c r="FF130" s="378"/>
      <c r="FG130" s="378"/>
      <c r="FH130" s="378"/>
      <c r="FI130" s="378"/>
      <c r="FJ130" s="378"/>
      <c r="FK130" s="378"/>
      <c r="FL130" s="378"/>
      <c r="FM130" s="378"/>
      <c r="FN130" s="378"/>
      <c r="FO130" s="378"/>
      <c r="FP130" s="378"/>
      <c r="FQ130" s="378"/>
      <c r="FR130" s="378"/>
      <c r="FS130" s="378"/>
      <c r="FT130" s="378"/>
      <c r="FU130" s="378"/>
      <c r="FV130" s="378"/>
      <c r="FW130" s="378"/>
      <c r="FX130" s="378"/>
      <c r="FY130" s="378"/>
      <c r="FZ130" s="378"/>
      <c r="GA130" s="378"/>
      <c r="GB130" s="378"/>
      <c r="GC130" s="378"/>
      <c r="GD130" s="378"/>
      <c r="GE130" s="378"/>
      <c r="GF130" s="378"/>
      <c r="GG130" s="378"/>
      <c r="GH130" s="378"/>
      <c r="GI130" s="378"/>
      <c r="GJ130" s="378"/>
      <c r="GK130" s="378"/>
      <c r="GL130" s="378"/>
      <c r="GM130" s="378"/>
      <c r="GN130" s="378"/>
      <c r="GO130" s="378"/>
      <c r="GP130" s="378"/>
      <c r="GQ130" s="378"/>
      <c r="GR130" s="378"/>
      <c r="GS130" s="378"/>
      <c r="GT130" s="378"/>
      <c r="GU130" s="378"/>
      <c r="GV130" s="378"/>
      <c r="GW130" s="378"/>
      <c r="GX130" s="378"/>
      <c r="GY130" s="378"/>
      <c r="GZ130" s="378"/>
      <c r="HA130" s="378"/>
      <c r="HB130" s="378"/>
      <c r="HC130" s="378"/>
      <c r="HD130" s="378"/>
      <c r="HE130" s="378"/>
      <c r="HF130" s="378"/>
      <c r="HG130" s="378"/>
      <c r="HH130" s="378"/>
      <c r="HI130" s="378"/>
      <c r="HJ130" s="378"/>
      <c r="HK130" s="378"/>
      <c r="HL130" s="378"/>
      <c r="HM130" s="378"/>
      <c r="HN130" s="378"/>
      <c r="HO130" s="378"/>
      <c r="HP130" s="378"/>
      <c r="HQ130" s="378"/>
      <c r="HR130" s="378"/>
      <c r="HS130" s="378"/>
      <c r="HT130" s="378"/>
      <c r="HU130" s="378"/>
      <c r="HV130" s="378"/>
      <c r="HW130" s="378"/>
      <c r="HX130" s="378"/>
      <c r="HY130" s="378"/>
      <c r="HZ130" s="378"/>
      <c r="IA130" s="378"/>
      <c r="IB130" s="378"/>
      <c r="IC130" s="378"/>
      <c r="ID130" s="378"/>
      <c r="IE130" s="378"/>
      <c r="IF130" s="378"/>
      <c r="IG130" s="378"/>
      <c r="IH130" s="378"/>
      <c r="II130" s="378"/>
      <c r="IJ130" s="378"/>
      <c r="IK130" s="378"/>
      <c r="IL130" s="378"/>
      <c r="IM130" s="378"/>
      <c r="IN130" s="378"/>
      <c r="IO130" s="378"/>
      <c r="IP130" s="378"/>
      <c r="IQ130" s="378"/>
      <c r="IR130" s="378"/>
      <c r="IS130" s="378"/>
      <c r="IT130" s="378"/>
      <c r="IU130" s="378"/>
      <c r="IV130" s="378"/>
      <c r="IW130" s="378"/>
      <c r="IX130" s="378"/>
      <c r="IY130" s="378"/>
      <c r="IZ130" s="378"/>
      <c r="JA130" s="378"/>
    </row>
    <row r="131" spans="2:261" s="379" customFormat="1">
      <c r="B131" s="374"/>
      <c r="C131" s="375"/>
      <c r="D131" s="403"/>
      <c r="E131" s="404"/>
      <c r="F131" s="406" t="str">
        <f>"Minimum gain ("&amp;'Planning Template'!$F$112&amp;") was "&amp;E58&amp;"."</f>
        <v>Minimum gain () was .</v>
      </c>
      <c r="G131" s="405"/>
      <c r="H131" s="376"/>
      <c r="I131" s="377"/>
      <c r="J131" s="378"/>
      <c r="K131" s="378"/>
      <c r="L131" s="378"/>
      <c r="M131" s="378"/>
      <c r="N131" s="378"/>
      <c r="O131" s="378"/>
      <c r="P131" s="378"/>
      <c r="Q131" s="378"/>
      <c r="R131" s="378"/>
      <c r="S131" s="378"/>
      <c r="T131" s="378"/>
      <c r="U131" s="378"/>
      <c r="V131" s="378"/>
      <c r="W131" s="378"/>
      <c r="X131" s="378"/>
      <c r="Y131" s="378"/>
      <c r="Z131" s="378"/>
      <c r="AA131" s="378"/>
      <c r="AB131" s="378"/>
      <c r="AC131" s="378"/>
      <c r="AD131" s="378"/>
      <c r="AE131" s="378"/>
      <c r="AF131" s="378"/>
      <c r="AG131" s="378"/>
      <c r="AH131" s="378"/>
      <c r="AI131" s="378"/>
      <c r="AJ131" s="378"/>
      <c r="AK131" s="378"/>
      <c r="AL131" s="378"/>
      <c r="AM131" s="378"/>
      <c r="AN131" s="378"/>
      <c r="AO131" s="378"/>
      <c r="AP131" s="378"/>
      <c r="AQ131" s="378"/>
      <c r="AR131" s="378"/>
      <c r="AS131" s="378"/>
      <c r="AT131" s="378"/>
      <c r="AU131" s="378"/>
      <c r="AV131" s="378"/>
      <c r="AW131" s="378"/>
      <c r="AX131" s="378"/>
      <c r="AY131" s="378"/>
      <c r="AZ131" s="378"/>
      <c r="BA131" s="378"/>
      <c r="BB131" s="378"/>
      <c r="BC131" s="378"/>
      <c r="BD131" s="378"/>
      <c r="BE131" s="378"/>
      <c r="BF131" s="378"/>
      <c r="BG131" s="378"/>
      <c r="BH131" s="378"/>
      <c r="BI131" s="378"/>
      <c r="BJ131" s="378"/>
      <c r="BK131" s="378"/>
      <c r="BL131" s="378"/>
      <c r="BM131" s="378"/>
      <c r="BN131" s="378"/>
      <c r="BO131" s="378"/>
      <c r="BP131" s="378"/>
      <c r="BQ131" s="378"/>
      <c r="BR131" s="378"/>
      <c r="BS131" s="378"/>
      <c r="BT131" s="378"/>
      <c r="BU131" s="378"/>
      <c r="BV131" s="378"/>
      <c r="BW131" s="378"/>
      <c r="BX131" s="378"/>
      <c r="BY131" s="378"/>
      <c r="BZ131" s="378"/>
      <c r="CA131" s="378"/>
      <c r="CB131" s="378"/>
      <c r="CC131" s="378"/>
      <c r="CD131" s="378"/>
      <c r="CE131" s="378"/>
      <c r="CF131" s="378"/>
      <c r="CG131" s="378"/>
      <c r="CH131" s="378"/>
      <c r="CI131" s="378"/>
      <c r="CJ131" s="378"/>
      <c r="CK131" s="378"/>
      <c r="CL131" s="378"/>
      <c r="CM131" s="378"/>
      <c r="CN131" s="378"/>
      <c r="CO131" s="378"/>
      <c r="CP131" s="378"/>
      <c r="CQ131" s="378"/>
      <c r="CR131" s="378"/>
      <c r="CS131" s="378"/>
      <c r="CT131" s="378"/>
      <c r="CU131" s="378"/>
      <c r="CV131" s="378"/>
      <c r="CW131" s="378"/>
      <c r="CX131" s="378"/>
      <c r="CY131" s="378"/>
      <c r="CZ131" s="378"/>
      <c r="DA131" s="378"/>
      <c r="DB131" s="378"/>
      <c r="DC131" s="378"/>
      <c r="DD131" s="378"/>
      <c r="DE131" s="378"/>
      <c r="DF131" s="378"/>
      <c r="DG131" s="378"/>
      <c r="DH131" s="378"/>
      <c r="DI131" s="378"/>
      <c r="DJ131" s="378"/>
      <c r="DK131" s="378"/>
      <c r="DL131" s="378"/>
      <c r="DM131" s="378"/>
      <c r="DN131" s="378"/>
      <c r="DO131" s="378"/>
      <c r="DP131" s="378"/>
      <c r="DQ131" s="378"/>
      <c r="DR131" s="378"/>
      <c r="DS131" s="378"/>
      <c r="DT131" s="378"/>
      <c r="DU131" s="378"/>
      <c r="DV131" s="378"/>
      <c r="DW131" s="378"/>
      <c r="DX131" s="378"/>
      <c r="DY131" s="378"/>
      <c r="DZ131" s="378"/>
      <c r="EA131" s="378"/>
      <c r="EB131" s="378"/>
      <c r="EC131" s="378"/>
      <c r="ED131" s="378"/>
      <c r="EE131" s="378"/>
      <c r="EF131" s="378"/>
      <c r="EG131" s="378"/>
      <c r="EH131" s="378"/>
      <c r="EI131" s="378"/>
      <c r="EJ131" s="378"/>
      <c r="EK131" s="378"/>
      <c r="EL131" s="378"/>
      <c r="EM131" s="378"/>
      <c r="EN131" s="378"/>
      <c r="EO131" s="378"/>
      <c r="EP131" s="378"/>
      <c r="EQ131" s="378"/>
      <c r="ER131" s="378"/>
      <c r="ES131" s="378"/>
      <c r="ET131" s="378"/>
      <c r="EU131" s="378"/>
      <c r="EV131" s="378"/>
      <c r="EW131" s="378"/>
      <c r="EX131" s="378"/>
      <c r="EY131" s="378"/>
      <c r="EZ131" s="378"/>
      <c r="FA131" s="378"/>
      <c r="FB131" s="378"/>
      <c r="FC131" s="378"/>
      <c r="FD131" s="378"/>
      <c r="FE131" s="378"/>
      <c r="FF131" s="378"/>
      <c r="FG131" s="378"/>
      <c r="FH131" s="378"/>
      <c r="FI131" s="378"/>
      <c r="FJ131" s="378"/>
      <c r="FK131" s="378"/>
      <c r="FL131" s="378"/>
      <c r="FM131" s="378"/>
      <c r="FN131" s="378"/>
      <c r="FO131" s="378"/>
      <c r="FP131" s="378"/>
      <c r="FQ131" s="378"/>
      <c r="FR131" s="378"/>
      <c r="FS131" s="378"/>
      <c r="FT131" s="378"/>
      <c r="FU131" s="378"/>
      <c r="FV131" s="378"/>
      <c r="FW131" s="378"/>
      <c r="FX131" s="378"/>
      <c r="FY131" s="378"/>
      <c r="FZ131" s="378"/>
      <c r="GA131" s="378"/>
      <c r="GB131" s="378"/>
      <c r="GC131" s="378"/>
      <c r="GD131" s="378"/>
      <c r="GE131" s="378"/>
      <c r="GF131" s="378"/>
      <c r="GG131" s="378"/>
      <c r="GH131" s="378"/>
      <c r="GI131" s="378"/>
      <c r="GJ131" s="378"/>
      <c r="GK131" s="378"/>
      <c r="GL131" s="378"/>
      <c r="GM131" s="378"/>
      <c r="GN131" s="378"/>
      <c r="GO131" s="378"/>
      <c r="GP131" s="378"/>
      <c r="GQ131" s="378"/>
      <c r="GR131" s="378"/>
      <c r="GS131" s="378"/>
      <c r="GT131" s="378"/>
      <c r="GU131" s="378"/>
      <c r="GV131" s="378"/>
      <c r="GW131" s="378"/>
      <c r="GX131" s="378"/>
      <c r="GY131" s="378"/>
      <c r="GZ131" s="378"/>
      <c r="HA131" s="378"/>
      <c r="HB131" s="378"/>
      <c r="HC131" s="378"/>
      <c r="HD131" s="378"/>
      <c r="HE131" s="378"/>
      <c r="HF131" s="378"/>
      <c r="HG131" s="378"/>
      <c r="HH131" s="378"/>
      <c r="HI131" s="378"/>
      <c r="HJ131" s="378"/>
      <c r="HK131" s="378"/>
      <c r="HL131" s="378"/>
      <c r="HM131" s="378"/>
      <c r="HN131" s="378"/>
      <c r="HO131" s="378"/>
      <c r="HP131" s="378"/>
      <c r="HQ131" s="378"/>
      <c r="HR131" s="378"/>
      <c r="HS131" s="378"/>
      <c r="HT131" s="378"/>
      <c r="HU131" s="378"/>
      <c r="HV131" s="378"/>
      <c r="HW131" s="378"/>
      <c r="HX131" s="378"/>
      <c r="HY131" s="378"/>
      <c r="HZ131" s="378"/>
      <c r="IA131" s="378"/>
      <c r="IB131" s="378"/>
      <c r="IC131" s="378"/>
      <c r="ID131" s="378"/>
      <c r="IE131" s="378"/>
      <c r="IF131" s="378"/>
      <c r="IG131" s="378"/>
      <c r="IH131" s="378"/>
      <c r="II131" s="378"/>
      <c r="IJ131" s="378"/>
      <c r="IK131" s="378"/>
      <c r="IL131" s="378"/>
      <c r="IM131" s="378"/>
      <c r="IN131" s="378"/>
      <c r="IO131" s="378"/>
      <c r="IP131" s="378"/>
      <c r="IQ131" s="378"/>
      <c r="IR131" s="378"/>
      <c r="IS131" s="378"/>
      <c r="IT131" s="378"/>
      <c r="IU131" s="378"/>
      <c r="IV131" s="378"/>
      <c r="IW131" s="378"/>
      <c r="IX131" s="378"/>
      <c r="IY131" s="378"/>
      <c r="IZ131" s="378"/>
      <c r="JA131" s="378"/>
    </row>
    <row r="132" spans="2:261" s="379" customFormat="1">
      <c r="B132" s="374"/>
      <c r="C132" s="375"/>
      <c r="D132" s="403"/>
      <c r="E132" s="404"/>
      <c r="F132" s="406"/>
      <c r="G132" s="405"/>
      <c r="H132" s="376"/>
      <c r="I132" s="377"/>
      <c r="J132" s="378"/>
      <c r="K132" s="378"/>
      <c r="L132" s="378"/>
      <c r="M132" s="378"/>
      <c r="N132" s="378"/>
      <c r="O132" s="378"/>
      <c r="P132" s="378"/>
      <c r="Q132" s="378"/>
      <c r="R132" s="378"/>
      <c r="S132" s="378"/>
      <c r="T132" s="378"/>
      <c r="U132" s="378"/>
      <c r="V132" s="378"/>
      <c r="W132" s="378"/>
      <c r="X132" s="378"/>
      <c r="Y132" s="378"/>
      <c r="Z132" s="378"/>
      <c r="AA132" s="378"/>
      <c r="AB132" s="378"/>
      <c r="AC132" s="378"/>
      <c r="AD132" s="378"/>
      <c r="AE132" s="378"/>
      <c r="AF132" s="378"/>
      <c r="AG132" s="378"/>
      <c r="AH132" s="378"/>
      <c r="AI132" s="378"/>
      <c r="AJ132" s="378"/>
      <c r="AK132" s="378"/>
      <c r="AL132" s="378"/>
      <c r="AM132" s="378"/>
      <c r="AN132" s="378"/>
      <c r="AO132" s="378"/>
      <c r="AP132" s="378"/>
      <c r="AQ132" s="378"/>
      <c r="AR132" s="378"/>
      <c r="AS132" s="378"/>
      <c r="AT132" s="378"/>
      <c r="AU132" s="378"/>
      <c r="AV132" s="378"/>
      <c r="AW132" s="378"/>
      <c r="AX132" s="378"/>
      <c r="AY132" s="378"/>
      <c r="AZ132" s="378"/>
      <c r="BA132" s="378"/>
      <c r="BB132" s="378"/>
      <c r="BC132" s="378"/>
      <c r="BD132" s="378"/>
      <c r="BE132" s="378"/>
      <c r="BF132" s="378"/>
      <c r="BG132" s="378"/>
      <c r="BH132" s="378"/>
      <c r="BI132" s="378"/>
      <c r="BJ132" s="378"/>
      <c r="BK132" s="378"/>
      <c r="BL132" s="378"/>
      <c r="BM132" s="378"/>
      <c r="BN132" s="378"/>
      <c r="BO132" s="378"/>
      <c r="BP132" s="378"/>
      <c r="BQ132" s="378"/>
      <c r="BR132" s="378"/>
      <c r="BS132" s="378"/>
      <c r="BT132" s="378"/>
      <c r="BU132" s="378"/>
      <c r="BV132" s="378"/>
      <c r="BW132" s="378"/>
      <c r="BX132" s="378"/>
      <c r="BY132" s="378"/>
      <c r="BZ132" s="378"/>
      <c r="CA132" s="378"/>
      <c r="CB132" s="378"/>
      <c r="CC132" s="378"/>
      <c r="CD132" s="378"/>
      <c r="CE132" s="378"/>
      <c r="CF132" s="378"/>
      <c r="CG132" s="378"/>
      <c r="CH132" s="378"/>
      <c r="CI132" s="378"/>
      <c r="CJ132" s="378"/>
      <c r="CK132" s="378"/>
      <c r="CL132" s="378"/>
      <c r="CM132" s="378"/>
      <c r="CN132" s="378"/>
      <c r="CO132" s="378"/>
      <c r="CP132" s="378"/>
      <c r="CQ132" s="378"/>
      <c r="CR132" s="378"/>
      <c r="CS132" s="378"/>
      <c r="CT132" s="378"/>
      <c r="CU132" s="378"/>
      <c r="CV132" s="378"/>
      <c r="CW132" s="378"/>
      <c r="CX132" s="378"/>
      <c r="CY132" s="378"/>
      <c r="CZ132" s="378"/>
      <c r="DA132" s="378"/>
      <c r="DB132" s="378"/>
      <c r="DC132" s="378"/>
      <c r="DD132" s="378"/>
      <c r="DE132" s="378"/>
      <c r="DF132" s="378"/>
      <c r="DG132" s="378"/>
      <c r="DH132" s="378"/>
      <c r="DI132" s="378"/>
      <c r="DJ132" s="378"/>
      <c r="DK132" s="378"/>
      <c r="DL132" s="378"/>
      <c r="DM132" s="378"/>
      <c r="DN132" s="378"/>
      <c r="DO132" s="378"/>
      <c r="DP132" s="378"/>
      <c r="DQ132" s="378"/>
      <c r="DR132" s="378"/>
      <c r="DS132" s="378"/>
      <c r="DT132" s="378"/>
      <c r="DU132" s="378"/>
      <c r="DV132" s="378"/>
      <c r="DW132" s="378"/>
      <c r="DX132" s="378"/>
      <c r="DY132" s="378"/>
      <c r="DZ132" s="378"/>
      <c r="EA132" s="378"/>
      <c r="EB132" s="378"/>
      <c r="EC132" s="378"/>
      <c r="ED132" s="378"/>
      <c r="EE132" s="378"/>
      <c r="EF132" s="378"/>
      <c r="EG132" s="378"/>
      <c r="EH132" s="378"/>
      <c r="EI132" s="378"/>
      <c r="EJ132" s="378"/>
      <c r="EK132" s="378"/>
      <c r="EL132" s="378"/>
      <c r="EM132" s="378"/>
      <c r="EN132" s="378"/>
      <c r="EO132" s="378"/>
      <c r="EP132" s="378"/>
      <c r="EQ132" s="378"/>
      <c r="ER132" s="378"/>
      <c r="ES132" s="378"/>
      <c r="ET132" s="378"/>
      <c r="EU132" s="378"/>
      <c r="EV132" s="378"/>
      <c r="EW132" s="378"/>
      <c r="EX132" s="378"/>
      <c r="EY132" s="378"/>
      <c r="EZ132" s="378"/>
      <c r="FA132" s="378"/>
      <c r="FB132" s="378"/>
      <c r="FC132" s="378"/>
      <c r="FD132" s="378"/>
      <c r="FE132" s="378"/>
      <c r="FF132" s="378"/>
      <c r="FG132" s="378"/>
      <c r="FH132" s="378"/>
      <c r="FI132" s="378"/>
      <c r="FJ132" s="378"/>
      <c r="FK132" s="378"/>
      <c r="FL132" s="378"/>
      <c r="FM132" s="378"/>
      <c r="FN132" s="378"/>
      <c r="FO132" s="378"/>
      <c r="FP132" s="378"/>
      <c r="FQ132" s="378"/>
      <c r="FR132" s="378"/>
      <c r="FS132" s="378"/>
      <c r="FT132" s="378"/>
      <c r="FU132" s="378"/>
      <c r="FV132" s="378"/>
      <c r="FW132" s="378"/>
      <c r="FX132" s="378"/>
      <c r="FY132" s="378"/>
      <c r="FZ132" s="378"/>
      <c r="GA132" s="378"/>
      <c r="GB132" s="378"/>
      <c r="GC132" s="378"/>
      <c r="GD132" s="378"/>
      <c r="GE132" s="378"/>
      <c r="GF132" s="378"/>
      <c r="GG132" s="378"/>
      <c r="GH132" s="378"/>
      <c r="GI132" s="378"/>
      <c r="GJ132" s="378"/>
      <c r="GK132" s="378"/>
      <c r="GL132" s="378"/>
      <c r="GM132" s="378"/>
      <c r="GN132" s="378"/>
      <c r="GO132" s="378"/>
      <c r="GP132" s="378"/>
      <c r="GQ132" s="378"/>
      <c r="GR132" s="378"/>
      <c r="GS132" s="378"/>
      <c r="GT132" s="378"/>
      <c r="GU132" s="378"/>
      <c r="GV132" s="378"/>
      <c r="GW132" s="378"/>
      <c r="GX132" s="378"/>
      <c r="GY132" s="378"/>
      <c r="GZ132" s="378"/>
      <c r="HA132" s="378"/>
      <c r="HB132" s="378"/>
      <c r="HC132" s="378"/>
      <c r="HD132" s="378"/>
      <c r="HE132" s="378"/>
      <c r="HF132" s="378"/>
      <c r="HG132" s="378"/>
      <c r="HH132" s="378"/>
      <c r="HI132" s="378"/>
      <c r="HJ132" s="378"/>
      <c r="HK132" s="378"/>
      <c r="HL132" s="378"/>
      <c r="HM132" s="378"/>
      <c r="HN132" s="378"/>
      <c r="HO132" s="378"/>
      <c r="HP132" s="378"/>
      <c r="HQ132" s="378"/>
      <c r="HR132" s="378"/>
      <c r="HS132" s="378"/>
      <c r="HT132" s="378"/>
      <c r="HU132" s="378"/>
      <c r="HV132" s="378"/>
      <c r="HW132" s="378"/>
      <c r="HX132" s="378"/>
      <c r="HY132" s="378"/>
      <c r="HZ132" s="378"/>
      <c r="IA132" s="378"/>
      <c r="IB132" s="378"/>
      <c r="IC132" s="378"/>
      <c r="ID132" s="378"/>
      <c r="IE132" s="378"/>
      <c r="IF132" s="378"/>
      <c r="IG132" s="378"/>
      <c r="IH132" s="378"/>
      <c r="II132" s="378"/>
      <c r="IJ132" s="378"/>
      <c r="IK132" s="378"/>
      <c r="IL132" s="378"/>
      <c r="IM132" s="378"/>
      <c r="IN132" s="378"/>
      <c r="IO132" s="378"/>
      <c r="IP132" s="378"/>
      <c r="IQ132" s="378"/>
      <c r="IR132" s="378"/>
      <c r="IS132" s="378"/>
      <c r="IT132" s="378"/>
      <c r="IU132" s="378"/>
      <c r="IV132" s="378"/>
      <c r="IW132" s="378"/>
      <c r="IX132" s="378"/>
      <c r="IY132" s="378"/>
      <c r="IZ132" s="378"/>
      <c r="JA132" s="378"/>
    </row>
    <row r="133" spans="2:261" s="379" customFormat="1">
      <c r="B133" s="374"/>
      <c r="C133" s="375"/>
      <c r="D133" s="403"/>
      <c r="E133" s="404"/>
      <c r="F133" s="410" t="str">
        <f>'Planning Template'!$F$11&amp;"-"&amp;$F$10&amp;" Statistics"</f>
        <v>- Statistics</v>
      </c>
      <c r="G133" s="405"/>
      <c r="H133" s="376"/>
      <c r="I133" s="377"/>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378"/>
      <c r="AS133" s="378"/>
      <c r="AT133" s="378"/>
      <c r="AU133" s="378"/>
      <c r="AV133" s="378"/>
      <c r="AW133" s="378"/>
      <c r="AX133" s="378"/>
      <c r="AY133" s="378"/>
      <c r="AZ133" s="378"/>
      <c r="BA133" s="378"/>
      <c r="BB133" s="378"/>
      <c r="BC133" s="378"/>
      <c r="BD133" s="378"/>
      <c r="BE133" s="378"/>
      <c r="BF133" s="378"/>
      <c r="BG133" s="378"/>
      <c r="BH133" s="378"/>
      <c r="BI133" s="378"/>
      <c r="BJ133" s="378"/>
      <c r="BK133" s="378"/>
      <c r="BL133" s="378"/>
      <c r="BM133" s="378"/>
      <c r="BN133" s="378"/>
      <c r="BO133" s="378"/>
      <c r="BP133" s="378"/>
      <c r="BQ133" s="378"/>
      <c r="BR133" s="378"/>
      <c r="BS133" s="378"/>
      <c r="BT133" s="378"/>
      <c r="BU133" s="378"/>
      <c r="BV133" s="378"/>
      <c r="BW133" s="378"/>
      <c r="BX133" s="378"/>
      <c r="BY133" s="378"/>
      <c r="BZ133" s="378"/>
      <c r="CA133" s="378"/>
      <c r="CB133" s="378"/>
      <c r="CC133" s="378"/>
      <c r="CD133" s="378"/>
      <c r="CE133" s="378"/>
      <c r="CF133" s="378"/>
      <c r="CG133" s="378"/>
      <c r="CH133" s="378"/>
      <c r="CI133" s="378"/>
      <c r="CJ133" s="378"/>
      <c r="CK133" s="378"/>
      <c r="CL133" s="378"/>
      <c r="CM133" s="378"/>
      <c r="CN133" s="378"/>
      <c r="CO133" s="378"/>
      <c r="CP133" s="378"/>
      <c r="CQ133" s="378"/>
      <c r="CR133" s="378"/>
      <c r="CS133" s="378"/>
      <c r="CT133" s="378"/>
      <c r="CU133" s="378"/>
      <c r="CV133" s="378"/>
      <c r="CW133" s="378"/>
      <c r="CX133" s="378"/>
      <c r="CY133" s="378"/>
      <c r="CZ133" s="378"/>
      <c r="DA133" s="378"/>
      <c r="DB133" s="378"/>
      <c r="DC133" s="378"/>
      <c r="DD133" s="378"/>
      <c r="DE133" s="378"/>
      <c r="DF133" s="378"/>
      <c r="DG133" s="378"/>
      <c r="DH133" s="378"/>
      <c r="DI133" s="378"/>
      <c r="DJ133" s="378"/>
      <c r="DK133" s="378"/>
      <c r="DL133" s="378"/>
      <c r="DM133" s="378"/>
      <c r="DN133" s="378"/>
      <c r="DO133" s="378"/>
      <c r="DP133" s="378"/>
      <c r="DQ133" s="378"/>
      <c r="DR133" s="378"/>
      <c r="DS133" s="378"/>
      <c r="DT133" s="378"/>
      <c r="DU133" s="378"/>
      <c r="DV133" s="378"/>
      <c r="DW133" s="378"/>
      <c r="DX133" s="378"/>
      <c r="DY133" s="378"/>
      <c r="DZ133" s="378"/>
      <c r="EA133" s="378"/>
      <c r="EB133" s="378"/>
      <c r="EC133" s="378"/>
      <c r="ED133" s="378"/>
      <c r="EE133" s="378"/>
      <c r="EF133" s="378"/>
      <c r="EG133" s="378"/>
      <c r="EH133" s="378"/>
      <c r="EI133" s="378"/>
      <c r="EJ133" s="378"/>
      <c r="EK133" s="378"/>
      <c r="EL133" s="378"/>
      <c r="EM133" s="378"/>
      <c r="EN133" s="378"/>
      <c r="EO133" s="378"/>
      <c r="EP133" s="378"/>
      <c r="EQ133" s="378"/>
      <c r="ER133" s="378"/>
      <c r="ES133" s="378"/>
      <c r="ET133" s="378"/>
      <c r="EU133" s="378"/>
      <c r="EV133" s="378"/>
      <c r="EW133" s="378"/>
      <c r="EX133" s="378"/>
      <c r="EY133" s="378"/>
      <c r="EZ133" s="378"/>
      <c r="FA133" s="378"/>
      <c r="FB133" s="378"/>
      <c r="FC133" s="378"/>
      <c r="FD133" s="378"/>
      <c r="FE133" s="378"/>
      <c r="FF133" s="378"/>
      <c r="FG133" s="378"/>
      <c r="FH133" s="378"/>
      <c r="FI133" s="378"/>
      <c r="FJ133" s="378"/>
      <c r="FK133" s="378"/>
      <c r="FL133" s="378"/>
      <c r="FM133" s="378"/>
      <c r="FN133" s="378"/>
      <c r="FO133" s="378"/>
      <c r="FP133" s="378"/>
      <c r="FQ133" s="378"/>
      <c r="FR133" s="378"/>
      <c r="FS133" s="378"/>
      <c r="FT133" s="378"/>
      <c r="FU133" s="378"/>
      <c r="FV133" s="378"/>
      <c r="FW133" s="378"/>
      <c r="FX133" s="378"/>
      <c r="FY133" s="378"/>
      <c r="FZ133" s="378"/>
      <c r="GA133" s="378"/>
      <c r="GB133" s="378"/>
      <c r="GC133" s="378"/>
      <c r="GD133" s="378"/>
      <c r="GE133" s="378"/>
      <c r="GF133" s="378"/>
      <c r="GG133" s="378"/>
      <c r="GH133" s="378"/>
      <c r="GI133" s="378"/>
      <c r="GJ133" s="378"/>
      <c r="GK133" s="378"/>
      <c r="GL133" s="378"/>
      <c r="GM133" s="378"/>
      <c r="GN133" s="378"/>
      <c r="GO133" s="378"/>
      <c r="GP133" s="378"/>
      <c r="GQ133" s="378"/>
      <c r="GR133" s="378"/>
      <c r="GS133" s="378"/>
      <c r="GT133" s="378"/>
      <c r="GU133" s="378"/>
      <c r="GV133" s="378"/>
      <c r="GW133" s="378"/>
      <c r="GX133" s="378"/>
      <c r="GY133" s="378"/>
      <c r="GZ133" s="378"/>
      <c r="HA133" s="378"/>
      <c r="HB133" s="378"/>
      <c r="HC133" s="378"/>
      <c r="HD133" s="378"/>
      <c r="HE133" s="378"/>
      <c r="HF133" s="378"/>
      <c r="HG133" s="378"/>
      <c r="HH133" s="378"/>
      <c r="HI133" s="378"/>
      <c r="HJ133" s="378"/>
      <c r="HK133" s="378"/>
      <c r="HL133" s="378"/>
      <c r="HM133" s="378"/>
      <c r="HN133" s="378"/>
      <c r="HO133" s="378"/>
      <c r="HP133" s="378"/>
      <c r="HQ133" s="378"/>
      <c r="HR133" s="378"/>
      <c r="HS133" s="378"/>
      <c r="HT133" s="378"/>
      <c r="HU133" s="378"/>
      <c r="HV133" s="378"/>
      <c r="HW133" s="378"/>
      <c r="HX133" s="378"/>
      <c r="HY133" s="378"/>
      <c r="HZ133" s="378"/>
      <c r="IA133" s="378"/>
      <c r="IB133" s="378"/>
      <c r="IC133" s="378"/>
      <c r="ID133" s="378"/>
      <c r="IE133" s="378"/>
      <c r="IF133" s="378"/>
      <c r="IG133" s="378"/>
      <c r="IH133" s="378"/>
      <c r="II133" s="378"/>
      <c r="IJ133" s="378"/>
      <c r="IK133" s="378"/>
      <c r="IL133" s="378"/>
      <c r="IM133" s="378"/>
      <c r="IN133" s="378"/>
      <c r="IO133" s="378"/>
      <c r="IP133" s="378"/>
      <c r="IQ133" s="378"/>
      <c r="IR133" s="378"/>
      <c r="IS133" s="378"/>
      <c r="IT133" s="378"/>
      <c r="IU133" s="378"/>
      <c r="IV133" s="378"/>
      <c r="IW133" s="378"/>
      <c r="IX133" s="378"/>
      <c r="IY133" s="378"/>
      <c r="IZ133" s="378"/>
      <c r="JA133" s="378"/>
    </row>
    <row r="134" spans="2:261" s="379" customFormat="1">
      <c r="B134" s="374"/>
      <c r="C134" s="375"/>
      <c r="D134" s="403"/>
      <c r="E134" s="404"/>
      <c r="F134" s="406" t="str">
        <f>"Type of presence established: "&amp;F80</f>
        <v xml:space="preserve">Type of presence established: </v>
      </c>
      <c r="G134" s="405"/>
      <c r="H134" s="376"/>
      <c r="I134" s="377"/>
      <c r="J134" s="378"/>
      <c r="K134" s="378"/>
      <c r="L134" s="378"/>
      <c r="M134" s="378"/>
      <c r="N134" s="378"/>
      <c r="O134" s="378"/>
      <c r="P134" s="378"/>
      <c r="Q134" s="378"/>
      <c r="R134" s="378"/>
      <c r="S134" s="378"/>
      <c r="T134" s="378"/>
      <c r="U134" s="378"/>
      <c r="V134" s="378"/>
      <c r="W134" s="378"/>
      <c r="X134" s="378"/>
      <c r="Y134" s="378"/>
      <c r="Z134" s="378"/>
      <c r="AA134" s="378"/>
      <c r="AB134" s="378"/>
      <c r="AC134" s="378"/>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78"/>
      <c r="AY134" s="378"/>
      <c r="AZ134" s="378"/>
      <c r="BA134" s="378"/>
      <c r="BB134" s="378"/>
      <c r="BC134" s="378"/>
      <c r="BD134" s="378"/>
      <c r="BE134" s="378"/>
      <c r="BF134" s="378"/>
      <c r="BG134" s="378"/>
      <c r="BH134" s="378"/>
      <c r="BI134" s="378"/>
      <c r="BJ134" s="378"/>
      <c r="BK134" s="378"/>
      <c r="BL134" s="378"/>
      <c r="BM134" s="378"/>
      <c r="BN134" s="378"/>
      <c r="BO134" s="378"/>
      <c r="BP134" s="378"/>
      <c r="BQ134" s="378"/>
      <c r="BR134" s="378"/>
      <c r="BS134" s="378"/>
      <c r="BT134" s="378"/>
      <c r="BU134" s="378"/>
      <c r="BV134" s="378"/>
      <c r="BW134" s="378"/>
      <c r="BX134" s="378"/>
      <c r="BY134" s="378"/>
      <c r="BZ134" s="378"/>
      <c r="CA134" s="378"/>
      <c r="CB134" s="378"/>
      <c r="CC134" s="378"/>
      <c r="CD134" s="378"/>
      <c r="CE134" s="378"/>
      <c r="CF134" s="378"/>
      <c r="CG134" s="378"/>
      <c r="CH134" s="378"/>
      <c r="CI134" s="378"/>
      <c r="CJ134" s="378"/>
      <c r="CK134" s="378"/>
      <c r="CL134" s="378"/>
      <c r="CM134" s="378"/>
      <c r="CN134" s="378"/>
      <c r="CO134" s="378"/>
      <c r="CP134" s="378"/>
      <c r="CQ134" s="378"/>
      <c r="CR134" s="378"/>
      <c r="CS134" s="378"/>
      <c r="CT134" s="378"/>
      <c r="CU134" s="378"/>
      <c r="CV134" s="378"/>
      <c r="CW134" s="378"/>
      <c r="CX134" s="378"/>
      <c r="CY134" s="378"/>
      <c r="CZ134" s="378"/>
      <c r="DA134" s="378"/>
      <c r="DB134" s="378"/>
      <c r="DC134" s="378"/>
      <c r="DD134" s="378"/>
      <c r="DE134" s="378"/>
      <c r="DF134" s="378"/>
      <c r="DG134" s="378"/>
      <c r="DH134" s="378"/>
      <c r="DI134" s="378"/>
      <c r="DJ134" s="378"/>
      <c r="DK134" s="378"/>
      <c r="DL134" s="378"/>
      <c r="DM134" s="378"/>
      <c r="DN134" s="378"/>
      <c r="DO134" s="378"/>
      <c r="DP134" s="378"/>
      <c r="DQ134" s="378"/>
      <c r="DR134" s="378"/>
      <c r="DS134" s="378"/>
      <c r="DT134" s="378"/>
      <c r="DU134" s="378"/>
      <c r="DV134" s="378"/>
      <c r="DW134" s="378"/>
      <c r="DX134" s="378"/>
      <c r="DY134" s="378"/>
      <c r="DZ134" s="378"/>
      <c r="EA134" s="378"/>
      <c r="EB134" s="378"/>
      <c r="EC134" s="378"/>
      <c r="ED134" s="378"/>
      <c r="EE134" s="378"/>
      <c r="EF134" s="378"/>
      <c r="EG134" s="378"/>
      <c r="EH134" s="378"/>
      <c r="EI134" s="378"/>
      <c r="EJ134" s="378"/>
      <c r="EK134" s="378"/>
      <c r="EL134" s="378"/>
      <c r="EM134" s="378"/>
      <c r="EN134" s="378"/>
      <c r="EO134" s="378"/>
      <c r="EP134" s="378"/>
      <c r="EQ134" s="378"/>
      <c r="ER134" s="378"/>
      <c r="ES134" s="378"/>
      <c r="ET134" s="378"/>
      <c r="EU134" s="378"/>
      <c r="EV134" s="378"/>
      <c r="EW134" s="378"/>
      <c r="EX134" s="378"/>
      <c r="EY134" s="378"/>
      <c r="EZ134" s="378"/>
      <c r="FA134" s="378"/>
      <c r="FB134" s="378"/>
      <c r="FC134" s="378"/>
      <c r="FD134" s="378"/>
      <c r="FE134" s="378"/>
      <c r="FF134" s="378"/>
      <c r="FG134" s="378"/>
      <c r="FH134" s="378"/>
      <c r="FI134" s="378"/>
      <c r="FJ134" s="378"/>
      <c r="FK134" s="378"/>
      <c r="FL134" s="378"/>
      <c r="FM134" s="378"/>
      <c r="FN134" s="378"/>
      <c r="FO134" s="378"/>
      <c r="FP134" s="378"/>
      <c r="FQ134" s="378"/>
      <c r="FR134" s="378"/>
      <c r="FS134" s="378"/>
      <c r="FT134" s="378"/>
      <c r="FU134" s="378"/>
      <c r="FV134" s="378"/>
      <c r="FW134" s="378"/>
      <c r="FX134" s="378"/>
      <c r="FY134" s="378"/>
      <c r="FZ134" s="378"/>
      <c r="GA134" s="378"/>
      <c r="GB134" s="378"/>
      <c r="GC134" s="378"/>
      <c r="GD134" s="378"/>
      <c r="GE134" s="378"/>
      <c r="GF134" s="378"/>
      <c r="GG134" s="378"/>
      <c r="GH134" s="378"/>
      <c r="GI134" s="378"/>
      <c r="GJ134" s="378"/>
      <c r="GK134" s="378"/>
      <c r="GL134" s="378"/>
      <c r="GM134" s="378"/>
      <c r="GN134" s="378"/>
      <c r="GO134" s="378"/>
      <c r="GP134" s="378"/>
      <c r="GQ134" s="378"/>
      <c r="GR134" s="378"/>
      <c r="GS134" s="378"/>
      <c r="GT134" s="378"/>
      <c r="GU134" s="378"/>
      <c r="GV134" s="378"/>
      <c r="GW134" s="378"/>
      <c r="GX134" s="378"/>
      <c r="GY134" s="378"/>
      <c r="GZ134" s="378"/>
      <c r="HA134" s="378"/>
      <c r="HB134" s="378"/>
      <c r="HC134" s="378"/>
      <c r="HD134" s="378"/>
      <c r="HE134" s="378"/>
      <c r="HF134" s="378"/>
      <c r="HG134" s="378"/>
      <c r="HH134" s="378"/>
      <c r="HI134" s="378"/>
      <c r="HJ134" s="378"/>
      <c r="HK134" s="378"/>
      <c r="HL134" s="378"/>
      <c r="HM134" s="378"/>
      <c r="HN134" s="378"/>
      <c r="HO134" s="378"/>
      <c r="HP134" s="378"/>
      <c r="HQ134" s="378"/>
      <c r="HR134" s="378"/>
      <c r="HS134" s="378"/>
      <c r="HT134" s="378"/>
      <c r="HU134" s="378"/>
      <c r="HV134" s="378"/>
      <c r="HW134" s="378"/>
      <c r="HX134" s="378"/>
      <c r="HY134" s="378"/>
      <c r="HZ134" s="378"/>
      <c r="IA134" s="378"/>
      <c r="IB134" s="378"/>
      <c r="IC134" s="378"/>
      <c r="ID134" s="378"/>
      <c r="IE134" s="378"/>
      <c r="IF134" s="378"/>
      <c r="IG134" s="378"/>
      <c r="IH134" s="378"/>
      <c r="II134" s="378"/>
      <c r="IJ134" s="378"/>
      <c r="IK134" s="378"/>
      <c r="IL134" s="378"/>
      <c r="IM134" s="378"/>
      <c r="IN134" s="378"/>
      <c r="IO134" s="378"/>
      <c r="IP134" s="378"/>
      <c r="IQ134" s="378"/>
      <c r="IR134" s="378"/>
      <c r="IS134" s="378"/>
      <c r="IT134" s="378"/>
      <c r="IU134" s="378"/>
      <c r="IV134" s="378"/>
      <c r="IW134" s="378"/>
      <c r="IX134" s="378"/>
      <c r="IY134" s="378"/>
      <c r="IZ134" s="378"/>
      <c r="JA134" s="378"/>
    </row>
    <row r="135" spans="2:261" s="379" customFormat="1">
      <c r="B135" s="374"/>
      <c r="C135" s="375"/>
      <c r="D135" s="403"/>
      <c r="E135" s="404"/>
      <c r="F135" s="406" t="str">
        <f>"Adventist Presence: "&amp;F72</f>
        <v>Adventist Presence: 0</v>
      </c>
      <c r="G135" s="405"/>
      <c r="H135" s="376"/>
      <c r="I135" s="377"/>
      <c r="J135" s="378"/>
      <c r="K135" s="378"/>
      <c r="L135" s="378"/>
      <c r="M135" s="378"/>
      <c r="N135" s="378"/>
      <c r="O135" s="378"/>
      <c r="P135" s="378"/>
      <c r="Q135" s="378"/>
      <c r="R135" s="378"/>
      <c r="S135" s="378"/>
      <c r="T135" s="378"/>
      <c r="U135" s="378"/>
      <c r="V135" s="378"/>
      <c r="W135" s="378"/>
      <c r="X135" s="378"/>
      <c r="Y135" s="378"/>
      <c r="Z135" s="378"/>
      <c r="AA135" s="378"/>
      <c r="AB135" s="378"/>
      <c r="AC135" s="378"/>
      <c r="AD135" s="378"/>
      <c r="AE135" s="378"/>
      <c r="AF135" s="378"/>
      <c r="AG135" s="378"/>
      <c r="AH135" s="378"/>
      <c r="AI135" s="378"/>
      <c r="AJ135" s="378"/>
      <c r="AK135" s="378"/>
      <c r="AL135" s="378"/>
      <c r="AM135" s="378"/>
      <c r="AN135" s="378"/>
      <c r="AO135" s="378"/>
      <c r="AP135" s="378"/>
      <c r="AQ135" s="378"/>
      <c r="AR135" s="378"/>
      <c r="AS135" s="378"/>
      <c r="AT135" s="378"/>
      <c r="AU135" s="378"/>
      <c r="AV135" s="378"/>
      <c r="AW135" s="378"/>
      <c r="AX135" s="378"/>
      <c r="AY135" s="378"/>
      <c r="AZ135" s="378"/>
      <c r="BA135" s="378"/>
      <c r="BB135" s="378"/>
      <c r="BC135" s="378"/>
      <c r="BD135" s="378"/>
      <c r="BE135" s="378"/>
      <c r="BF135" s="378"/>
      <c r="BG135" s="378"/>
      <c r="BH135" s="378"/>
      <c r="BI135" s="378"/>
      <c r="BJ135" s="378"/>
      <c r="BK135" s="378"/>
      <c r="BL135" s="378"/>
      <c r="BM135" s="378"/>
      <c r="BN135" s="378"/>
      <c r="BO135" s="378"/>
      <c r="BP135" s="378"/>
      <c r="BQ135" s="378"/>
      <c r="BR135" s="378"/>
      <c r="BS135" s="378"/>
      <c r="BT135" s="378"/>
      <c r="BU135" s="378"/>
      <c r="BV135" s="378"/>
      <c r="BW135" s="378"/>
      <c r="BX135" s="378"/>
      <c r="BY135" s="378"/>
      <c r="BZ135" s="378"/>
      <c r="CA135" s="378"/>
      <c r="CB135" s="378"/>
      <c r="CC135" s="378"/>
      <c r="CD135" s="378"/>
      <c r="CE135" s="378"/>
      <c r="CF135" s="378"/>
      <c r="CG135" s="378"/>
      <c r="CH135" s="378"/>
      <c r="CI135" s="378"/>
      <c r="CJ135" s="378"/>
      <c r="CK135" s="378"/>
      <c r="CL135" s="378"/>
      <c r="CM135" s="378"/>
      <c r="CN135" s="378"/>
      <c r="CO135" s="378"/>
      <c r="CP135" s="378"/>
      <c r="CQ135" s="378"/>
      <c r="CR135" s="378"/>
      <c r="CS135" s="378"/>
      <c r="CT135" s="378"/>
      <c r="CU135" s="378"/>
      <c r="CV135" s="378"/>
      <c r="CW135" s="378"/>
      <c r="CX135" s="378"/>
      <c r="CY135" s="378"/>
      <c r="CZ135" s="378"/>
      <c r="DA135" s="378"/>
      <c r="DB135" s="378"/>
      <c r="DC135" s="378"/>
      <c r="DD135" s="378"/>
      <c r="DE135" s="378"/>
      <c r="DF135" s="378"/>
      <c r="DG135" s="378"/>
      <c r="DH135" s="378"/>
      <c r="DI135" s="378"/>
      <c r="DJ135" s="378"/>
      <c r="DK135" s="378"/>
      <c r="DL135" s="378"/>
      <c r="DM135" s="378"/>
      <c r="DN135" s="378"/>
      <c r="DO135" s="378"/>
      <c r="DP135" s="378"/>
      <c r="DQ135" s="378"/>
      <c r="DR135" s="378"/>
      <c r="DS135" s="378"/>
      <c r="DT135" s="378"/>
      <c r="DU135" s="378"/>
      <c r="DV135" s="378"/>
      <c r="DW135" s="378"/>
      <c r="DX135" s="378"/>
      <c r="DY135" s="378"/>
      <c r="DZ135" s="378"/>
      <c r="EA135" s="378"/>
      <c r="EB135" s="378"/>
      <c r="EC135" s="378"/>
      <c r="ED135" s="378"/>
      <c r="EE135" s="378"/>
      <c r="EF135" s="378"/>
      <c r="EG135" s="378"/>
      <c r="EH135" s="378"/>
      <c r="EI135" s="378"/>
      <c r="EJ135" s="378"/>
      <c r="EK135" s="378"/>
      <c r="EL135" s="378"/>
      <c r="EM135" s="378"/>
      <c r="EN135" s="378"/>
      <c r="EO135" s="378"/>
      <c r="EP135" s="378"/>
      <c r="EQ135" s="378"/>
      <c r="ER135" s="378"/>
      <c r="ES135" s="378"/>
      <c r="ET135" s="378"/>
      <c r="EU135" s="378"/>
      <c r="EV135" s="378"/>
      <c r="EW135" s="378"/>
      <c r="EX135" s="378"/>
      <c r="EY135" s="378"/>
      <c r="EZ135" s="378"/>
      <c r="FA135" s="378"/>
      <c r="FB135" s="378"/>
      <c r="FC135" s="378"/>
      <c r="FD135" s="378"/>
      <c r="FE135" s="378"/>
      <c r="FF135" s="378"/>
      <c r="FG135" s="378"/>
      <c r="FH135" s="378"/>
      <c r="FI135" s="378"/>
      <c r="FJ135" s="378"/>
      <c r="FK135" s="378"/>
      <c r="FL135" s="378"/>
      <c r="FM135" s="378"/>
      <c r="FN135" s="378"/>
      <c r="FO135" s="378"/>
      <c r="FP135" s="378"/>
      <c r="FQ135" s="378"/>
      <c r="FR135" s="378"/>
      <c r="FS135" s="378"/>
      <c r="FT135" s="378"/>
      <c r="FU135" s="378"/>
      <c r="FV135" s="378"/>
      <c r="FW135" s="378"/>
      <c r="FX135" s="378"/>
      <c r="FY135" s="378"/>
      <c r="FZ135" s="378"/>
      <c r="GA135" s="378"/>
      <c r="GB135" s="378"/>
      <c r="GC135" s="378"/>
      <c r="GD135" s="378"/>
      <c r="GE135" s="378"/>
      <c r="GF135" s="378"/>
      <c r="GG135" s="378"/>
      <c r="GH135" s="378"/>
      <c r="GI135" s="378"/>
      <c r="GJ135" s="378"/>
      <c r="GK135" s="378"/>
      <c r="GL135" s="378"/>
      <c r="GM135" s="378"/>
      <c r="GN135" s="378"/>
      <c r="GO135" s="378"/>
      <c r="GP135" s="378"/>
      <c r="GQ135" s="378"/>
      <c r="GR135" s="378"/>
      <c r="GS135" s="378"/>
      <c r="GT135" s="378"/>
      <c r="GU135" s="378"/>
      <c r="GV135" s="378"/>
      <c r="GW135" s="378"/>
      <c r="GX135" s="378"/>
      <c r="GY135" s="378"/>
      <c r="GZ135" s="378"/>
      <c r="HA135" s="378"/>
      <c r="HB135" s="378"/>
      <c r="HC135" s="378"/>
      <c r="HD135" s="378"/>
      <c r="HE135" s="378"/>
      <c r="HF135" s="378"/>
      <c r="HG135" s="378"/>
      <c r="HH135" s="378"/>
      <c r="HI135" s="378"/>
      <c r="HJ135" s="378"/>
      <c r="HK135" s="378"/>
      <c r="HL135" s="378"/>
      <c r="HM135" s="378"/>
      <c r="HN135" s="378"/>
      <c r="HO135" s="378"/>
      <c r="HP135" s="378"/>
      <c r="HQ135" s="378"/>
      <c r="HR135" s="378"/>
      <c r="HS135" s="378"/>
      <c r="HT135" s="378"/>
      <c r="HU135" s="378"/>
      <c r="HV135" s="378"/>
      <c r="HW135" s="378"/>
      <c r="HX135" s="378"/>
      <c r="HY135" s="378"/>
      <c r="HZ135" s="378"/>
      <c r="IA135" s="378"/>
      <c r="IB135" s="378"/>
      <c r="IC135" s="378"/>
      <c r="ID135" s="378"/>
      <c r="IE135" s="378"/>
      <c r="IF135" s="378"/>
      <c r="IG135" s="378"/>
      <c r="IH135" s="378"/>
      <c r="II135" s="378"/>
      <c r="IJ135" s="378"/>
      <c r="IK135" s="378"/>
      <c r="IL135" s="378"/>
      <c r="IM135" s="378"/>
      <c r="IN135" s="378"/>
      <c r="IO135" s="378"/>
      <c r="IP135" s="378"/>
      <c r="IQ135" s="378"/>
      <c r="IR135" s="378"/>
      <c r="IS135" s="378"/>
      <c r="IT135" s="378"/>
      <c r="IU135" s="378"/>
      <c r="IV135" s="378"/>
      <c r="IW135" s="378"/>
      <c r="IX135" s="378"/>
      <c r="IY135" s="378"/>
      <c r="IZ135" s="378"/>
      <c r="JA135" s="378"/>
    </row>
    <row r="136" spans="2:261" s="379" customFormat="1">
      <c r="B136" s="374"/>
      <c r="C136" s="375"/>
      <c r="D136" s="403"/>
      <c r="E136" s="404"/>
      <c r="F136" s="406" t="str">
        <f>"GM Pioneers: "&amp;'Planning Template'!$F$117</f>
        <v xml:space="preserve">GM Pioneers: </v>
      </c>
      <c r="G136" s="405"/>
      <c r="H136" s="376"/>
      <c r="I136" s="377"/>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8"/>
      <c r="AY136" s="378"/>
      <c r="AZ136" s="378"/>
      <c r="BA136" s="378"/>
      <c r="BB136" s="378"/>
      <c r="BC136" s="378"/>
      <c r="BD136" s="378"/>
      <c r="BE136" s="378"/>
      <c r="BF136" s="378"/>
      <c r="BG136" s="378"/>
      <c r="BH136" s="378"/>
      <c r="BI136" s="378"/>
      <c r="BJ136" s="378"/>
      <c r="BK136" s="378"/>
      <c r="BL136" s="378"/>
      <c r="BM136" s="378"/>
      <c r="BN136" s="378"/>
      <c r="BO136" s="378"/>
      <c r="BP136" s="378"/>
      <c r="BQ136" s="378"/>
      <c r="BR136" s="378"/>
      <c r="BS136" s="378"/>
      <c r="BT136" s="378"/>
      <c r="BU136" s="378"/>
      <c r="BV136" s="378"/>
      <c r="BW136" s="378"/>
      <c r="BX136" s="378"/>
      <c r="BY136" s="378"/>
      <c r="BZ136" s="378"/>
      <c r="CA136" s="378"/>
      <c r="CB136" s="378"/>
      <c r="CC136" s="378"/>
      <c r="CD136" s="378"/>
      <c r="CE136" s="378"/>
      <c r="CF136" s="378"/>
      <c r="CG136" s="378"/>
      <c r="CH136" s="378"/>
      <c r="CI136" s="378"/>
      <c r="CJ136" s="378"/>
      <c r="CK136" s="378"/>
      <c r="CL136" s="378"/>
      <c r="CM136" s="378"/>
      <c r="CN136" s="378"/>
      <c r="CO136" s="378"/>
      <c r="CP136" s="378"/>
      <c r="CQ136" s="378"/>
      <c r="CR136" s="378"/>
      <c r="CS136" s="378"/>
      <c r="CT136" s="378"/>
      <c r="CU136" s="378"/>
      <c r="CV136" s="378"/>
      <c r="CW136" s="378"/>
      <c r="CX136" s="378"/>
      <c r="CY136" s="378"/>
      <c r="CZ136" s="378"/>
      <c r="DA136" s="378"/>
      <c r="DB136" s="378"/>
      <c r="DC136" s="378"/>
      <c r="DD136" s="378"/>
      <c r="DE136" s="378"/>
      <c r="DF136" s="378"/>
      <c r="DG136" s="378"/>
      <c r="DH136" s="378"/>
      <c r="DI136" s="378"/>
      <c r="DJ136" s="378"/>
      <c r="DK136" s="378"/>
      <c r="DL136" s="378"/>
      <c r="DM136" s="378"/>
      <c r="DN136" s="378"/>
      <c r="DO136" s="378"/>
      <c r="DP136" s="378"/>
      <c r="DQ136" s="378"/>
      <c r="DR136" s="378"/>
      <c r="DS136" s="378"/>
      <c r="DT136" s="378"/>
      <c r="DU136" s="378"/>
      <c r="DV136" s="378"/>
      <c r="DW136" s="378"/>
      <c r="DX136" s="378"/>
      <c r="DY136" s="378"/>
      <c r="DZ136" s="378"/>
      <c r="EA136" s="378"/>
      <c r="EB136" s="378"/>
      <c r="EC136" s="378"/>
      <c r="ED136" s="378"/>
      <c r="EE136" s="378"/>
      <c r="EF136" s="378"/>
      <c r="EG136" s="378"/>
      <c r="EH136" s="378"/>
      <c r="EI136" s="378"/>
      <c r="EJ136" s="378"/>
      <c r="EK136" s="378"/>
      <c r="EL136" s="378"/>
      <c r="EM136" s="378"/>
      <c r="EN136" s="378"/>
      <c r="EO136" s="378"/>
      <c r="EP136" s="378"/>
      <c r="EQ136" s="378"/>
      <c r="ER136" s="378"/>
      <c r="ES136" s="378"/>
      <c r="ET136" s="378"/>
      <c r="EU136" s="378"/>
      <c r="EV136" s="378"/>
      <c r="EW136" s="378"/>
      <c r="EX136" s="378"/>
      <c r="EY136" s="378"/>
      <c r="EZ136" s="378"/>
      <c r="FA136" s="378"/>
      <c r="FB136" s="378"/>
      <c r="FC136" s="378"/>
      <c r="FD136" s="378"/>
      <c r="FE136" s="378"/>
      <c r="FF136" s="378"/>
      <c r="FG136" s="378"/>
      <c r="FH136" s="378"/>
      <c r="FI136" s="378"/>
      <c r="FJ136" s="378"/>
      <c r="FK136" s="378"/>
      <c r="FL136" s="378"/>
      <c r="FM136" s="378"/>
      <c r="FN136" s="378"/>
      <c r="FO136" s="378"/>
      <c r="FP136" s="378"/>
      <c r="FQ136" s="378"/>
      <c r="FR136" s="378"/>
      <c r="FS136" s="378"/>
      <c r="FT136" s="378"/>
      <c r="FU136" s="378"/>
      <c r="FV136" s="378"/>
      <c r="FW136" s="378"/>
      <c r="FX136" s="378"/>
      <c r="FY136" s="378"/>
      <c r="FZ136" s="378"/>
      <c r="GA136" s="378"/>
      <c r="GB136" s="378"/>
      <c r="GC136" s="378"/>
      <c r="GD136" s="378"/>
      <c r="GE136" s="378"/>
      <c r="GF136" s="378"/>
      <c r="GG136" s="378"/>
      <c r="GH136" s="378"/>
      <c r="GI136" s="378"/>
      <c r="GJ136" s="378"/>
      <c r="GK136" s="378"/>
      <c r="GL136" s="378"/>
      <c r="GM136" s="378"/>
      <c r="GN136" s="378"/>
      <c r="GO136" s="378"/>
      <c r="GP136" s="378"/>
      <c r="GQ136" s="378"/>
      <c r="GR136" s="378"/>
      <c r="GS136" s="378"/>
      <c r="GT136" s="378"/>
      <c r="GU136" s="378"/>
      <c r="GV136" s="378"/>
      <c r="GW136" s="378"/>
      <c r="GX136" s="378"/>
      <c r="GY136" s="378"/>
      <c r="GZ136" s="378"/>
      <c r="HA136" s="378"/>
      <c r="HB136" s="378"/>
      <c r="HC136" s="378"/>
      <c r="HD136" s="378"/>
      <c r="HE136" s="378"/>
      <c r="HF136" s="378"/>
      <c r="HG136" s="378"/>
      <c r="HH136" s="378"/>
      <c r="HI136" s="378"/>
      <c r="HJ136" s="378"/>
      <c r="HK136" s="378"/>
      <c r="HL136" s="378"/>
      <c r="HM136" s="378"/>
      <c r="HN136" s="378"/>
      <c r="HO136" s="378"/>
      <c r="HP136" s="378"/>
      <c r="HQ136" s="378"/>
      <c r="HR136" s="378"/>
      <c r="HS136" s="378"/>
      <c r="HT136" s="378"/>
      <c r="HU136" s="378"/>
      <c r="HV136" s="378"/>
      <c r="HW136" s="378"/>
      <c r="HX136" s="378"/>
      <c r="HY136" s="378"/>
      <c r="HZ136" s="378"/>
      <c r="IA136" s="378"/>
      <c r="IB136" s="378"/>
      <c r="IC136" s="378"/>
      <c r="ID136" s="378"/>
      <c r="IE136" s="378"/>
      <c r="IF136" s="378"/>
      <c r="IG136" s="378"/>
      <c r="IH136" s="378"/>
      <c r="II136" s="378"/>
      <c r="IJ136" s="378"/>
      <c r="IK136" s="378"/>
      <c r="IL136" s="378"/>
      <c r="IM136" s="378"/>
      <c r="IN136" s="378"/>
      <c r="IO136" s="378"/>
      <c r="IP136" s="378"/>
      <c r="IQ136" s="378"/>
      <c r="IR136" s="378"/>
      <c r="IS136" s="378"/>
      <c r="IT136" s="378"/>
      <c r="IU136" s="378"/>
      <c r="IV136" s="378"/>
      <c r="IW136" s="378"/>
      <c r="IX136" s="378"/>
      <c r="IY136" s="378"/>
      <c r="IZ136" s="378"/>
      <c r="JA136" s="378"/>
    </row>
    <row r="137" spans="2:261" s="379" customFormat="1">
      <c r="B137" s="374"/>
      <c r="C137" s="375"/>
      <c r="D137" s="403"/>
      <c r="E137" s="404"/>
      <c r="F137" s="406" t="str">
        <f>"People Attending: "&amp;F74</f>
        <v>People Attending: 0</v>
      </c>
      <c r="G137" s="405"/>
      <c r="H137" s="376"/>
      <c r="I137" s="377"/>
      <c r="J137" s="378"/>
      <c r="K137" s="378"/>
      <c r="L137" s="378"/>
      <c r="M137" s="378"/>
      <c r="N137" s="378"/>
      <c r="O137" s="378"/>
      <c r="P137" s="378"/>
      <c r="Q137" s="378"/>
      <c r="R137" s="378"/>
      <c r="S137" s="378"/>
      <c r="T137" s="378"/>
      <c r="U137" s="378"/>
      <c r="V137" s="378"/>
      <c r="W137" s="378"/>
      <c r="X137" s="378"/>
      <c r="Y137" s="378"/>
      <c r="Z137" s="378"/>
      <c r="AA137" s="378"/>
      <c r="AB137" s="378"/>
      <c r="AC137" s="378"/>
      <c r="AD137" s="378"/>
      <c r="AE137" s="378"/>
      <c r="AF137" s="378"/>
      <c r="AG137" s="378"/>
      <c r="AH137" s="378"/>
      <c r="AI137" s="378"/>
      <c r="AJ137" s="378"/>
      <c r="AK137" s="378"/>
      <c r="AL137" s="378"/>
      <c r="AM137" s="378"/>
      <c r="AN137" s="378"/>
      <c r="AO137" s="378"/>
      <c r="AP137" s="378"/>
      <c r="AQ137" s="378"/>
      <c r="AR137" s="378"/>
      <c r="AS137" s="378"/>
      <c r="AT137" s="378"/>
      <c r="AU137" s="378"/>
      <c r="AV137" s="378"/>
      <c r="AW137" s="378"/>
      <c r="AX137" s="378"/>
      <c r="AY137" s="378"/>
      <c r="AZ137" s="378"/>
      <c r="BA137" s="378"/>
      <c r="BB137" s="378"/>
      <c r="BC137" s="378"/>
      <c r="BD137" s="378"/>
      <c r="BE137" s="378"/>
      <c r="BF137" s="378"/>
      <c r="BG137" s="378"/>
      <c r="BH137" s="378"/>
      <c r="BI137" s="378"/>
      <c r="BJ137" s="378"/>
      <c r="BK137" s="378"/>
      <c r="BL137" s="378"/>
      <c r="BM137" s="378"/>
      <c r="BN137" s="378"/>
      <c r="BO137" s="378"/>
      <c r="BP137" s="378"/>
      <c r="BQ137" s="378"/>
      <c r="BR137" s="378"/>
      <c r="BS137" s="378"/>
      <c r="BT137" s="378"/>
      <c r="BU137" s="378"/>
      <c r="BV137" s="378"/>
      <c r="BW137" s="378"/>
      <c r="BX137" s="378"/>
      <c r="BY137" s="378"/>
      <c r="BZ137" s="378"/>
      <c r="CA137" s="378"/>
      <c r="CB137" s="378"/>
      <c r="CC137" s="378"/>
      <c r="CD137" s="378"/>
      <c r="CE137" s="378"/>
      <c r="CF137" s="378"/>
      <c r="CG137" s="378"/>
      <c r="CH137" s="378"/>
      <c r="CI137" s="378"/>
      <c r="CJ137" s="378"/>
      <c r="CK137" s="378"/>
      <c r="CL137" s="378"/>
      <c r="CM137" s="378"/>
      <c r="CN137" s="378"/>
      <c r="CO137" s="378"/>
      <c r="CP137" s="378"/>
      <c r="CQ137" s="378"/>
      <c r="CR137" s="378"/>
      <c r="CS137" s="378"/>
      <c r="CT137" s="378"/>
      <c r="CU137" s="378"/>
      <c r="CV137" s="378"/>
      <c r="CW137" s="378"/>
      <c r="CX137" s="378"/>
      <c r="CY137" s="378"/>
      <c r="CZ137" s="378"/>
      <c r="DA137" s="378"/>
      <c r="DB137" s="378"/>
      <c r="DC137" s="378"/>
      <c r="DD137" s="378"/>
      <c r="DE137" s="378"/>
      <c r="DF137" s="378"/>
      <c r="DG137" s="378"/>
      <c r="DH137" s="378"/>
      <c r="DI137" s="378"/>
      <c r="DJ137" s="378"/>
      <c r="DK137" s="378"/>
      <c r="DL137" s="378"/>
      <c r="DM137" s="378"/>
      <c r="DN137" s="378"/>
      <c r="DO137" s="378"/>
      <c r="DP137" s="378"/>
      <c r="DQ137" s="378"/>
      <c r="DR137" s="378"/>
      <c r="DS137" s="378"/>
      <c r="DT137" s="378"/>
      <c r="DU137" s="378"/>
      <c r="DV137" s="378"/>
      <c r="DW137" s="378"/>
      <c r="DX137" s="378"/>
      <c r="DY137" s="378"/>
      <c r="DZ137" s="378"/>
      <c r="EA137" s="378"/>
      <c r="EB137" s="378"/>
      <c r="EC137" s="378"/>
      <c r="ED137" s="378"/>
      <c r="EE137" s="378"/>
      <c r="EF137" s="378"/>
      <c r="EG137" s="378"/>
      <c r="EH137" s="378"/>
      <c r="EI137" s="378"/>
      <c r="EJ137" s="378"/>
      <c r="EK137" s="378"/>
      <c r="EL137" s="378"/>
      <c r="EM137" s="378"/>
      <c r="EN137" s="378"/>
      <c r="EO137" s="378"/>
      <c r="EP137" s="378"/>
      <c r="EQ137" s="378"/>
      <c r="ER137" s="378"/>
      <c r="ES137" s="378"/>
      <c r="ET137" s="378"/>
      <c r="EU137" s="378"/>
      <c r="EV137" s="378"/>
      <c r="EW137" s="378"/>
      <c r="EX137" s="378"/>
      <c r="EY137" s="378"/>
      <c r="EZ137" s="378"/>
      <c r="FA137" s="378"/>
      <c r="FB137" s="378"/>
      <c r="FC137" s="378"/>
      <c r="FD137" s="378"/>
      <c r="FE137" s="378"/>
      <c r="FF137" s="378"/>
      <c r="FG137" s="378"/>
      <c r="FH137" s="378"/>
      <c r="FI137" s="378"/>
      <c r="FJ137" s="378"/>
      <c r="FK137" s="378"/>
      <c r="FL137" s="378"/>
      <c r="FM137" s="378"/>
      <c r="FN137" s="378"/>
      <c r="FO137" s="378"/>
      <c r="FP137" s="378"/>
      <c r="FQ137" s="378"/>
      <c r="FR137" s="378"/>
      <c r="FS137" s="378"/>
      <c r="FT137" s="378"/>
      <c r="FU137" s="378"/>
      <c r="FV137" s="378"/>
      <c r="FW137" s="378"/>
      <c r="FX137" s="378"/>
      <c r="FY137" s="378"/>
      <c r="FZ137" s="378"/>
      <c r="GA137" s="378"/>
      <c r="GB137" s="378"/>
      <c r="GC137" s="378"/>
      <c r="GD137" s="378"/>
      <c r="GE137" s="378"/>
      <c r="GF137" s="378"/>
      <c r="GG137" s="378"/>
      <c r="GH137" s="378"/>
      <c r="GI137" s="378"/>
      <c r="GJ137" s="378"/>
      <c r="GK137" s="378"/>
      <c r="GL137" s="378"/>
      <c r="GM137" s="378"/>
      <c r="GN137" s="378"/>
      <c r="GO137" s="378"/>
      <c r="GP137" s="378"/>
      <c r="GQ137" s="378"/>
      <c r="GR137" s="378"/>
      <c r="GS137" s="378"/>
      <c r="GT137" s="378"/>
      <c r="GU137" s="378"/>
      <c r="GV137" s="378"/>
      <c r="GW137" s="378"/>
      <c r="GX137" s="378"/>
      <c r="GY137" s="378"/>
      <c r="GZ137" s="378"/>
      <c r="HA137" s="378"/>
      <c r="HB137" s="378"/>
      <c r="HC137" s="378"/>
      <c r="HD137" s="378"/>
      <c r="HE137" s="378"/>
      <c r="HF137" s="378"/>
      <c r="HG137" s="378"/>
      <c r="HH137" s="378"/>
      <c r="HI137" s="378"/>
      <c r="HJ137" s="378"/>
      <c r="HK137" s="378"/>
      <c r="HL137" s="378"/>
      <c r="HM137" s="378"/>
      <c r="HN137" s="378"/>
      <c r="HO137" s="378"/>
      <c r="HP137" s="378"/>
      <c r="HQ137" s="378"/>
      <c r="HR137" s="378"/>
      <c r="HS137" s="378"/>
      <c r="HT137" s="378"/>
      <c r="HU137" s="378"/>
      <c r="HV137" s="378"/>
      <c r="HW137" s="378"/>
      <c r="HX137" s="378"/>
      <c r="HY137" s="378"/>
      <c r="HZ137" s="378"/>
      <c r="IA137" s="378"/>
      <c r="IB137" s="378"/>
      <c r="IC137" s="378"/>
      <c r="ID137" s="378"/>
      <c r="IE137" s="378"/>
      <c r="IF137" s="378"/>
      <c r="IG137" s="378"/>
      <c r="IH137" s="378"/>
      <c r="II137" s="378"/>
      <c r="IJ137" s="378"/>
      <c r="IK137" s="378"/>
      <c r="IL137" s="378"/>
      <c r="IM137" s="378"/>
      <c r="IN137" s="378"/>
      <c r="IO137" s="378"/>
      <c r="IP137" s="378"/>
      <c r="IQ137" s="378"/>
      <c r="IR137" s="378"/>
      <c r="IS137" s="378"/>
      <c r="IT137" s="378"/>
      <c r="IU137" s="378"/>
      <c r="IV137" s="378"/>
      <c r="IW137" s="378"/>
      <c r="IX137" s="378"/>
      <c r="IY137" s="378"/>
      <c r="IZ137" s="378"/>
      <c r="JA137" s="378"/>
    </row>
    <row r="138" spans="2:261" s="379" customFormat="1">
      <c r="B138" s="374"/>
      <c r="C138" s="375"/>
      <c r="D138" s="403"/>
      <c r="E138" s="404"/>
      <c r="F138" s="406" t="str">
        <f>"People Baptized: "&amp;F76</f>
        <v>People Baptized: 0</v>
      </c>
      <c r="G138" s="405"/>
      <c r="H138" s="376"/>
      <c r="I138" s="377"/>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378"/>
      <c r="AS138" s="378"/>
      <c r="AT138" s="378"/>
      <c r="AU138" s="378"/>
      <c r="AV138" s="378"/>
      <c r="AW138" s="378"/>
      <c r="AX138" s="378"/>
      <c r="AY138" s="378"/>
      <c r="AZ138" s="378"/>
      <c r="BA138" s="378"/>
      <c r="BB138" s="378"/>
      <c r="BC138" s="378"/>
      <c r="BD138" s="378"/>
      <c r="BE138" s="378"/>
      <c r="BF138" s="378"/>
      <c r="BG138" s="378"/>
      <c r="BH138" s="378"/>
      <c r="BI138" s="378"/>
      <c r="BJ138" s="378"/>
      <c r="BK138" s="378"/>
      <c r="BL138" s="378"/>
      <c r="BM138" s="378"/>
      <c r="BN138" s="378"/>
      <c r="BO138" s="378"/>
      <c r="BP138" s="378"/>
      <c r="BQ138" s="378"/>
      <c r="BR138" s="378"/>
      <c r="BS138" s="378"/>
      <c r="BT138" s="378"/>
      <c r="BU138" s="378"/>
      <c r="BV138" s="378"/>
      <c r="BW138" s="378"/>
      <c r="BX138" s="378"/>
      <c r="BY138" s="378"/>
      <c r="BZ138" s="378"/>
      <c r="CA138" s="378"/>
      <c r="CB138" s="378"/>
      <c r="CC138" s="378"/>
      <c r="CD138" s="378"/>
      <c r="CE138" s="378"/>
      <c r="CF138" s="378"/>
      <c r="CG138" s="378"/>
      <c r="CH138" s="378"/>
      <c r="CI138" s="378"/>
      <c r="CJ138" s="378"/>
      <c r="CK138" s="378"/>
      <c r="CL138" s="378"/>
      <c r="CM138" s="378"/>
      <c r="CN138" s="378"/>
      <c r="CO138" s="378"/>
      <c r="CP138" s="378"/>
      <c r="CQ138" s="378"/>
      <c r="CR138" s="378"/>
      <c r="CS138" s="378"/>
      <c r="CT138" s="378"/>
      <c r="CU138" s="378"/>
      <c r="CV138" s="378"/>
      <c r="CW138" s="378"/>
      <c r="CX138" s="378"/>
      <c r="CY138" s="378"/>
      <c r="CZ138" s="378"/>
      <c r="DA138" s="378"/>
      <c r="DB138" s="378"/>
      <c r="DC138" s="378"/>
      <c r="DD138" s="378"/>
      <c r="DE138" s="378"/>
      <c r="DF138" s="378"/>
      <c r="DG138" s="378"/>
      <c r="DH138" s="378"/>
      <c r="DI138" s="378"/>
      <c r="DJ138" s="378"/>
      <c r="DK138" s="378"/>
      <c r="DL138" s="378"/>
      <c r="DM138" s="378"/>
      <c r="DN138" s="378"/>
      <c r="DO138" s="378"/>
      <c r="DP138" s="378"/>
      <c r="DQ138" s="378"/>
      <c r="DR138" s="378"/>
      <c r="DS138" s="378"/>
      <c r="DT138" s="378"/>
      <c r="DU138" s="378"/>
      <c r="DV138" s="378"/>
      <c r="DW138" s="378"/>
      <c r="DX138" s="378"/>
      <c r="DY138" s="378"/>
      <c r="DZ138" s="378"/>
      <c r="EA138" s="378"/>
      <c r="EB138" s="378"/>
      <c r="EC138" s="378"/>
      <c r="ED138" s="378"/>
      <c r="EE138" s="378"/>
      <c r="EF138" s="378"/>
      <c r="EG138" s="378"/>
      <c r="EH138" s="378"/>
      <c r="EI138" s="378"/>
      <c r="EJ138" s="378"/>
      <c r="EK138" s="378"/>
      <c r="EL138" s="378"/>
      <c r="EM138" s="378"/>
      <c r="EN138" s="378"/>
      <c r="EO138" s="378"/>
      <c r="EP138" s="378"/>
      <c r="EQ138" s="378"/>
      <c r="ER138" s="378"/>
      <c r="ES138" s="378"/>
      <c r="ET138" s="378"/>
      <c r="EU138" s="378"/>
      <c r="EV138" s="378"/>
      <c r="EW138" s="378"/>
      <c r="EX138" s="378"/>
      <c r="EY138" s="378"/>
      <c r="EZ138" s="378"/>
      <c r="FA138" s="378"/>
      <c r="FB138" s="378"/>
      <c r="FC138" s="378"/>
      <c r="FD138" s="378"/>
      <c r="FE138" s="378"/>
      <c r="FF138" s="378"/>
      <c r="FG138" s="378"/>
      <c r="FH138" s="378"/>
      <c r="FI138" s="378"/>
      <c r="FJ138" s="378"/>
      <c r="FK138" s="378"/>
      <c r="FL138" s="378"/>
      <c r="FM138" s="378"/>
      <c r="FN138" s="378"/>
      <c r="FO138" s="378"/>
      <c r="FP138" s="378"/>
      <c r="FQ138" s="378"/>
      <c r="FR138" s="378"/>
      <c r="FS138" s="378"/>
      <c r="FT138" s="378"/>
      <c r="FU138" s="378"/>
      <c r="FV138" s="378"/>
      <c r="FW138" s="378"/>
      <c r="FX138" s="378"/>
      <c r="FY138" s="378"/>
      <c r="FZ138" s="378"/>
      <c r="GA138" s="378"/>
      <c r="GB138" s="378"/>
      <c r="GC138" s="378"/>
      <c r="GD138" s="378"/>
      <c r="GE138" s="378"/>
      <c r="GF138" s="378"/>
      <c r="GG138" s="378"/>
      <c r="GH138" s="378"/>
      <c r="GI138" s="378"/>
      <c r="GJ138" s="378"/>
      <c r="GK138" s="378"/>
      <c r="GL138" s="378"/>
      <c r="GM138" s="378"/>
      <c r="GN138" s="378"/>
      <c r="GO138" s="378"/>
      <c r="GP138" s="378"/>
      <c r="GQ138" s="378"/>
      <c r="GR138" s="378"/>
      <c r="GS138" s="378"/>
      <c r="GT138" s="378"/>
      <c r="GU138" s="378"/>
      <c r="GV138" s="378"/>
      <c r="GW138" s="378"/>
      <c r="GX138" s="378"/>
      <c r="GY138" s="378"/>
      <c r="GZ138" s="378"/>
      <c r="HA138" s="378"/>
      <c r="HB138" s="378"/>
      <c r="HC138" s="378"/>
      <c r="HD138" s="378"/>
      <c r="HE138" s="378"/>
      <c r="HF138" s="378"/>
      <c r="HG138" s="378"/>
      <c r="HH138" s="378"/>
      <c r="HI138" s="378"/>
      <c r="HJ138" s="378"/>
      <c r="HK138" s="378"/>
      <c r="HL138" s="378"/>
      <c r="HM138" s="378"/>
      <c r="HN138" s="378"/>
      <c r="HO138" s="378"/>
      <c r="HP138" s="378"/>
      <c r="HQ138" s="378"/>
      <c r="HR138" s="378"/>
      <c r="HS138" s="378"/>
      <c r="HT138" s="378"/>
      <c r="HU138" s="378"/>
      <c r="HV138" s="378"/>
      <c r="HW138" s="378"/>
      <c r="HX138" s="378"/>
      <c r="HY138" s="378"/>
      <c r="HZ138" s="378"/>
      <c r="IA138" s="378"/>
      <c r="IB138" s="378"/>
      <c r="IC138" s="378"/>
      <c r="ID138" s="378"/>
      <c r="IE138" s="378"/>
      <c r="IF138" s="378"/>
      <c r="IG138" s="378"/>
      <c r="IH138" s="378"/>
      <c r="II138" s="378"/>
      <c r="IJ138" s="378"/>
      <c r="IK138" s="378"/>
      <c r="IL138" s="378"/>
      <c r="IM138" s="378"/>
      <c r="IN138" s="378"/>
      <c r="IO138" s="378"/>
      <c r="IP138" s="378"/>
      <c r="IQ138" s="378"/>
      <c r="IR138" s="378"/>
      <c r="IS138" s="378"/>
      <c r="IT138" s="378"/>
      <c r="IU138" s="378"/>
      <c r="IV138" s="378"/>
      <c r="IW138" s="378"/>
      <c r="IX138" s="378"/>
      <c r="IY138" s="378"/>
      <c r="IZ138" s="378"/>
      <c r="JA138" s="378"/>
    </row>
    <row r="139" spans="2:261" s="379" customFormat="1">
      <c r="B139" s="374"/>
      <c r="C139" s="375"/>
      <c r="D139" s="403"/>
      <c r="E139" s="404"/>
      <c r="F139" s="406" t="str">
        <f>"People in Baptismal Class: "&amp;F78</f>
        <v>People in Baptismal Class: 0</v>
      </c>
      <c r="G139" s="405"/>
      <c r="H139" s="376"/>
      <c r="I139" s="377"/>
      <c r="J139" s="378"/>
      <c r="K139" s="378"/>
      <c r="L139" s="378"/>
      <c r="M139" s="378"/>
      <c r="N139" s="378"/>
      <c r="O139" s="378"/>
      <c r="P139" s="378"/>
      <c r="Q139" s="378"/>
      <c r="R139" s="378"/>
      <c r="S139" s="378"/>
      <c r="T139" s="378"/>
      <c r="U139" s="378"/>
      <c r="V139" s="378"/>
      <c r="W139" s="378"/>
      <c r="X139" s="378"/>
      <c r="Y139" s="378"/>
      <c r="Z139" s="378"/>
      <c r="AA139" s="378"/>
      <c r="AB139" s="378"/>
      <c r="AC139" s="378"/>
      <c r="AD139" s="378"/>
      <c r="AE139" s="378"/>
      <c r="AF139" s="378"/>
      <c r="AG139" s="378"/>
      <c r="AH139" s="378"/>
      <c r="AI139" s="378"/>
      <c r="AJ139" s="378"/>
      <c r="AK139" s="378"/>
      <c r="AL139" s="378"/>
      <c r="AM139" s="378"/>
      <c r="AN139" s="378"/>
      <c r="AO139" s="378"/>
      <c r="AP139" s="378"/>
      <c r="AQ139" s="378"/>
      <c r="AR139" s="378"/>
      <c r="AS139" s="378"/>
      <c r="AT139" s="378"/>
      <c r="AU139" s="378"/>
      <c r="AV139" s="378"/>
      <c r="AW139" s="378"/>
      <c r="AX139" s="378"/>
      <c r="AY139" s="378"/>
      <c r="AZ139" s="378"/>
      <c r="BA139" s="378"/>
      <c r="BB139" s="378"/>
      <c r="BC139" s="378"/>
      <c r="BD139" s="378"/>
      <c r="BE139" s="378"/>
      <c r="BF139" s="378"/>
      <c r="BG139" s="378"/>
      <c r="BH139" s="378"/>
      <c r="BI139" s="378"/>
      <c r="BJ139" s="378"/>
      <c r="BK139" s="378"/>
      <c r="BL139" s="378"/>
      <c r="BM139" s="378"/>
      <c r="BN139" s="378"/>
      <c r="BO139" s="378"/>
      <c r="BP139" s="378"/>
      <c r="BQ139" s="378"/>
      <c r="BR139" s="378"/>
      <c r="BS139" s="378"/>
      <c r="BT139" s="378"/>
      <c r="BU139" s="378"/>
      <c r="BV139" s="378"/>
      <c r="BW139" s="378"/>
      <c r="BX139" s="378"/>
      <c r="BY139" s="378"/>
      <c r="BZ139" s="378"/>
      <c r="CA139" s="378"/>
      <c r="CB139" s="378"/>
      <c r="CC139" s="378"/>
      <c r="CD139" s="378"/>
      <c r="CE139" s="378"/>
      <c r="CF139" s="378"/>
      <c r="CG139" s="378"/>
      <c r="CH139" s="378"/>
      <c r="CI139" s="378"/>
      <c r="CJ139" s="378"/>
      <c r="CK139" s="378"/>
      <c r="CL139" s="378"/>
      <c r="CM139" s="378"/>
      <c r="CN139" s="378"/>
      <c r="CO139" s="378"/>
      <c r="CP139" s="378"/>
      <c r="CQ139" s="378"/>
      <c r="CR139" s="378"/>
      <c r="CS139" s="378"/>
      <c r="CT139" s="378"/>
      <c r="CU139" s="378"/>
      <c r="CV139" s="378"/>
      <c r="CW139" s="378"/>
      <c r="CX139" s="378"/>
      <c r="CY139" s="378"/>
      <c r="CZ139" s="378"/>
      <c r="DA139" s="378"/>
      <c r="DB139" s="378"/>
      <c r="DC139" s="378"/>
      <c r="DD139" s="378"/>
      <c r="DE139" s="378"/>
      <c r="DF139" s="378"/>
      <c r="DG139" s="378"/>
      <c r="DH139" s="378"/>
      <c r="DI139" s="378"/>
      <c r="DJ139" s="378"/>
      <c r="DK139" s="378"/>
      <c r="DL139" s="378"/>
      <c r="DM139" s="378"/>
      <c r="DN139" s="378"/>
      <c r="DO139" s="378"/>
      <c r="DP139" s="378"/>
      <c r="DQ139" s="378"/>
      <c r="DR139" s="378"/>
      <c r="DS139" s="378"/>
      <c r="DT139" s="378"/>
      <c r="DU139" s="378"/>
      <c r="DV139" s="378"/>
      <c r="DW139" s="378"/>
      <c r="DX139" s="378"/>
      <c r="DY139" s="378"/>
      <c r="DZ139" s="378"/>
      <c r="EA139" s="378"/>
      <c r="EB139" s="378"/>
      <c r="EC139" s="378"/>
      <c r="ED139" s="378"/>
      <c r="EE139" s="378"/>
      <c r="EF139" s="378"/>
      <c r="EG139" s="378"/>
      <c r="EH139" s="378"/>
      <c r="EI139" s="378"/>
      <c r="EJ139" s="378"/>
      <c r="EK139" s="378"/>
      <c r="EL139" s="378"/>
      <c r="EM139" s="378"/>
      <c r="EN139" s="378"/>
      <c r="EO139" s="378"/>
      <c r="EP139" s="378"/>
      <c r="EQ139" s="378"/>
      <c r="ER139" s="378"/>
      <c r="ES139" s="378"/>
      <c r="ET139" s="378"/>
      <c r="EU139" s="378"/>
      <c r="EV139" s="378"/>
      <c r="EW139" s="378"/>
      <c r="EX139" s="378"/>
      <c r="EY139" s="378"/>
      <c r="EZ139" s="378"/>
      <c r="FA139" s="378"/>
      <c r="FB139" s="378"/>
      <c r="FC139" s="378"/>
      <c r="FD139" s="378"/>
      <c r="FE139" s="378"/>
      <c r="FF139" s="378"/>
      <c r="FG139" s="378"/>
      <c r="FH139" s="378"/>
      <c r="FI139" s="378"/>
      <c r="FJ139" s="378"/>
      <c r="FK139" s="378"/>
      <c r="FL139" s="378"/>
      <c r="FM139" s="378"/>
      <c r="FN139" s="378"/>
      <c r="FO139" s="378"/>
      <c r="FP139" s="378"/>
      <c r="FQ139" s="378"/>
      <c r="FR139" s="378"/>
      <c r="FS139" s="378"/>
      <c r="FT139" s="378"/>
      <c r="FU139" s="378"/>
      <c r="FV139" s="378"/>
      <c r="FW139" s="378"/>
      <c r="FX139" s="378"/>
      <c r="FY139" s="378"/>
      <c r="FZ139" s="378"/>
      <c r="GA139" s="378"/>
      <c r="GB139" s="378"/>
      <c r="GC139" s="378"/>
      <c r="GD139" s="378"/>
      <c r="GE139" s="378"/>
      <c r="GF139" s="378"/>
      <c r="GG139" s="378"/>
      <c r="GH139" s="378"/>
      <c r="GI139" s="378"/>
      <c r="GJ139" s="378"/>
      <c r="GK139" s="378"/>
      <c r="GL139" s="378"/>
      <c r="GM139" s="378"/>
      <c r="GN139" s="378"/>
      <c r="GO139" s="378"/>
      <c r="GP139" s="378"/>
      <c r="GQ139" s="378"/>
      <c r="GR139" s="378"/>
      <c r="GS139" s="378"/>
      <c r="GT139" s="378"/>
      <c r="GU139" s="378"/>
      <c r="GV139" s="378"/>
      <c r="GW139" s="378"/>
      <c r="GX139" s="378"/>
      <c r="GY139" s="378"/>
      <c r="GZ139" s="378"/>
      <c r="HA139" s="378"/>
      <c r="HB139" s="378"/>
      <c r="HC139" s="378"/>
      <c r="HD139" s="378"/>
      <c r="HE139" s="378"/>
      <c r="HF139" s="378"/>
      <c r="HG139" s="378"/>
      <c r="HH139" s="378"/>
      <c r="HI139" s="378"/>
      <c r="HJ139" s="378"/>
      <c r="HK139" s="378"/>
      <c r="HL139" s="378"/>
      <c r="HM139" s="378"/>
      <c r="HN139" s="378"/>
      <c r="HO139" s="378"/>
      <c r="HP139" s="378"/>
      <c r="HQ139" s="378"/>
      <c r="HR139" s="378"/>
      <c r="HS139" s="378"/>
      <c r="HT139" s="378"/>
      <c r="HU139" s="378"/>
      <c r="HV139" s="378"/>
      <c r="HW139" s="378"/>
      <c r="HX139" s="378"/>
      <c r="HY139" s="378"/>
      <c r="HZ139" s="378"/>
      <c r="IA139" s="378"/>
      <c r="IB139" s="378"/>
      <c r="IC139" s="378"/>
      <c r="ID139" s="378"/>
      <c r="IE139" s="378"/>
      <c r="IF139" s="378"/>
      <c r="IG139" s="378"/>
      <c r="IH139" s="378"/>
      <c r="II139" s="378"/>
      <c r="IJ139" s="378"/>
      <c r="IK139" s="378"/>
      <c r="IL139" s="378"/>
      <c r="IM139" s="378"/>
      <c r="IN139" s="378"/>
      <c r="IO139" s="378"/>
      <c r="IP139" s="378"/>
      <c r="IQ139" s="378"/>
      <c r="IR139" s="378"/>
      <c r="IS139" s="378"/>
      <c r="IT139" s="378"/>
      <c r="IU139" s="378"/>
      <c r="IV139" s="378"/>
      <c r="IW139" s="378"/>
      <c r="IX139" s="378"/>
      <c r="IY139" s="378"/>
      <c r="IZ139" s="378"/>
      <c r="JA139" s="378"/>
    </row>
    <row r="140" spans="2:261" s="379" customFormat="1">
      <c r="B140" s="374"/>
      <c r="C140" s="375"/>
      <c r="D140" s="403"/>
      <c r="E140" s="404"/>
      <c r="F140" s="406" t="str">
        <f>"Population in People Group: "&amp;'Planning Template'!F48</f>
        <v xml:space="preserve">Population in People Group: </v>
      </c>
      <c r="G140" s="405"/>
      <c r="H140" s="376"/>
      <c r="I140" s="377"/>
      <c r="J140" s="378"/>
      <c r="K140" s="378"/>
      <c r="L140" s="378"/>
      <c r="M140" s="378"/>
      <c r="N140" s="378"/>
      <c r="O140" s="378"/>
      <c r="P140" s="378"/>
      <c r="Q140" s="378"/>
      <c r="R140" s="378"/>
      <c r="S140" s="378"/>
      <c r="T140" s="378"/>
      <c r="U140" s="378"/>
      <c r="V140" s="378"/>
      <c r="W140" s="378"/>
      <c r="X140" s="378"/>
      <c r="Y140" s="378"/>
      <c r="Z140" s="378"/>
      <c r="AA140" s="378"/>
      <c r="AB140" s="378"/>
      <c r="AC140" s="378"/>
      <c r="AD140" s="378"/>
      <c r="AE140" s="378"/>
      <c r="AF140" s="378"/>
      <c r="AG140" s="378"/>
      <c r="AH140" s="378"/>
      <c r="AI140" s="378"/>
      <c r="AJ140" s="378"/>
      <c r="AK140" s="378"/>
      <c r="AL140" s="378"/>
      <c r="AM140" s="378"/>
      <c r="AN140" s="378"/>
      <c r="AO140" s="378"/>
      <c r="AP140" s="378"/>
      <c r="AQ140" s="378"/>
      <c r="AR140" s="378"/>
      <c r="AS140" s="378"/>
      <c r="AT140" s="378"/>
      <c r="AU140" s="378"/>
      <c r="AV140" s="378"/>
      <c r="AW140" s="378"/>
      <c r="AX140" s="378"/>
      <c r="AY140" s="378"/>
      <c r="AZ140" s="378"/>
      <c r="BA140" s="378"/>
      <c r="BB140" s="378"/>
      <c r="BC140" s="378"/>
      <c r="BD140" s="378"/>
      <c r="BE140" s="378"/>
      <c r="BF140" s="378"/>
      <c r="BG140" s="378"/>
      <c r="BH140" s="378"/>
      <c r="BI140" s="378"/>
      <c r="BJ140" s="378"/>
      <c r="BK140" s="378"/>
      <c r="BL140" s="378"/>
      <c r="BM140" s="378"/>
      <c r="BN140" s="378"/>
      <c r="BO140" s="378"/>
      <c r="BP140" s="378"/>
      <c r="BQ140" s="378"/>
      <c r="BR140" s="378"/>
      <c r="BS140" s="378"/>
      <c r="BT140" s="378"/>
      <c r="BU140" s="378"/>
      <c r="BV140" s="378"/>
      <c r="BW140" s="378"/>
      <c r="BX140" s="378"/>
      <c r="BY140" s="378"/>
      <c r="BZ140" s="378"/>
      <c r="CA140" s="378"/>
      <c r="CB140" s="378"/>
      <c r="CC140" s="378"/>
      <c r="CD140" s="378"/>
      <c r="CE140" s="378"/>
      <c r="CF140" s="378"/>
      <c r="CG140" s="378"/>
      <c r="CH140" s="378"/>
      <c r="CI140" s="378"/>
      <c r="CJ140" s="378"/>
      <c r="CK140" s="378"/>
      <c r="CL140" s="378"/>
      <c r="CM140" s="378"/>
      <c r="CN140" s="378"/>
      <c r="CO140" s="378"/>
      <c r="CP140" s="378"/>
      <c r="CQ140" s="378"/>
      <c r="CR140" s="378"/>
      <c r="CS140" s="378"/>
      <c r="CT140" s="378"/>
      <c r="CU140" s="378"/>
      <c r="CV140" s="378"/>
      <c r="CW140" s="378"/>
      <c r="CX140" s="378"/>
      <c r="CY140" s="378"/>
      <c r="CZ140" s="378"/>
      <c r="DA140" s="378"/>
      <c r="DB140" s="378"/>
      <c r="DC140" s="378"/>
      <c r="DD140" s="378"/>
      <c r="DE140" s="378"/>
      <c r="DF140" s="378"/>
      <c r="DG140" s="378"/>
      <c r="DH140" s="378"/>
      <c r="DI140" s="378"/>
      <c r="DJ140" s="378"/>
      <c r="DK140" s="378"/>
      <c r="DL140" s="378"/>
      <c r="DM140" s="378"/>
      <c r="DN140" s="378"/>
      <c r="DO140" s="378"/>
      <c r="DP140" s="378"/>
      <c r="DQ140" s="378"/>
      <c r="DR140" s="378"/>
      <c r="DS140" s="378"/>
      <c r="DT140" s="378"/>
      <c r="DU140" s="378"/>
      <c r="DV140" s="378"/>
      <c r="DW140" s="378"/>
      <c r="DX140" s="378"/>
      <c r="DY140" s="378"/>
      <c r="DZ140" s="378"/>
      <c r="EA140" s="378"/>
      <c r="EB140" s="378"/>
      <c r="EC140" s="378"/>
      <c r="ED140" s="378"/>
      <c r="EE140" s="378"/>
      <c r="EF140" s="378"/>
      <c r="EG140" s="378"/>
      <c r="EH140" s="378"/>
      <c r="EI140" s="378"/>
      <c r="EJ140" s="378"/>
      <c r="EK140" s="378"/>
      <c r="EL140" s="378"/>
      <c r="EM140" s="378"/>
      <c r="EN140" s="378"/>
      <c r="EO140" s="378"/>
      <c r="EP140" s="378"/>
      <c r="EQ140" s="378"/>
      <c r="ER140" s="378"/>
      <c r="ES140" s="378"/>
      <c r="ET140" s="378"/>
      <c r="EU140" s="378"/>
      <c r="EV140" s="378"/>
      <c r="EW140" s="378"/>
      <c r="EX140" s="378"/>
      <c r="EY140" s="378"/>
      <c r="EZ140" s="378"/>
      <c r="FA140" s="378"/>
      <c r="FB140" s="378"/>
      <c r="FC140" s="378"/>
      <c r="FD140" s="378"/>
      <c r="FE140" s="378"/>
      <c r="FF140" s="378"/>
      <c r="FG140" s="378"/>
      <c r="FH140" s="378"/>
      <c r="FI140" s="378"/>
      <c r="FJ140" s="378"/>
      <c r="FK140" s="378"/>
      <c r="FL140" s="378"/>
      <c r="FM140" s="378"/>
      <c r="FN140" s="378"/>
      <c r="FO140" s="378"/>
      <c r="FP140" s="378"/>
      <c r="FQ140" s="378"/>
      <c r="FR140" s="378"/>
      <c r="FS140" s="378"/>
      <c r="FT140" s="378"/>
      <c r="FU140" s="378"/>
      <c r="FV140" s="378"/>
      <c r="FW140" s="378"/>
      <c r="FX140" s="378"/>
      <c r="FY140" s="378"/>
      <c r="FZ140" s="378"/>
      <c r="GA140" s="378"/>
      <c r="GB140" s="378"/>
      <c r="GC140" s="378"/>
      <c r="GD140" s="378"/>
      <c r="GE140" s="378"/>
      <c r="GF140" s="378"/>
      <c r="GG140" s="378"/>
      <c r="GH140" s="378"/>
      <c r="GI140" s="378"/>
      <c r="GJ140" s="378"/>
      <c r="GK140" s="378"/>
      <c r="GL140" s="378"/>
      <c r="GM140" s="378"/>
      <c r="GN140" s="378"/>
      <c r="GO140" s="378"/>
      <c r="GP140" s="378"/>
      <c r="GQ140" s="378"/>
      <c r="GR140" s="378"/>
      <c r="GS140" s="378"/>
      <c r="GT140" s="378"/>
      <c r="GU140" s="378"/>
      <c r="GV140" s="378"/>
      <c r="GW140" s="378"/>
      <c r="GX140" s="378"/>
      <c r="GY140" s="378"/>
      <c r="GZ140" s="378"/>
      <c r="HA140" s="378"/>
      <c r="HB140" s="378"/>
      <c r="HC140" s="378"/>
      <c r="HD140" s="378"/>
      <c r="HE140" s="378"/>
      <c r="HF140" s="378"/>
      <c r="HG140" s="378"/>
      <c r="HH140" s="378"/>
      <c r="HI140" s="378"/>
      <c r="HJ140" s="378"/>
      <c r="HK140" s="378"/>
      <c r="HL140" s="378"/>
      <c r="HM140" s="378"/>
      <c r="HN140" s="378"/>
      <c r="HO140" s="378"/>
      <c r="HP140" s="378"/>
      <c r="HQ140" s="378"/>
      <c r="HR140" s="378"/>
      <c r="HS140" s="378"/>
      <c r="HT140" s="378"/>
      <c r="HU140" s="378"/>
      <c r="HV140" s="378"/>
      <c r="HW140" s="378"/>
      <c r="HX140" s="378"/>
      <c r="HY140" s="378"/>
      <c r="HZ140" s="378"/>
      <c r="IA140" s="378"/>
      <c r="IB140" s="378"/>
      <c r="IC140" s="378"/>
      <c r="ID140" s="378"/>
      <c r="IE140" s="378"/>
      <c r="IF140" s="378"/>
      <c r="IG140" s="378"/>
      <c r="IH140" s="378"/>
      <c r="II140" s="378"/>
      <c r="IJ140" s="378"/>
      <c r="IK140" s="378"/>
      <c r="IL140" s="378"/>
      <c r="IM140" s="378"/>
      <c r="IN140" s="378"/>
      <c r="IO140" s="378"/>
      <c r="IP140" s="378"/>
      <c r="IQ140" s="378"/>
      <c r="IR140" s="378"/>
      <c r="IS140" s="378"/>
      <c r="IT140" s="378"/>
      <c r="IU140" s="378"/>
      <c r="IV140" s="378"/>
      <c r="IW140" s="378"/>
      <c r="IX140" s="378"/>
      <c r="IY140" s="378"/>
      <c r="IZ140" s="378"/>
      <c r="JA140" s="378"/>
    </row>
    <row r="141" spans="2:261" s="379" customFormat="1">
      <c r="B141" s="374"/>
      <c r="C141" s="375"/>
      <c r="D141" s="403"/>
      <c r="E141" s="404"/>
      <c r="F141" s="406"/>
      <c r="G141" s="405"/>
      <c r="H141" s="376"/>
      <c r="I141" s="377"/>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378"/>
      <c r="AS141" s="378"/>
      <c r="AT141" s="378"/>
      <c r="AU141" s="378"/>
      <c r="AV141" s="378"/>
      <c r="AW141" s="378"/>
      <c r="AX141" s="378"/>
      <c r="AY141" s="378"/>
      <c r="AZ141" s="378"/>
      <c r="BA141" s="378"/>
      <c r="BB141" s="378"/>
      <c r="BC141" s="378"/>
      <c r="BD141" s="378"/>
      <c r="BE141" s="378"/>
      <c r="BF141" s="378"/>
      <c r="BG141" s="378"/>
      <c r="BH141" s="378"/>
      <c r="BI141" s="378"/>
      <c r="BJ141" s="378"/>
      <c r="BK141" s="378"/>
      <c r="BL141" s="378"/>
      <c r="BM141" s="378"/>
      <c r="BN141" s="378"/>
      <c r="BO141" s="378"/>
      <c r="BP141" s="378"/>
      <c r="BQ141" s="378"/>
      <c r="BR141" s="378"/>
      <c r="BS141" s="378"/>
      <c r="BT141" s="378"/>
      <c r="BU141" s="378"/>
      <c r="BV141" s="378"/>
      <c r="BW141" s="378"/>
      <c r="BX141" s="378"/>
      <c r="BY141" s="378"/>
      <c r="BZ141" s="378"/>
      <c r="CA141" s="378"/>
      <c r="CB141" s="378"/>
      <c r="CC141" s="378"/>
      <c r="CD141" s="378"/>
      <c r="CE141" s="378"/>
      <c r="CF141" s="378"/>
      <c r="CG141" s="378"/>
      <c r="CH141" s="378"/>
      <c r="CI141" s="378"/>
      <c r="CJ141" s="378"/>
      <c r="CK141" s="378"/>
      <c r="CL141" s="378"/>
      <c r="CM141" s="378"/>
      <c r="CN141" s="378"/>
      <c r="CO141" s="378"/>
      <c r="CP141" s="378"/>
      <c r="CQ141" s="378"/>
      <c r="CR141" s="378"/>
      <c r="CS141" s="378"/>
      <c r="CT141" s="378"/>
      <c r="CU141" s="378"/>
      <c r="CV141" s="378"/>
      <c r="CW141" s="378"/>
      <c r="CX141" s="378"/>
      <c r="CY141" s="378"/>
      <c r="CZ141" s="378"/>
      <c r="DA141" s="378"/>
      <c r="DB141" s="378"/>
      <c r="DC141" s="378"/>
      <c r="DD141" s="378"/>
      <c r="DE141" s="378"/>
      <c r="DF141" s="378"/>
      <c r="DG141" s="378"/>
      <c r="DH141" s="378"/>
      <c r="DI141" s="378"/>
      <c r="DJ141" s="378"/>
      <c r="DK141" s="378"/>
      <c r="DL141" s="378"/>
      <c r="DM141" s="378"/>
      <c r="DN141" s="378"/>
      <c r="DO141" s="378"/>
      <c r="DP141" s="378"/>
      <c r="DQ141" s="378"/>
      <c r="DR141" s="378"/>
      <c r="DS141" s="378"/>
      <c r="DT141" s="378"/>
      <c r="DU141" s="378"/>
      <c r="DV141" s="378"/>
      <c r="DW141" s="378"/>
      <c r="DX141" s="378"/>
      <c r="DY141" s="378"/>
      <c r="DZ141" s="378"/>
      <c r="EA141" s="378"/>
      <c r="EB141" s="378"/>
      <c r="EC141" s="378"/>
      <c r="ED141" s="378"/>
      <c r="EE141" s="378"/>
      <c r="EF141" s="378"/>
      <c r="EG141" s="378"/>
      <c r="EH141" s="378"/>
      <c r="EI141" s="378"/>
      <c r="EJ141" s="378"/>
      <c r="EK141" s="378"/>
      <c r="EL141" s="378"/>
      <c r="EM141" s="378"/>
      <c r="EN141" s="378"/>
      <c r="EO141" s="378"/>
      <c r="EP141" s="378"/>
      <c r="EQ141" s="378"/>
      <c r="ER141" s="378"/>
      <c r="ES141" s="378"/>
      <c r="ET141" s="378"/>
      <c r="EU141" s="378"/>
      <c r="EV141" s="378"/>
      <c r="EW141" s="378"/>
      <c r="EX141" s="378"/>
      <c r="EY141" s="378"/>
      <c r="EZ141" s="378"/>
      <c r="FA141" s="378"/>
      <c r="FB141" s="378"/>
      <c r="FC141" s="378"/>
      <c r="FD141" s="378"/>
      <c r="FE141" s="378"/>
      <c r="FF141" s="378"/>
      <c r="FG141" s="378"/>
      <c r="FH141" s="378"/>
      <c r="FI141" s="378"/>
      <c r="FJ141" s="378"/>
      <c r="FK141" s="378"/>
      <c r="FL141" s="378"/>
      <c r="FM141" s="378"/>
      <c r="FN141" s="378"/>
      <c r="FO141" s="378"/>
      <c r="FP141" s="378"/>
      <c r="FQ141" s="378"/>
      <c r="FR141" s="378"/>
      <c r="FS141" s="378"/>
      <c r="FT141" s="378"/>
      <c r="FU141" s="378"/>
      <c r="FV141" s="378"/>
      <c r="FW141" s="378"/>
      <c r="FX141" s="378"/>
      <c r="FY141" s="378"/>
      <c r="FZ141" s="378"/>
      <c r="GA141" s="378"/>
      <c r="GB141" s="378"/>
      <c r="GC141" s="378"/>
      <c r="GD141" s="378"/>
      <c r="GE141" s="378"/>
      <c r="GF141" s="378"/>
      <c r="GG141" s="378"/>
      <c r="GH141" s="378"/>
      <c r="GI141" s="378"/>
      <c r="GJ141" s="378"/>
      <c r="GK141" s="378"/>
      <c r="GL141" s="378"/>
      <c r="GM141" s="378"/>
      <c r="GN141" s="378"/>
      <c r="GO141" s="378"/>
      <c r="GP141" s="378"/>
      <c r="GQ141" s="378"/>
      <c r="GR141" s="378"/>
      <c r="GS141" s="378"/>
      <c r="GT141" s="378"/>
      <c r="GU141" s="378"/>
      <c r="GV141" s="378"/>
      <c r="GW141" s="378"/>
      <c r="GX141" s="378"/>
      <c r="GY141" s="378"/>
      <c r="GZ141" s="378"/>
      <c r="HA141" s="378"/>
      <c r="HB141" s="378"/>
      <c r="HC141" s="378"/>
      <c r="HD141" s="378"/>
      <c r="HE141" s="378"/>
      <c r="HF141" s="378"/>
      <c r="HG141" s="378"/>
      <c r="HH141" s="378"/>
      <c r="HI141" s="378"/>
      <c r="HJ141" s="378"/>
      <c r="HK141" s="378"/>
      <c r="HL141" s="378"/>
      <c r="HM141" s="378"/>
      <c r="HN141" s="378"/>
      <c r="HO141" s="378"/>
      <c r="HP141" s="378"/>
      <c r="HQ141" s="378"/>
      <c r="HR141" s="378"/>
      <c r="HS141" s="378"/>
      <c r="HT141" s="378"/>
      <c r="HU141" s="378"/>
      <c r="HV141" s="378"/>
      <c r="HW141" s="378"/>
      <c r="HX141" s="378"/>
      <c r="HY141" s="378"/>
      <c r="HZ141" s="378"/>
      <c r="IA141" s="378"/>
      <c r="IB141" s="378"/>
      <c r="IC141" s="378"/>
      <c r="ID141" s="378"/>
      <c r="IE141" s="378"/>
      <c r="IF141" s="378"/>
      <c r="IG141" s="378"/>
      <c r="IH141" s="378"/>
      <c r="II141" s="378"/>
      <c r="IJ141" s="378"/>
      <c r="IK141" s="378"/>
      <c r="IL141" s="378"/>
      <c r="IM141" s="378"/>
      <c r="IN141" s="378"/>
      <c r="IO141" s="378"/>
      <c r="IP141" s="378"/>
      <c r="IQ141" s="378"/>
      <c r="IR141" s="378"/>
      <c r="IS141" s="378"/>
      <c r="IT141" s="378"/>
      <c r="IU141" s="378"/>
      <c r="IV141" s="378"/>
      <c r="IW141" s="378"/>
      <c r="IX141" s="378"/>
      <c r="IY141" s="378"/>
      <c r="IZ141" s="378"/>
      <c r="JA141" s="378"/>
    </row>
    <row r="142" spans="2:261" s="379" customFormat="1">
      <c r="B142" s="374"/>
      <c r="C142" s="375"/>
      <c r="D142" s="403"/>
      <c r="E142" s="404"/>
      <c r="F142" s="410" t="str">
        <f>'Planning Template'!$F$11&amp;"-"&amp;$F$10&amp;" Story Report"</f>
        <v>- Story Report</v>
      </c>
      <c r="G142" s="405"/>
      <c r="H142" s="376"/>
      <c r="I142" s="377"/>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8"/>
      <c r="AI142" s="378"/>
      <c r="AJ142" s="378"/>
      <c r="AK142" s="378"/>
      <c r="AL142" s="378"/>
      <c r="AM142" s="378"/>
      <c r="AN142" s="378"/>
      <c r="AO142" s="378"/>
      <c r="AP142" s="378"/>
      <c r="AQ142" s="378"/>
      <c r="AR142" s="378"/>
      <c r="AS142" s="378"/>
      <c r="AT142" s="378"/>
      <c r="AU142" s="378"/>
      <c r="AV142" s="378"/>
      <c r="AW142" s="378"/>
      <c r="AX142" s="378"/>
      <c r="AY142" s="378"/>
      <c r="AZ142" s="378"/>
      <c r="BA142" s="378"/>
      <c r="BB142" s="378"/>
      <c r="BC142" s="378"/>
      <c r="BD142" s="378"/>
      <c r="BE142" s="378"/>
      <c r="BF142" s="378"/>
      <c r="BG142" s="378"/>
      <c r="BH142" s="378"/>
      <c r="BI142" s="378"/>
      <c r="BJ142" s="378"/>
      <c r="BK142" s="378"/>
      <c r="BL142" s="378"/>
      <c r="BM142" s="378"/>
      <c r="BN142" s="378"/>
      <c r="BO142" s="378"/>
      <c r="BP142" s="378"/>
      <c r="BQ142" s="378"/>
      <c r="BR142" s="378"/>
      <c r="BS142" s="378"/>
      <c r="BT142" s="378"/>
      <c r="BU142" s="378"/>
      <c r="BV142" s="378"/>
      <c r="BW142" s="378"/>
      <c r="BX142" s="378"/>
      <c r="BY142" s="378"/>
      <c r="BZ142" s="378"/>
      <c r="CA142" s="378"/>
      <c r="CB142" s="378"/>
      <c r="CC142" s="378"/>
      <c r="CD142" s="378"/>
      <c r="CE142" s="378"/>
      <c r="CF142" s="378"/>
      <c r="CG142" s="378"/>
      <c r="CH142" s="378"/>
      <c r="CI142" s="378"/>
      <c r="CJ142" s="378"/>
      <c r="CK142" s="378"/>
      <c r="CL142" s="378"/>
      <c r="CM142" s="378"/>
      <c r="CN142" s="378"/>
      <c r="CO142" s="378"/>
      <c r="CP142" s="378"/>
      <c r="CQ142" s="378"/>
      <c r="CR142" s="378"/>
      <c r="CS142" s="378"/>
      <c r="CT142" s="378"/>
      <c r="CU142" s="378"/>
      <c r="CV142" s="378"/>
      <c r="CW142" s="378"/>
      <c r="CX142" s="378"/>
      <c r="CY142" s="378"/>
      <c r="CZ142" s="378"/>
      <c r="DA142" s="378"/>
      <c r="DB142" s="378"/>
      <c r="DC142" s="378"/>
      <c r="DD142" s="378"/>
      <c r="DE142" s="378"/>
      <c r="DF142" s="378"/>
      <c r="DG142" s="378"/>
      <c r="DH142" s="378"/>
      <c r="DI142" s="378"/>
      <c r="DJ142" s="378"/>
      <c r="DK142" s="378"/>
      <c r="DL142" s="378"/>
      <c r="DM142" s="378"/>
      <c r="DN142" s="378"/>
      <c r="DO142" s="378"/>
      <c r="DP142" s="378"/>
      <c r="DQ142" s="378"/>
      <c r="DR142" s="378"/>
      <c r="DS142" s="378"/>
      <c r="DT142" s="378"/>
      <c r="DU142" s="378"/>
      <c r="DV142" s="378"/>
      <c r="DW142" s="378"/>
      <c r="DX142" s="378"/>
      <c r="DY142" s="378"/>
      <c r="DZ142" s="378"/>
      <c r="EA142" s="378"/>
      <c r="EB142" s="378"/>
      <c r="EC142" s="378"/>
      <c r="ED142" s="378"/>
      <c r="EE142" s="378"/>
      <c r="EF142" s="378"/>
      <c r="EG142" s="378"/>
      <c r="EH142" s="378"/>
      <c r="EI142" s="378"/>
      <c r="EJ142" s="378"/>
      <c r="EK142" s="378"/>
      <c r="EL142" s="378"/>
      <c r="EM142" s="378"/>
      <c r="EN142" s="378"/>
      <c r="EO142" s="378"/>
      <c r="EP142" s="378"/>
      <c r="EQ142" s="378"/>
      <c r="ER142" s="378"/>
      <c r="ES142" s="378"/>
      <c r="ET142" s="378"/>
      <c r="EU142" s="378"/>
      <c r="EV142" s="378"/>
      <c r="EW142" s="378"/>
      <c r="EX142" s="378"/>
      <c r="EY142" s="378"/>
      <c r="EZ142" s="378"/>
      <c r="FA142" s="378"/>
      <c r="FB142" s="378"/>
      <c r="FC142" s="378"/>
      <c r="FD142" s="378"/>
      <c r="FE142" s="378"/>
      <c r="FF142" s="378"/>
      <c r="FG142" s="378"/>
      <c r="FH142" s="378"/>
      <c r="FI142" s="378"/>
      <c r="FJ142" s="378"/>
      <c r="FK142" s="378"/>
      <c r="FL142" s="378"/>
      <c r="FM142" s="378"/>
      <c r="FN142" s="378"/>
      <c r="FO142" s="378"/>
      <c r="FP142" s="378"/>
      <c r="FQ142" s="378"/>
      <c r="FR142" s="378"/>
      <c r="FS142" s="378"/>
      <c r="FT142" s="378"/>
      <c r="FU142" s="378"/>
      <c r="FV142" s="378"/>
      <c r="FW142" s="378"/>
      <c r="FX142" s="378"/>
      <c r="FY142" s="378"/>
      <c r="FZ142" s="378"/>
      <c r="GA142" s="378"/>
      <c r="GB142" s="378"/>
      <c r="GC142" s="378"/>
      <c r="GD142" s="378"/>
      <c r="GE142" s="378"/>
      <c r="GF142" s="378"/>
      <c r="GG142" s="378"/>
      <c r="GH142" s="378"/>
      <c r="GI142" s="378"/>
      <c r="GJ142" s="378"/>
      <c r="GK142" s="378"/>
      <c r="GL142" s="378"/>
      <c r="GM142" s="378"/>
      <c r="GN142" s="378"/>
      <c r="GO142" s="378"/>
      <c r="GP142" s="378"/>
      <c r="GQ142" s="378"/>
      <c r="GR142" s="378"/>
      <c r="GS142" s="378"/>
      <c r="GT142" s="378"/>
      <c r="GU142" s="378"/>
      <c r="GV142" s="378"/>
      <c r="GW142" s="378"/>
      <c r="GX142" s="378"/>
      <c r="GY142" s="378"/>
      <c r="GZ142" s="378"/>
      <c r="HA142" s="378"/>
      <c r="HB142" s="378"/>
      <c r="HC142" s="378"/>
      <c r="HD142" s="378"/>
      <c r="HE142" s="378"/>
      <c r="HF142" s="378"/>
      <c r="HG142" s="378"/>
      <c r="HH142" s="378"/>
      <c r="HI142" s="378"/>
      <c r="HJ142" s="378"/>
      <c r="HK142" s="378"/>
      <c r="HL142" s="378"/>
      <c r="HM142" s="378"/>
      <c r="HN142" s="378"/>
      <c r="HO142" s="378"/>
      <c r="HP142" s="378"/>
      <c r="HQ142" s="378"/>
      <c r="HR142" s="378"/>
      <c r="HS142" s="378"/>
      <c r="HT142" s="378"/>
      <c r="HU142" s="378"/>
      <c r="HV142" s="378"/>
      <c r="HW142" s="378"/>
      <c r="HX142" s="378"/>
      <c r="HY142" s="378"/>
      <c r="HZ142" s="378"/>
      <c r="IA142" s="378"/>
      <c r="IB142" s="378"/>
      <c r="IC142" s="378"/>
      <c r="ID142" s="378"/>
      <c r="IE142" s="378"/>
      <c r="IF142" s="378"/>
      <c r="IG142" s="378"/>
      <c r="IH142" s="378"/>
      <c r="II142" s="378"/>
      <c r="IJ142" s="378"/>
      <c r="IK142" s="378"/>
      <c r="IL142" s="378"/>
      <c r="IM142" s="378"/>
      <c r="IN142" s="378"/>
      <c r="IO142" s="378"/>
      <c r="IP142" s="378"/>
      <c r="IQ142" s="378"/>
      <c r="IR142" s="378"/>
      <c r="IS142" s="378"/>
      <c r="IT142" s="378"/>
      <c r="IU142" s="378"/>
      <c r="IV142" s="378"/>
      <c r="IW142" s="378"/>
      <c r="IX142" s="378"/>
      <c r="IY142" s="378"/>
      <c r="IZ142" s="378"/>
      <c r="JA142" s="378"/>
    </row>
    <row r="143" spans="2:261" s="379" customFormat="1">
      <c r="B143" s="374"/>
      <c r="C143" s="375"/>
      <c r="D143" s="403"/>
      <c r="E143" s="404"/>
      <c r="F143" s="406" t="str">
        <f>"Story about "&amp;F63&amp;" in "&amp;F65</f>
        <v xml:space="preserve">Story about  in </v>
      </c>
      <c r="G143" s="405"/>
      <c r="H143" s="376"/>
      <c r="I143" s="377"/>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8"/>
      <c r="AI143" s="378"/>
      <c r="AJ143" s="378"/>
      <c r="AK143" s="378"/>
      <c r="AL143" s="378"/>
      <c r="AM143" s="378"/>
      <c r="AN143" s="378"/>
      <c r="AO143" s="378"/>
      <c r="AP143" s="378"/>
      <c r="AQ143" s="378"/>
      <c r="AR143" s="378"/>
      <c r="AS143" s="378"/>
      <c r="AT143" s="378"/>
      <c r="AU143" s="378"/>
      <c r="AV143" s="378"/>
      <c r="AW143" s="378"/>
      <c r="AX143" s="378"/>
      <c r="AY143" s="378"/>
      <c r="AZ143" s="378"/>
      <c r="BA143" s="378"/>
      <c r="BB143" s="378"/>
      <c r="BC143" s="378"/>
      <c r="BD143" s="378"/>
      <c r="BE143" s="378"/>
      <c r="BF143" s="378"/>
      <c r="BG143" s="378"/>
      <c r="BH143" s="378"/>
      <c r="BI143" s="378"/>
      <c r="BJ143" s="378"/>
      <c r="BK143" s="378"/>
      <c r="BL143" s="378"/>
      <c r="BM143" s="378"/>
      <c r="BN143" s="378"/>
      <c r="BO143" s="378"/>
      <c r="BP143" s="378"/>
      <c r="BQ143" s="378"/>
      <c r="BR143" s="378"/>
      <c r="BS143" s="378"/>
      <c r="BT143" s="378"/>
      <c r="BU143" s="378"/>
      <c r="BV143" s="378"/>
      <c r="BW143" s="378"/>
      <c r="BX143" s="378"/>
      <c r="BY143" s="378"/>
      <c r="BZ143" s="378"/>
      <c r="CA143" s="378"/>
      <c r="CB143" s="378"/>
      <c r="CC143" s="378"/>
      <c r="CD143" s="378"/>
      <c r="CE143" s="378"/>
      <c r="CF143" s="378"/>
      <c r="CG143" s="378"/>
      <c r="CH143" s="378"/>
      <c r="CI143" s="378"/>
      <c r="CJ143" s="378"/>
      <c r="CK143" s="378"/>
      <c r="CL143" s="378"/>
      <c r="CM143" s="378"/>
      <c r="CN143" s="378"/>
      <c r="CO143" s="378"/>
      <c r="CP143" s="378"/>
      <c r="CQ143" s="378"/>
      <c r="CR143" s="378"/>
      <c r="CS143" s="378"/>
      <c r="CT143" s="378"/>
      <c r="CU143" s="378"/>
      <c r="CV143" s="378"/>
      <c r="CW143" s="378"/>
      <c r="CX143" s="378"/>
      <c r="CY143" s="378"/>
      <c r="CZ143" s="378"/>
      <c r="DA143" s="378"/>
      <c r="DB143" s="378"/>
      <c r="DC143" s="378"/>
      <c r="DD143" s="378"/>
      <c r="DE143" s="378"/>
      <c r="DF143" s="378"/>
      <c r="DG143" s="378"/>
      <c r="DH143" s="378"/>
      <c r="DI143" s="378"/>
      <c r="DJ143" s="378"/>
      <c r="DK143" s="378"/>
      <c r="DL143" s="378"/>
      <c r="DM143" s="378"/>
      <c r="DN143" s="378"/>
      <c r="DO143" s="378"/>
      <c r="DP143" s="378"/>
      <c r="DQ143" s="378"/>
      <c r="DR143" s="378"/>
      <c r="DS143" s="378"/>
      <c r="DT143" s="378"/>
      <c r="DU143" s="378"/>
      <c r="DV143" s="378"/>
      <c r="DW143" s="378"/>
      <c r="DX143" s="378"/>
      <c r="DY143" s="378"/>
      <c r="DZ143" s="378"/>
      <c r="EA143" s="378"/>
      <c r="EB143" s="378"/>
      <c r="EC143" s="378"/>
      <c r="ED143" s="378"/>
      <c r="EE143" s="378"/>
      <c r="EF143" s="378"/>
      <c r="EG143" s="378"/>
      <c r="EH143" s="378"/>
      <c r="EI143" s="378"/>
      <c r="EJ143" s="378"/>
      <c r="EK143" s="378"/>
      <c r="EL143" s="378"/>
      <c r="EM143" s="378"/>
      <c r="EN143" s="378"/>
      <c r="EO143" s="378"/>
      <c r="EP143" s="378"/>
      <c r="EQ143" s="378"/>
      <c r="ER143" s="378"/>
      <c r="ES143" s="378"/>
      <c r="ET143" s="378"/>
      <c r="EU143" s="378"/>
      <c r="EV143" s="378"/>
      <c r="EW143" s="378"/>
      <c r="EX143" s="378"/>
      <c r="EY143" s="378"/>
      <c r="EZ143" s="378"/>
      <c r="FA143" s="378"/>
      <c r="FB143" s="378"/>
      <c r="FC143" s="378"/>
      <c r="FD143" s="378"/>
      <c r="FE143" s="378"/>
      <c r="FF143" s="378"/>
      <c r="FG143" s="378"/>
      <c r="FH143" s="378"/>
      <c r="FI143" s="378"/>
      <c r="FJ143" s="378"/>
      <c r="FK143" s="378"/>
      <c r="FL143" s="378"/>
      <c r="FM143" s="378"/>
      <c r="FN143" s="378"/>
      <c r="FO143" s="378"/>
      <c r="FP143" s="378"/>
      <c r="FQ143" s="378"/>
      <c r="FR143" s="378"/>
      <c r="FS143" s="378"/>
      <c r="FT143" s="378"/>
      <c r="FU143" s="378"/>
      <c r="FV143" s="378"/>
      <c r="FW143" s="378"/>
      <c r="FX143" s="378"/>
      <c r="FY143" s="378"/>
      <c r="FZ143" s="378"/>
      <c r="GA143" s="378"/>
      <c r="GB143" s="378"/>
      <c r="GC143" s="378"/>
      <c r="GD143" s="378"/>
      <c r="GE143" s="378"/>
      <c r="GF143" s="378"/>
      <c r="GG143" s="378"/>
      <c r="GH143" s="378"/>
      <c r="GI143" s="378"/>
      <c r="GJ143" s="378"/>
      <c r="GK143" s="378"/>
      <c r="GL143" s="378"/>
      <c r="GM143" s="378"/>
      <c r="GN143" s="378"/>
      <c r="GO143" s="378"/>
      <c r="GP143" s="378"/>
      <c r="GQ143" s="378"/>
      <c r="GR143" s="378"/>
      <c r="GS143" s="378"/>
      <c r="GT143" s="378"/>
      <c r="GU143" s="378"/>
      <c r="GV143" s="378"/>
      <c r="GW143" s="378"/>
      <c r="GX143" s="378"/>
      <c r="GY143" s="378"/>
      <c r="GZ143" s="378"/>
      <c r="HA143" s="378"/>
      <c r="HB143" s="378"/>
      <c r="HC143" s="378"/>
      <c r="HD143" s="378"/>
      <c r="HE143" s="378"/>
      <c r="HF143" s="378"/>
      <c r="HG143" s="378"/>
      <c r="HH143" s="378"/>
      <c r="HI143" s="378"/>
      <c r="HJ143" s="378"/>
      <c r="HK143" s="378"/>
      <c r="HL143" s="378"/>
      <c r="HM143" s="378"/>
      <c r="HN143" s="378"/>
      <c r="HO143" s="378"/>
      <c r="HP143" s="378"/>
      <c r="HQ143" s="378"/>
      <c r="HR143" s="378"/>
      <c r="HS143" s="378"/>
      <c r="HT143" s="378"/>
      <c r="HU143" s="378"/>
      <c r="HV143" s="378"/>
      <c r="HW143" s="378"/>
      <c r="HX143" s="378"/>
      <c r="HY143" s="378"/>
      <c r="HZ143" s="378"/>
      <c r="IA143" s="378"/>
      <c r="IB143" s="378"/>
      <c r="IC143" s="378"/>
      <c r="ID143" s="378"/>
      <c r="IE143" s="378"/>
      <c r="IF143" s="378"/>
      <c r="IG143" s="378"/>
      <c r="IH143" s="378"/>
      <c r="II143" s="378"/>
      <c r="IJ143" s="378"/>
      <c r="IK143" s="378"/>
      <c r="IL143" s="378"/>
      <c r="IM143" s="378"/>
      <c r="IN143" s="378"/>
      <c r="IO143" s="378"/>
      <c r="IP143" s="378"/>
      <c r="IQ143" s="378"/>
      <c r="IR143" s="378"/>
      <c r="IS143" s="378"/>
      <c r="IT143" s="378"/>
      <c r="IU143" s="378"/>
      <c r="IV143" s="378"/>
      <c r="IW143" s="378"/>
      <c r="IX143" s="378"/>
      <c r="IY143" s="378"/>
      <c r="IZ143" s="378"/>
      <c r="JA143" s="378"/>
    </row>
    <row r="144" spans="2:261" s="379" customFormat="1">
      <c r="B144" s="374"/>
      <c r="C144" s="375"/>
      <c r="D144" s="403"/>
      <c r="E144" s="404"/>
      <c r="F144" s="406">
        <f>F67</f>
        <v>0</v>
      </c>
      <c r="G144" s="405"/>
      <c r="H144" s="376"/>
      <c r="I144" s="377"/>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8"/>
      <c r="AI144" s="378"/>
      <c r="AJ144" s="378"/>
      <c r="AK144" s="378"/>
      <c r="AL144" s="378"/>
      <c r="AM144" s="378"/>
      <c r="AN144" s="378"/>
      <c r="AO144" s="378"/>
      <c r="AP144" s="378"/>
      <c r="AQ144" s="378"/>
      <c r="AR144" s="378"/>
      <c r="AS144" s="378"/>
      <c r="AT144" s="378"/>
      <c r="AU144" s="378"/>
      <c r="AV144" s="378"/>
      <c r="AW144" s="378"/>
      <c r="AX144" s="378"/>
      <c r="AY144" s="378"/>
      <c r="AZ144" s="378"/>
      <c r="BA144" s="378"/>
      <c r="BB144" s="378"/>
      <c r="BC144" s="378"/>
      <c r="BD144" s="378"/>
      <c r="BE144" s="378"/>
      <c r="BF144" s="378"/>
      <c r="BG144" s="378"/>
      <c r="BH144" s="378"/>
      <c r="BI144" s="378"/>
      <c r="BJ144" s="378"/>
      <c r="BK144" s="378"/>
      <c r="BL144" s="378"/>
      <c r="BM144" s="378"/>
      <c r="BN144" s="378"/>
      <c r="BO144" s="378"/>
      <c r="BP144" s="378"/>
      <c r="BQ144" s="378"/>
      <c r="BR144" s="378"/>
      <c r="BS144" s="378"/>
      <c r="BT144" s="378"/>
      <c r="BU144" s="378"/>
      <c r="BV144" s="378"/>
      <c r="BW144" s="378"/>
      <c r="BX144" s="378"/>
      <c r="BY144" s="378"/>
      <c r="BZ144" s="378"/>
      <c r="CA144" s="378"/>
      <c r="CB144" s="378"/>
      <c r="CC144" s="378"/>
      <c r="CD144" s="378"/>
      <c r="CE144" s="378"/>
      <c r="CF144" s="378"/>
      <c r="CG144" s="378"/>
      <c r="CH144" s="378"/>
      <c r="CI144" s="378"/>
      <c r="CJ144" s="378"/>
      <c r="CK144" s="378"/>
      <c r="CL144" s="378"/>
      <c r="CM144" s="378"/>
      <c r="CN144" s="378"/>
      <c r="CO144" s="378"/>
      <c r="CP144" s="378"/>
      <c r="CQ144" s="378"/>
      <c r="CR144" s="378"/>
      <c r="CS144" s="378"/>
      <c r="CT144" s="378"/>
      <c r="CU144" s="378"/>
      <c r="CV144" s="378"/>
      <c r="CW144" s="378"/>
      <c r="CX144" s="378"/>
      <c r="CY144" s="378"/>
      <c r="CZ144" s="378"/>
      <c r="DA144" s="378"/>
      <c r="DB144" s="378"/>
      <c r="DC144" s="378"/>
      <c r="DD144" s="378"/>
      <c r="DE144" s="378"/>
      <c r="DF144" s="378"/>
      <c r="DG144" s="378"/>
      <c r="DH144" s="378"/>
      <c r="DI144" s="378"/>
      <c r="DJ144" s="378"/>
      <c r="DK144" s="378"/>
      <c r="DL144" s="378"/>
      <c r="DM144" s="378"/>
      <c r="DN144" s="378"/>
      <c r="DO144" s="378"/>
      <c r="DP144" s="378"/>
      <c r="DQ144" s="378"/>
      <c r="DR144" s="378"/>
      <c r="DS144" s="378"/>
      <c r="DT144" s="378"/>
      <c r="DU144" s="378"/>
      <c r="DV144" s="378"/>
      <c r="DW144" s="378"/>
      <c r="DX144" s="378"/>
      <c r="DY144" s="378"/>
      <c r="DZ144" s="378"/>
      <c r="EA144" s="378"/>
      <c r="EB144" s="378"/>
      <c r="EC144" s="378"/>
      <c r="ED144" s="378"/>
      <c r="EE144" s="378"/>
      <c r="EF144" s="378"/>
      <c r="EG144" s="378"/>
      <c r="EH144" s="378"/>
      <c r="EI144" s="378"/>
      <c r="EJ144" s="378"/>
      <c r="EK144" s="378"/>
      <c r="EL144" s="378"/>
      <c r="EM144" s="378"/>
      <c r="EN144" s="378"/>
      <c r="EO144" s="378"/>
      <c r="EP144" s="378"/>
      <c r="EQ144" s="378"/>
      <c r="ER144" s="378"/>
      <c r="ES144" s="378"/>
      <c r="ET144" s="378"/>
      <c r="EU144" s="378"/>
      <c r="EV144" s="378"/>
      <c r="EW144" s="378"/>
      <c r="EX144" s="378"/>
      <c r="EY144" s="378"/>
      <c r="EZ144" s="378"/>
      <c r="FA144" s="378"/>
      <c r="FB144" s="378"/>
      <c r="FC144" s="378"/>
      <c r="FD144" s="378"/>
      <c r="FE144" s="378"/>
      <c r="FF144" s="378"/>
      <c r="FG144" s="378"/>
      <c r="FH144" s="378"/>
      <c r="FI144" s="378"/>
      <c r="FJ144" s="378"/>
      <c r="FK144" s="378"/>
      <c r="FL144" s="378"/>
      <c r="FM144" s="378"/>
      <c r="FN144" s="378"/>
      <c r="FO144" s="378"/>
      <c r="FP144" s="378"/>
      <c r="FQ144" s="378"/>
      <c r="FR144" s="378"/>
      <c r="FS144" s="378"/>
      <c r="FT144" s="378"/>
      <c r="FU144" s="378"/>
      <c r="FV144" s="378"/>
      <c r="FW144" s="378"/>
      <c r="FX144" s="378"/>
      <c r="FY144" s="378"/>
      <c r="FZ144" s="378"/>
      <c r="GA144" s="378"/>
      <c r="GB144" s="378"/>
      <c r="GC144" s="378"/>
      <c r="GD144" s="378"/>
      <c r="GE144" s="378"/>
      <c r="GF144" s="378"/>
      <c r="GG144" s="378"/>
      <c r="GH144" s="378"/>
      <c r="GI144" s="378"/>
      <c r="GJ144" s="378"/>
      <c r="GK144" s="378"/>
      <c r="GL144" s="378"/>
      <c r="GM144" s="378"/>
      <c r="GN144" s="378"/>
      <c r="GO144" s="378"/>
      <c r="GP144" s="378"/>
      <c r="GQ144" s="378"/>
      <c r="GR144" s="378"/>
      <c r="GS144" s="378"/>
      <c r="GT144" s="378"/>
      <c r="GU144" s="378"/>
      <c r="GV144" s="378"/>
      <c r="GW144" s="378"/>
      <c r="GX144" s="378"/>
      <c r="GY144" s="378"/>
      <c r="GZ144" s="378"/>
      <c r="HA144" s="378"/>
      <c r="HB144" s="378"/>
      <c r="HC144" s="378"/>
      <c r="HD144" s="378"/>
      <c r="HE144" s="378"/>
      <c r="HF144" s="378"/>
      <c r="HG144" s="378"/>
      <c r="HH144" s="378"/>
      <c r="HI144" s="378"/>
      <c r="HJ144" s="378"/>
      <c r="HK144" s="378"/>
      <c r="HL144" s="378"/>
      <c r="HM144" s="378"/>
      <c r="HN144" s="378"/>
      <c r="HO144" s="378"/>
      <c r="HP144" s="378"/>
      <c r="HQ144" s="378"/>
      <c r="HR144" s="378"/>
      <c r="HS144" s="378"/>
      <c r="HT144" s="378"/>
      <c r="HU144" s="378"/>
      <c r="HV144" s="378"/>
      <c r="HW144" s="378"/>
      <c r="HX144" s="378"/>
      <c r="HY144" s="378"/>
      <c r="HZ144" s="378"/>
      <c r="IA144" s="378"/>
      <c r="IB144" s="378"/>
      <c r="IC144" s="378"/>
      <c r="ID144" s="378"/>
      <c r="IE144" s="378"/>
      <c r="IF144" s="378"/>
      <c r="IG144" s="378"/>
      <c r="IH144" s="378"/>
      <c r="II144" s="378"/>
      <c r="IJ144" s="378"/>
      <c r="IK144" s="378"/>
      <c r="IL144" s="378"/>
      <c r="IM144" s="378"/>
      <c r="IN144" s="378"/>
      <c r="IO144" s="378"/>
      <c r="IP144" s="378"/>
      <c r="IQ144" s="378"/>
      <c r="IR144" s="378"/>
      <c r="IS144" s="378"/>
      <c r="IT144" s="378"/>
      <c r="IU144" s="378"/>
      <c r="IV144" s="378"/>
      <c r="IW144" s="378"/>
      <c r="IX144" s="378"/>
      <c r="IY144" s="378"/>
      <c r="IZ144" s="378"/>
      <c r="JA144" s="378"/>
    </row>
    <row r="145" spans="2:261" s="379" customFormat="1">
      <c r="B145" s="374"/>
      <c r="C145" s="375"/>
      <c r="D145" s="403"/>
      <c r="E145" s="400"/>
      <c r="F145" s="407"/>
      <c r="G145" s="400"/>
      <c r="H145" s="376"/>
      <c r="I145" s="377"/>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8"/>
      <c r="AI145" s="378"/>
      <c r="AJ145" s="378"/>
      <c r="AK145" s="378"/>
      <c r="AL145" s="378"/>
      <c r="AM145" s="378"/>
      <c r="AN145" s="378"/>
      <c r="AO145" s="378"/>
      <c r="AP145" s="378"/>
      <c r="AQ145" s="378"/>
      <c r="AR145" s="378"/>
      <c r="AS145" s="378"/>
      <c r="AT145" s="378"/>
      <c r="AU145" s="378"/>
      <c r="AV145" s="378"/>
      <c r="AW145" s="378"/>
      <c r="AX145" s="378"/>
      <c r="AY145" s="378"/>
      <c r="AZ145" s="378"/>
      <c r="BA145" s="378"/>
      <c r="BB145" s="378"/>
      <c r="BC145" s="378"/>
      <c r="BD145" s="378"/>
      <c r="BE145" s="378"/>
      <c r="BF145" s="378"/>
      <c r="BG145" s="378"/>
      <c r="BH145" s="378"/>
      <c r="BI145" s="378"/>
      <c r="BJ145" s="378"/>
      <c r="BK145" s="378"/>
      <c r="BL145" s="378"/>
      <c r="BM145" s="378"/>
      <c r="BN145" s="378"/>
      <c r="BO145" s="378"/>
      <c r="BP145" s="378"/>
      <c r="BQ145" s="378"/>
      <c r="BR145" s="378"/>
      <c r="BS145" s="378"/>
      <c r="BT145" s="378"/>
      <c r="BU145" s="378"/>
      <c r="BV145" s="378"/>
      <c r="BW145" s="378"/>
      <c r="BX145" s="378"/>
      <c r="BY145" s="378"/>
      <c r="BZ145" s="378"/>
      <c r="CA145" s="378"/>
      <c r="CB145" s="378"/>
      <c r="CC145" s="378"/>
      <c r="CD145" s="378"/>
      <c r="CE145" s="378"/>
      <c r="CF145" s="378"/>
      <c r="CG145" s="378"/>
      <c r="CH145" s="378"/>
      <c r="CI145" s="378"/>
      <c r="CJ145" s="378"/>
      <c r="CK145" s="378"/>
      <c r="CL145" s="378"/>
      <c r="CM145" s="378"/>
      <c r="CN145" s="378"/>
      <c r="CO145" s="378"/>
      <c r="CP145" s="378"/>
      <c r="CQ145" s="378"/>
      <c r="CR145" s="378"/>
      <c r="CS145" s="378"/>
      <c r="CT145" s="378"/>
      <c r="CU145" s="378"/>
      <c r="CV145" s="378"/>
      <c r="CW145" s="378"/>
      <c r="CX145" s="378"/>
      <c r="CY145" s="378"/>
      <c r="CZ145" s="378"/>
      <c r="DA145" s="378"/>
      <c r="DB145" s="378"/>
      <c r="DC145" s="378"/>
      <c r="DD145" s="378"/>
      <c r="DE145" s="378"/>
      <c r="DF145" s="378"/>
      <c r="DG145" s="378"/>
      <c r="DH145" s="378"/>
      <c r="DI145" s="378"/>
      <c r="DJ145" s="378"/>
      <c r="DK145" s="378"/>
      <c r="DL145" s="378"/>
      <c r="DM145" s="378"/>
      <c r="DN145" s="378"/>
      <c r="DO145" s="378"/>
      <c r="DP145" s="378"/>
      <c r="DQ145" s="378"/>
      <c r="DR145" s="378"/>
      <c r="DS145" s="378"/>
      <c r="DT145" s="378"/>
      <c r="DU145" s="378"/>
      <c r="DV145" s="378"/>
      <c r="DW145" s="378"/>
      <c r="DX145" s="378"/>
      <c r="DY145" s="378"/>
      <c r="DZ145" s="378"/>
      <c r="EA145" s="378"/>
      <c r="EB145" s="378"/>
      <c r="EC145" s="378"/>
      <c r="ED145" s="378"/>
      <c r="EE145" s="378"/>
      <c r="EF145" s="378"/>
      <c r="EG145" s="378"/>
      <c r="EH145" s="378"/>
      <c r="EI145" s="378"/>
      <c r="EJ145" s="378"/>
      <c r="EK145" s="378"/>
      <c r="EL145" s="378"/>
      <c r="EM145" s="378"/>
      <c r="EN145" s="378"/>
      <c r="EO145" s="378"/>
      <c r="EP145" s="378"/>
      <c r="EQ145" s="378"/>
      <c r="ER145" s="378"/>
      <c r="ES145" s="378"/>
      <c r="ET145" s="378"/>
      <c r="EU145" s="378"/>
      <c r="EV145" s="378"/>
      <c r="EW145" s="378"/>
      <c r="EX145" s="378"/>
      <c r="EY145" s="378"/>
      <c r="EZ145" s="378"/>
      <c r="FA145" s="378"/>
      <c r="FB145" s="378"/>
      <c r="FC145" s="378"/>
      <c r="FD145" s="378"/>
      <c r="FE145" s="378"/>
      <c r="FF145" s="378"/>
      <c r="FG145" s="378"/>
      <c r="FH145" s="378"/>
      <c r="FI145" s="378"/>
      <c r="FJ145" s="378"/>
      <c r="FK145" s="378"/>
      <c r="FL145" s="378"/>
      <c r="FM145" s="378"/>
      <c r="FN145" s="378"/>
      <c r="FO145" s="378"/>
      <c r="FP145" s="378"/>
      <c r="FQ145" s="378"/>
      <c r="FR145" s="378"/>
      <c r="FS145" s="378"/>
      <c r="FT145" s="378"/>
      <c r="FU145" s="378"/>
      <c r="FV145" s="378"/>
      <c r="FW145" s="378"/>
      <c r="FX145" s="378"/>
      <c r="FY145" s="378"/>
      <c r="FZ145" s="378"/>
      <c r="GA145" s="378"/>
      <c r="GB145" s="378"/>
      <c r="GC145" s="378"/>
      <c r="GD145" s="378"/>
      <c r="GE145" s="378"/>
      <c r="GF145" s="378"/>
      <c r="GG145" s="378"/>
      <c r="GH145" s="378"/>
      <c r="GI145" s="378"/>
      <c r="GJ145" s="378"/>
      <c r="GK145" s="378"/>
      <c r="GL145" s="378"/>
      <c r="GM145" s="378"/>
      <c r="GN145" s="378"/>
      <c r="GO145" s="378"/>
      <c r="GP145" s="378"/>
      <c r="GQ145" s="378"/>
      <c r="GR145" s="378"/>
      <c r="GS145" s="378"/>
      <c r="GT145" s="378"/>
      <c r="GU145" s="378"/>
      <c r="GV145" s="378"/>
      <c r="GW145" s="378"/>
      <c r="GX145" s="378"/>
      <c r="GY145" s="378"/>
      <c r="GZ145" s="378"/>
      <c r="HA145" s="378"/>
      <c r="HB145" s="378"/>
      <c r="HC145" s="378"/>
      <c r="HD145" s="378"/>
      <c r="HE145" s="378"/>
      <c r="HF145" s="378"/>
      <c r="HG145" s="378"/>
      <c r="HH145" s="378"/>
      <c r="HI145" s="378"/>
      <c r="HJ145" s="378"/>
      <c r="HK145" s="378"/>
      <c r="HL145" s="378"/>
      <c r="HM145" s="378"/>
      <c r="HN145" s="378"/>
      <c r="HO145" s="378"/>
      <c r="HP145" s="378"/>
      <c r="HQ145" s="378"/>
      <c r="HR145" s="378"/>
      <c r="HS145" s="378"/>
      <c r="HT145" s="378"/>
      <c r="HU145" s="378"/>
      <c r="HV145" s="378"/>
      <c r="HW145" s="378"/>
      <c r="HX145" s="378"/>
      <c r="HY145" s="378"/>
      <c r="HZ145" s="378"/>
      <c r="IA145" s="378"/>
      <c r="IB145" s="378"/>
      <c r="IC145" s="378"/>
      <c r="ID145" s="378"/>
      <c r="IE145" s="378"/>
      <c r="IF145" s="378"/>
      <c r="IG145" s="378"/>
      <c r="IH145" s="378"/>
      <c r="II145" s="378"/>
      <c r="IJ145" s="378"/>
      <c r="IK145" s="378"/>
      <c r="IL145" s="378"/>
      <c r="IM145" s="378"/>
      <c r="IN145" s="378"/>
      <c r="IO145" s="378"/>
      <c r="IP145" s="378"/>
      <c r="IQ145" s="378"/>
      <c r="IR145" s="378"/>
      <c r="IS145" s="378"/>
      <c r="IT145" s="378"/>
      <c r="IU145" s="378"/>
      <c r="IV145" s="378"/>
      <c r="IW145" s="378"/>
      <c r="IX145" s="378"/>
      <c r="IY145" s="378"/>
      <c r="IZ145" s="378"/>
      <c r="JA145" s="378"/>
    </row>
    <row r="146" spans="2:261" ht="17" thickBot="1">
      <c r="B146" s="359"/>
      <c r="C146" s="367"/>
      <c r="D146" s="385"/>
      <c r="E146" s="368"/>
      <c r="F146" s="368"/>
      <c r="G146" s="368"/>
      <c r="H146" s="369"/>
      <c r="I146" s="364"/>
    </row>
    <row r="147" spans="2:261" ht="18" thickTop="1" thickBot="1">
      <c r="B147" s="370"/>
      <c r="C147" s="371"/>
      <c r="D147" s="386"/>
      <c r="E147" s="372"/>
      <c r="F147" s="372"/>
      <c r="G147" s="372"/>
      <c r="H147" s="372"/>
      <c r="I147" s="373"/>
    </row>
  </sheetData>
  <sheetProtection algorithmName="SHA-512" hashValue="TXLghi6FE/GB+nvcEc8W7SZNw021zh0bZTIGEoJxlvML3SbxJ2mDAE2GF7Za6jUmOCQammcDH+o240QGjGqXqQ==" saltValue="8fDMXdG8BLeR2GHOqGvZAQ==" spinCount="100000" sheet="1" objects="1" scenarios="1" formatColumns="0" formatRows="0"/>
  <mergeCells count="3">
    <mergeCell ref="E2:F2"/>
    <mergeCell ref="E3:F3"/>
    <mergeCell ref="B4:I4"/>
  </mergeCells>
  <dataValidations count="5">
    <dataValidation allowBlank="1" sqref="E7:E12 F11:F12 B77:I77 G78:I78 B78:E78 D76:E76 G76:I76 D73:I73 D74:E74 G74:I74 G72:I72 B72:E72 B71:I71 D75:I75 B73:C76 B79:I79 F81 B80:E81 G80:I81" xr:uid="{E50021D8-11C1-DC4F-94FC-3626E631E3D6}"/>
    <dataValidation type="list" allowBlank="1" showInputMessage="1" showErrorMessage="1" errorTitle="Invalid Entry" promptTitle="Select the quarter" prompt="Make your selection from the drop-down menu by clicking the small arrow at the right of the cell." sqref="F10" xr:uid="{14752739-BC0D-5145-8FAA-0D21A7E1F8F4}">
      <formula1>"Q1, Q2, Q3, Q4 (Final)"</formula1>
    </dataValidation>
    <dataValidation type="list" allowBlank="1" showInputMessage="1" showErrorMessage="1" errorTitle="Invalid Entry" promptTitle="Minimum gain met?" prompt="Make your selection from the drop-down menu by clicking the small arrow at the right of the cell." sqref="E22 E34 E46 E58" xr:uid="{D5867F17-1014-2E4E-AC0C-4D60B37EF38E}">
      <formula1>"met, partially met, not met yet"</formula1>
    </dataValidation>
    <dataValidation type="list" operator="greaterThan" allowBlank="1" showInputMessage="1" showErrorMessage="1" promptTitle="Select kind of group established" prompt="Make your selection from the drop-down menu by clicking the small arrow at the right of the cell." sqref="F80" xr:uid="{18280CAB-AE4E-F044-98A6-8BAE54409ECA}">
      <formula1>$E$277:$E$280</formula1>
    </dataValidation>
    <dataValidation allowBlank="1" showErrorMessage="1" errorTitle="Invalid Entry" promptTitle="Number of Adventists" prompt="Indicate the population of Adventists who are from the target people group that live within 10km of the project site." sqref="F72 F74 F76 F78" xr:uid="{6759112E-32E5-0947-82C4-5CD0DB4D95D5}"/>
  </dataValidations>
  <pageMargins left="0.5" right="0.5" top="0.75" bottom="0.75" header="0.27777800000000002" footer="0.27777800000000002"/>
  <pageSetup orientation="portrait"/>
  <headerFooter>
    <oddFooter>&amp;C&amp;"Helvetica Neue,Regular"&amp;12&amp;K000000&amp;P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promptTitle="Select Group Type Established" prompt="Make your selection from the drop-down menu by clicking the small arrow at the right of the cell." xr:uid="{72F0117E-FD74-E648-A229-277464DBEEC5}">
          <x14:formula1>
            <xm:f>'Planning Template'!$E$262:$E$265</xm:f>
          </x14:formula1>
          <xm:sqref>F80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E8289-E5E8-9D43-914E-19A848B9BE52}">
  <sheetPr>
    <pageSetUpPr fitToPage="1"/>
  </sheetPr>
  <dimension ref="A1:IT2837"/>
  <sheetViews>
    <sheetView showGridLines="0" zoomScale="90" zoomScaleNormal="90" workbookViewId="0">
      <pane xSplit="3" ySplit="2" topLeftCell="F3" activePane="bottomRight" state="frozen"/>
      <selection pane="topRight"/>
      <selection pane="bottomLeft"/>
      <selection pane="bottomRight" sqref="A1:AG1"/>
    </sheetView>
  </sheetViews>
  <sheetFormatPr baseColWidth="10" defaultColWidth="8.33203125" defaultRowHeight="20" customHeight="1"/>
  <cols>
    <col min="1" max="1" width="9.1640625" style="110" customWidth="1"/>
    <col min="2" max="2" width="10.33203125" style="110" customWidth="1"/>
    <col min="3" max="3" width="13.33203125" style="110" hidden="1" customWidth="1"/>
    <col min="4" max="4" width="9" style="110" hidden="1" customWidth="1"/>
    <col min="5" max="5" width="29.6640625" style="110" hidden="1" customWidth="1"/>
    <col min="6" max="6" width="23.33203125" style="110" customWidth="1"/>
    <col min="7" max="7" width="13.5" style="110" customWidth="1"/>
    <col min="8" max="8" width="11.33203125" style="110" customWidth="1"/>
    <col min="9" max="9" width="17.1640625" style="110" customWidth="1"/>
    <col min="10" max="10" width="11.6640625" style="110" hidden="1" customWidth="1"/>
    <col min="11" max="11" width="26" style="110" hidden="1" customWidth="1"/>
    <col min="12" max="12" width="14.1640625" style="110" hidden="1" customWidth="1"/>
    <col min="13" max="13" width="8.83203125" style="110" hidden="1" customWidth="1"/>
    <col min="14" max="14" width="18.6640625" style="110" customWidth="1"/>
    <col min="15" max="15" width="20.6640625" style="110" hidden="1" customWidth="1"/>
    <col min="16" max="16" width="21.83203125" style="110" hidden="1" customWidth="1"/>
    <col min="17" max="17" width="13.33203125" style="110" hidden="1" customWidth="1"/>
    <col min="18" max="18" width="9" style="110" hidden="1" customWidth="1"/>
    <col min="19" max="19" width="19.6640625" style="110" hidden="1" customWidth="1"/>
    <col min="20" max="20" width="13.33203125" style="110" hidden="1" customWidth="1"/>
    <col min="21" max="21" width="9" style="110" hidden="1" customWidth="1"/>
    <col min="22" max="22" width="28.83203125" style="110" customWidth="1"/>
    <col min="23" max="23" width="20.5" style="110" hidden="1" customWidth="1"/>
    <col min="24" max="24" width="15.1640625" style="110" hidden="1" customWidth="1"/>
    <col min="25" max="25" width="15.83203125" style="110" hidden="1" customWidth="1"/>
    <col min="26" max="26" width="9.1640625" style="110" hidden="1" customWidth="1"/>
    <col min="27" max="27" width="12.6640625" style="110" hidden="1" customWidth="1"/>
    <col min="28" max="28" width="16.6640625" style="110" customWidth="1"/>
    <col min="29" max="29" width="18.83203125" style="110" hidden="1" customWidth="1"/>
    <col min="30" max="30" width="18.83203125" style="110" customWidth="1"/>
    <col min="31" max="31" width="11" style="110" customWidth="1"/>
    <col min="32" max="32" width="15.83203125" style="110" hidden="1" customWidth="1"/>
    <col min="33" max="33" width="16.83203125" style="110" hidden="1" customWidth="1"/>
    <col min="34" max="35" width="8.33203125" style="110" customWidth="1"/>
    <col min="36" max="36" width="34.5" style="110" bestFit="1" customWidth="1"/>
    <col min="37" max="37" width="14.33203125" style="110" bestFit="1" customWidth="1"/>
    <col min="38" max="38" width="8.33203125" style="110" customWidth="1"/>
    <col min="39" max="39" width="33.1640625" style="110" customWidth="1"/>
    <col min="40" max="40" width="38.33203125" style="110" customWidth="1"/>
    <col min="41" max="41" width="12.6640625" style="121" bestFit="1" customWidth="1"/>
    <col min="42" max="42" width="8.33203125" style="110" customWidth="1"/>
    <col min="43" max="43" width="32" style="110" bestFit="1" customWidth="1"/>
    <col min="44" max="44" width="12.6640625" style="110" bestFit="1" customWidth="1"/>
    <col min="45" max="45" width="3" style="110" customWidth="1"/>
    <col min="46" max="46" width="42.83203125" style="111" bestFit="1" customWidth="1"/>
    <col min="47" max="47" width="8.1640625" style="110" customWidth="1"/>
    <col min="48" max="48" width="24.83203125" style="110" bestFit="1" customWidth="1"/>
    <col min="49" max="49" width="31" style="110" bestFit="1" customWidth="1"/>
    <col min="50" max="50" width="12.83203125" style="121" bestFit="1" customWidth="1"/>
    <col min="51" max="51" width="59.33203125" style="110" bestFit="1" customWidth="1"/>
    <col min="52" max="254" width="8.33203125" style="110" customWidth="1"/>
    <col min="255" max="16384" width="8.33203125" style="184"/>
  </cols>
  <sheetData>
    <row r="1" spans="1:51" s="110" customFormat="1" ht="27.75" customHeight="1">
      <c r="A1" s="486" t="s">
        <v>1533</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O1" s="121"/>
      <c r="AT1" s="111"/>
      <c r="AX1" s="121"/>
    </row>
    <row r="2" spans="1:51" s="110" customFormat="1" ht="20.25" customHeight="1">
      <c r="A2" s="112" t="s">
        <v>159</v>
      </c>
      <c r="B2" s="113" t="s">
        <v>1534</v>
      </c>
      <c r="C2" s="113" t="s">
        <v>160</v>
      </c>
      <c r="D2" s="113" t="s">
        <v>161</v>
      </c>
      <c r="E2" s="113" t="s">
        <v>162</v>
      </c>
      <c r="F2" s="113" t="s">
        <v>1535</v>
      </c>
      <c r="G2" s="113" t="s">
        <v>163</v>
      </c>
      <c r="H2" s="113" t="s">
        <v>1536</v>
      </c>
      <c r="I2" s="113" t="s">
        <v>164</v>
      </c>
      <c r="J2" s="114" t="s">
        <v>165</v>
      </c>
      <c r="K2" s="113" t="s">
        <v>1537</v>
      </c>
      <c r="L2" s="113" t="s">
        <v>166</v>
      </c>
      <c r="M2" s="113" t="s">
        <v>167</v>
      </c>
      <c r="N2" s="113" t="s">
        <v>168</v>
      </c>
      <c r="O2" s="113" t="s">
        <v>1538</v>
      </c>
      <c r="P2" s="113" t="s">
        <v>1539</v>
      </c>
      <c r="Q2" s="113" t="s">
        <v>169</v>
      </c>
      <c r="R2" s="113" t="s">
        <v>170</v>
      </c>
      <c r="S2" s="113" t="s">
        <v>171</v>
      </c>
      <c r="T2" s="113" t="s">
        <v>172</v>
      </c>
      <c r="U2" s="113" t="s">
        <v>173</v>
      </c>
      <c r="V2" s="113" t="s">
        <v>1540</v>
      </c>
      <c r="W2" s="113" t="s">
        <v>174</v>
      </c>
      <c r="X2" s="113" t="s">
        <v>175</v>
      </c>
      <c r="Y2" s="113" t="s">
        <v>176</v>
      </c>
      <c r="Z2" s="113" t="s">
        <v>177</v>
      </c>
      <c r="AA2" s="113" t="s">
        <v>178</v>
      </c>
      <c r="AB2" s="113" t="s">
        <v>179</v>
      </c>
      <c r="AC2" s="113" t="s">
        <v>180</v>
      </c>
      <c r="AD2" s="113" t="s">
        <v>181</v>
      </c>
      <c r="AE2" s="113" t="s">
        <v>182</v>
      </c>
      <c r="AF2" s="113" t="s">
        <v>183</v>
      </c>
      <c r="AG2" s="115" t="s">
        <v>184</v>
      </c>
      <c r="AI2" s="116">
        <f>COUNTA(AJ3:AJ221)</f>
        <v>130</v>
      </c>
      <c r="AJ2" s="117" t="s">
        <v>4915</v>
      </c>
      <c r="AK2" s="118">
        <f>SUM(AK3:AK132)</f>
        <v>1059156280</v>
      </c>
      <c r="AM2" s="119">
        <f>'Planning Template'!F30</f>
        <v>0</v>
      </c>
      <c r="AN2" s="120">
        <f>COUNTIF($B$3:$B$3000,$AM$2)</f>
        <v>0</v>
      </c>
      <c r="AO2" s="118">
        <f>SUM(AO3:AO802)</f>
        <v>0</v>
      </c>
      <c r="AP2" s="121"/>
      <c r="AQ2" s="122">
        <f>COUNTA(AQ3:AQ147)</f>
        <v>1</v>
      </c>
      <c r="AR2" s="123">
        <f>SUM($AR$3:$AR$802)</f>
        <v>0</v>
      </c>
      <c r="AS2" s="123"/>
      <c r="AT2" s="124" t="str">
        <f>IF('Planning Template'!$F$43="",'Planning Template'!$F$30&amp;" ("&amp;FIXED(SUM($AR$3:$AR$802),0)&amp;")",'Planning Template'!$F$30&amp;": "&amp;'Planning Template'!$F$43&amp;" ("&amp;FIXED(SUM($AR$3:$AR$802),0)&amp;")")</f>
        <v xml:space="preserve"> (0)</v>
      </c>
      <c r="AU2" s="121"/>
      <c r="AV2" s="236"/>
      <c r="AW2" s="120">
        <f>COUNTIF($AM$3:$AM$792,'Planning Template'!$F$45)</f>
        <v>0</v>
      </c>
      <c r="AX2" s="118">
        <f>SUM($AX$3:$AX$802)</f>
        <v>0</v>
      </c>
      <c r="AY2" s="235" t="str">
        <f>IF('Planning Template'!F45="","",IF('Planning Template'!$F$43="","",'Planning Template'!$F$30&amp;"-"&amp;'Planning Template'!$F$43&amp;": "&amp;'Planning Template'!$F$45&amp;" ("&amp;FIXED(SUMIF($AQ$3:$AQ$50,'Planning Template'!$F$45,$AR$3:$AR$50),0)&amp;")"))</f>
        <v/>
      </c>
    </row>
    <row r="3" spans="1:51" s="110" customFormat="1" ht="20" customHeight="1">
      <c r="A3" s="125" t="s">
        <v>486</v>
      </c>
      <c r="B3" s="126" t="s">
        <v>57</v>
      </c>
      <c r="C3" s="127">
        <v>11029</v>
      </c>
      <c r="D3" s="163">
        <v>101776</v>
      </c>
      <c r="E3" s="164" t="s">
        <v>1998</v>
      </c>
      <c r="F3" s="164" t="s">
        <v>1998</v>
      </c>
      <c r="G3" s="165">
        <v>310000</v>
      </c>
      <c r="H3" s="165">
        <v>1</v>
      </c>
      <c r="I3" s="164" t="s">
        <v>187</v>
      </c>
      <c r="J3" s="164" t="s">
        <v>2043</v>
      </c>
      <c r="K3" s="164" t="s">
        <v>1998</v>
      </c>
      <c r="L3" s="165">
        <v>5</v>
      </c>
      <c r="M3" s="165">
        <v>2</v>
      </c>
      <c r="N3" s="164" t="s">
        <v>1718</v>
      </c>
      <c r="O3" s="165">
        <v>1.621</v>
      </c>
      <c r="P3" s="168"/>
      <c r="Q3" s="165">
        <v>23</v>
      </c>
      <c r="R3" s="164" t="s">
        <v>1623</v>
      </c>
      <c r="S3" s="164" t="s">
        <v>1624</v>
      </c>
      <c r="T3" s="165">
        <v>154</v>
      </c>
      <c r="U3" s="164" t="s">
        <v>1997</v>
      </c>
      <c r="V3" s="164" t="s">
        <v>1998</v>
      </c>
      <c r="W3" s="165">
        <v>18</v>
      </c>
      <c r="X3" s="165">
        <v>4</v>
      </c>
      <c r="Y3" s="164" t="s">
        <v>203</v>
      </c>
      <c r="Z3" s="164" t="s">
        <v>195</v>
      </c>
      <c r="AA3" s="164" t="s">
        <v>196</v>
      </c>
      <c r="AB3" s="164" t="s">
        <v>187</v>
      </c>
      <c r="AC3" s="164" t="s">
        <v>209</v>
      </c>
      <c r="AD3" s="165">
        <v>6</v>
      </c>
      <c r="AE3" s="164" t="s">
        <v>209</v>
      </c>
      <c r="AF3" s="165">
        <v>21.440584679911801</v>
      </c>
      <c r="AG3" s="166">
        <v>92.172284020450206</v>
      </c>
      <c r="AI3" s="133">
        <f t="shared" ref="AI3:AI34" si="0">COUNTIF($V$3:$V$3000,$AJ3)</f>
        <v>14</v>
      </c>
      <c r="AJ3" s="134" t="str" cm="1">
        <f t="array" ref="AJ3:AJ132">_xlfn.UNIQUE(TableSSDPeopleGroups[PeopleCluster],FALSE,FALSE)</f>
        <v>Burmese</v>
      </c>
      <c r="AK3" s="135">
        <f t="shared" ref="AK3:AK34" si="1">SUMIF($V$3:$V$3001,$AJ3, $G$3:$G$3001)</f>
        <v>35082800</v>
      </c>
      <c r="AM3" s="133" t="str" cm="1">
        <f t="array" ref="AM3">IF(ROWS($AN$2:$AN2)&lt;=$AN$2,INDEX($V$3:$V$3000,_xlfn.AGGREGATE(15,3,($B$3:$B$3000=$AM$2)/($B$3:$B$3000=$AM$2)*(ROW($B$3:$B$3000)-ROW($B$2)),ROWS($AN$2:$AN2))),"")</f>
        <v/>
      </c>
      <c r="AN3" s="134" t="str" cm="1">
        <f t="array" ref="AN3">IF(ROWS($AN$2:$AN2)&lt;=$AN$2,INDEX($F$3:$F$3000,_xlfn.AGGREGATE(15,3,($B$3:$B$3000=$AM$2)/($B$3:$B$3000=$AM$2)*(ROW($B$3:$B$3000)-ROW($B$2)),ROWS($AN$2:$AN2))),"")</f>
        <v/>
      </c>
      <c r="AO3" s="135" t="str" cm="1">
        <f t="array" ref="AO3">IF(ROWS($AN$2:$AN2)&lt;=$AN$2,INDEX($G$3:$G$3000,_xlfn.AGGREGATE(15,3,($B$3:$B$3000=$AM$2)/($B$3:$B$3000=$AM$2)*(ROW($B$3:$B$3000)-ROW($B$2)),ROWS($AN$2:$AN2))),"")</f>
        <v/>
      </c>
      <c r="AP3" s="121"/>
      <c r="AQ3" s="133" t="str" cm="1">
        <f t="array" ref="AQ3">_xlfn.UNIQUE($AM$3:$AM$800,FALSE,FALSE)</f>
        <v/>
      </c>
      <c r="AR3" s="136">
        <f>IF('Planning Template'!$F$43="",SUMIFS($G$3:$G$3001,$V$3:$V$3001,$AQ3,$B$3:$B$3001,$AM$2),SUMIFS($G$3:$G$3001,$V$3:$V$3001,$AQ3,$B$3:$B$3001,$AM$2,$N$3:$N$3001,'Planning Template'!$F$301))</f>
        <v>0</v>
      </c>
      <c r="AS3" s="136"/>
      <c r="AT3" s="137" t="str">
        <f>$AQ3&amp;" ("&amp;FIXED($AR3,0)&amp;")"</f>
        <v xml:space="preserve"> (0)</v>
      </c>
      <c r="AV3" s="133" t="str" cm="1">
        <f t="array" ref="AV3">IF(ROWS($AW$2:$AW2)&lt;=$AW$2,INDEX($AM$3:$AM$792,_xlfn.AGGREGATE(15,3,($AM$3:$AM$792='Planning Template'!$F$45)/($AM$3:$AM$792='Planning Template'!$F$45)*(ROW($AM$3:$AM$792)-ROW($AM$2)),ROWS($AW$2:$AW2))),"")</f>
        <v/>
      </c>
      <c r="AW3" s="134" t="str" cm="1">
        <f t="array" ref="AW3">IF(ROWS($AW$2:$AW2)&lt;=$AW$2,INDEX($AN$3:$AN$792,_xlfn.AGGREGATE(15,3,($AM$3:$AM$792='Planning Template'!$F$45)/($AM$3:$AM$792='Planning Template'!$F$45)*(ROW($AM$3:$AM$792)-ROW($AM$2)),ROWS($AW$2:$AW2))),"")</f>
        <v/>
      </c>
      <c r="AX3" s="135" t="str">
        <f>IF(AW3="","",SUMIFS(TableSSDPeopleGroups[Population], TableSSDPeopleGroups[Ctry],'Planning Template'!$F$30,TableSSDPeopleGroups[PrimaryReligion],'Planning Template'!$F$301,TableSSDPeopleGroups[PeopleCluster],'Planning Template'!$F$45,TableSSDPeopleGroups[PeopNameInCountry],$AW3))</f>
        <v/>
      </c>
      <c r="AY3" s="234" t="str">
        <f>IF(AW3="","",AW3&amp;" ("&amp;FIXED(AX3,0)&amp;")")</f>
        <v/>
      </c>
    </row>
    <row r="4" spans="1:51" s="110" customFormat="1" ht="20" customHeight="1">
      <c r="A4" s="125" t="s">
        <v>483</v>
      </c>
      <c r="B4" s="126" t="s">
        <v>55</v>
      </c>
      <c r="C4" s="127">
        <v>11029</v>
      </c>
      <c r="D4" s="163">
        <v>101776</v>
      </c>
      <c r="E4" s="164" t="s">
        <v>1998</v>
      </c>
      <c r="F4" s="164" t="s">
        <v>1998</v>
      </c>
      <c r="G4" s="165">
        <v>5100</v>
      </c>
      <c r="H4" s="165">
        <v>1</v>
      </c>
      <c r="I4" s="164" t="s">
        <v>187</v>
      </c>
      <c r="J4" s="164" t="s">
        <v>2043</v>
      </c>
      <c r="K4" s="164" t="s">
        <v>1998</v>
      </c>
      <c r="L4" s="165">
        <v>5</v>
      </c>
      <c r="M4" s="165">
        <v>2</v>
      </c>
      <c r="N4" s="164" t="s">
        <v>1718</v>
      </c>
      <c r="O4" s="165">
        <v>0.09</v>
      </c>
      <c r="P4" s="165">
        <v>7.0000000000000007E-2</v>
      </c>
      <c r="Q4" s="165">
        <v>23</v>
      </c>
      <c r="R4" s="164" t="s">
        <v>1623</v>
      </c>
      <c r="S4" s="164" t="s">
        <v>1624</v>
      </c>
      <c r="T4" s="165">
        <v>154</v>
      </c>
      <c r="U4" s="164" t="s">
        <v>1997</v>
      </c>
      <c r="V4" s="164" t="s">
        <v>1998</v>
      </c>
      <c r="W4" s="165">
        <v>18</v>
      </c>
      <c r="X4" s="165">
        <v>2</v>
      </c>
      <c r="Y4" s="164" t="s">
        <v>194</v>
      </c>
      <c r="Z4" s="164" t="s">
        <v>195</v>
      </c>
      <c r="AA4" s="164" t="s">
        <v>196</v>
      </c>
      <c r="AB4" s="164" t="s">
        <v>187</v>
      </c>
      <c r="AC4" s="164" t="s">
        <v>209</v>
      </c>
      <c r="AD4" s="165">
        <v>1</v>
      </c>
      <c r="AE4" s="164" t="s">
        <v>187</v>
      </c>
      <c r="AF4" s="165">
        <v>13.595393309054</v>
      </c>
      <c r="AG4" s="166">
        <v>102.97063553640101</v>
      </c>
      <c r="AI4" s="133">
        <f t="shared" si="0"/>
        <v>16</v>
      </c>
      <c r="AJ4" s="134" t="str">
        <v>Cham</v>
      </c>
      <c r="AK4" s="135">
        <f t="shared" si="1"/>
        <v>1417400</v>
      </c>
      <c r="AM4" s="133" t="str" cm="1">
        <f t="array" ref="AM4">IF(ROWS($AN$2:$AN3)&lt;=$AN$2,INDEX($V$3:$V$3000,_xlfn.AGGREGATE(15,3,($B$3:$B$3000=$AM$2)/($B$3:$B$3000=$AM$2)*(ROW($B$3:$B$3000)-ROW($B$2)),ROWS($AN$2:$AN3))),"")</f>
        <v/>
      </c>
      <c r="AN4" s="134" t="str" cm="1">
        <f t="array" ref="AN4">IF(ROWS($AN$2:$AN3)&lt;=$AN$2,INDEX($F$3:$F$3000,_xlfn.AGGREGATE(15,3,($B$3:$B$3000=$AM$2)/($B$3:$B$3000=$AM$2)*(ROW($B$3:$B$3000)-ROW($B$2)),ROWS($AN$2:$AN3))),"")</f>
        <v/>
      </c>
      <c r="AO4" s="135" t="str" cm="1">
        <f t="array" ref="AO4">IF(ROWS($AN$2:$AN3)&lt;=$AN$2,INDEX($G$3:$G$3000,_xlfn.AGGREGATE(15,3,($B$3:$B$3000=$AM$2)/($B$3:$B$3000=$AM$2)*(ROW($B$3:$B$3000)-ROW($B$2)),ROWS($AN$2:$AN3))),"")</f>
        <v/>
      </c>
      <c r="AP4" s="121"/>
      <c r="AQ4" s="133"/>
      <c r="AR4" s="136">
        <f>IF('Planning Template'!$F$43="",SUMIFS($G$3:$G$3001,$V$3:$V$3001,$AQ4,$B$3:$B$3001,$AM$2),SUMIFS($G$3:$G$3001,$V$3:$V$3001,$AQ4,$B$3:$B$3001,$AM$2,$N$3:$N$3001,'Planning Template'!$F$301))</f>
        <v>0</v>
      </c>
      <c r="AS4" s="136"/>
      <c r="AT4" s="137" t="str">
        <f t="shared" ref="AT4:AT50" si="2">$AQ4&amp;" ("&amp;FIXED($AR4,0)&amp;")"</f>
        <v xml:space="preserve"> (0)</v>
      </c>
      <c r="AV4" s="133" t="str" cm="1">
        <f t="array" ref="AV4">IF(ROWS($AW$2:$AW3)&lt;=$AW$2,INDEX($AM$3:$AM$792,_xlfn.AGGREGATE(15,3,($AM$3:$AM$792='Planning Template'!$F$45)/($AM$3:$AM$792='Planning Template'!$F$45)*(ROW($AM$3:$AM$792)-ROW($AM$2)),ROWS($AW$2:$AW3))),"")</f>
        <v/>
      </c>
      <c r="AW4" s="134" t="str" cm="1">
        <f t="array" ref="AW4">IF(ROWS($AU$3:$AU4)&lt;=$AW$2,INDEX($AN$3:$AN$792,_xlfn.AGGREGATE(15,3,($AM$3:$AM$792='Planning Template'!$F$45)/($AM$3:$AM$792='Planning Template'!$F$45)*(ROW($AM$3:$AM$792)-ROW($AM$2)),ROWS($AU$3:$AU4))),"")</f>
        <v/>
      </c>
      <c r="AX4" s="135" t="str">
        <f>IF(AW4="","",SUMIFS(TableSSDPeopleGroups[Population], TableSSDPeopleGroups[Ctry],'Planning Template'!$F$30,TableSSDPeopleGroups[PrimaryReligion],'Planning Template'!$F$301,TableSSDPeopleGroups[PeopleCluster],'Planning Template'!$F$45,TableSSDPeopleGroups[PeopNameInCountry],$AW4))</f>
        <v/>
      </c>
      <c r="AY4" s="234" t="str">
        <f t="shared" ref="AY4:AY67" si="3">IF(AW4="","",AW4&amp;" ("&amp;FIXED(AX4,0)&amp;")")</f>
        <v/>
      </c>
    </row>
    <row r="5" spans="1:51" s="110" customFormat="1" ht="20" customHeight="1">
      <c r="A5" s="125" t="s">
        <v>471</v>
      </c>
      <c r="B5" s="126" t="s">
        <v>65</v>
      </c>
      <c r="C5" s="127">
        <v>11029</v>
      </c>
      <c r="D5" s="163">
        <v>101776</v>
      </c>
      <c r="E5" s="164" t="s">
        <v>1998</v>
      </c>
      <c r="F5" s="164" t="s">
        <v>1998</v>
      </c>
      <c r="G5" s="165">
        <v>600</v>
      </c>
      <c r="H5" s="165">
        <v>1</v>
      </c>
      <c r="I5" s="164" t="s">
        <v>187</v>
      </c>
      <c r="J5" s="164" t="s">
        <v>2043</v>
      </c>
      <c r="K5" s="164" t="s">
        <v>1998</v>
      </c>
      <c r="L5" s="165">
        <v>5</v>
      </c>
      <c r="M5" s="165">
        <v>2</v>
      </c>
      <c r="N5" s="164" t="s">
        <v>1718</v>
      </c>
      <c r="O5" s="165">
        <v>0</v>
      </c>
      <c r="P5" s="165">
        <v>0</v>
      </c>
      <c r="Q5" s="165">
        <v>23</v>
      </c>
      <c r="R5" s="164" t="s">
        <v>1623</v>
      </c>
      <c r="S5" s="164" t="s">
        <v>1624</v>
      </c>
      <c r="T5" s="165">
        <v>154</v>
      </c>
      <c r="U5" s="164" t="s">
        <v>1997</v>
      </c>
      <c r="V5" s="164" t="s">
        <v>1998</v>
      </c>
      <c r="W5" s="165">
        <v>18</v>
      </c>
      <c r="X5" s="165">
        <v>2</v>
      </c>
      <c r="Y5" s="164" t="s">
        <v>194</v>
      </c>
      <c r="Z5" s="164" t="s">
        <v>195</v>
      </c>
      <c r="AA5" s="164" t="s">
        <v>196</v>
      </c>
      <c r="AB5" s="164" t="s">
        <v>187</v>
      </c>
      <c r="AC5" s="164" t="s">
        <v>209</v>
      </c>
      <c r="AD5" s="165">
        <v>1</v>
      </c>
      <c r="AE5" s="164" t="s">
        <v>187</v>
      </c>
      <c r="AF5" s="165">
        <v>21.189654057988399</v>
      </c>
      <c r="AG5" s="166">
        <v>101.15358944099999</v>
      </c>
      <c r="AI5" s="133">
        <f t="shared" si="0"/>
        <v>63</v>
      </c>
      <c r="AJ5" s="134" t="str">
        <v>Chinese</v>
      </c>
      <c r="AK5" s="135">
        <f t="shared" si="1"/>
        <v>28752500</v>
      </c>
      <c r="AM5" s="133" t="str" cm="1">
        <f t="array" ref="AM5">IF(ROWS($AN$2:$AN4)&lt;=$AN$2,INDEX($V$3:$V$3000,_xlfn.AGGREGATE(15,3,($B$3:$B$3000=$AM$2)/($B$3:$B$3000=$AM$2)*(ROW($B$3:$B$3000)-ROW($B$2)),ROWS($AN$2:$AN4))),"")</f>
        <v/>
      </c>
      <c r="AN5" s="134" t="str" cm="1">
        <f t="array" ref="AN5">IF(ROWS($AN$2:$AN4)&lt;=$AN$2,INDEX($F$3:$F$3000,_xlfn.AGGREGATE(15,3,($B$3:$B$3000=$AM$2)/($B$3:$B$3000=$AM$2)*(ROW($B$3:$B$3000)-ROW($B$2)),ROWS($AN$2:$AN4))),"")</f>
        <v/>
      </c>
      <c r="AO5" s="135" t="str" cm="1">
        <f t="array" ref="AO5">IF(ROWS($AN$2:$AN4)&lt;=$AN$2,INDEX($G$3:$G$3000,_xlfn.AGGREGATE(15,3,($B$3:$B$3000=$AM$2)/($B$3:$B$3000=$AM$2)*(ROW($B$3:$B$3000)-ROW($B$2)),ROWS($AN$2:$AN4))),"")</f>
        <v/>
      </c>
      <c r="AP5" s="121"/>
      <c r="AQ5" s="133"/>
      <c r="AR5" s="136">
        <f>IF('Planning Template'!$F$43="",SUMIFS($G$3:$G$3001,$V$3:$V$3001,$AQ5,$B$3:$B$3001,$AM$2),SUMIFS($G$3:$G$3001,$V$3:$V$3001,$AQ5,$B$3:$B$3001,$AM$2,$N$3:$N$3001,'Planning Template'!$F$301))</f>
        <v>0</v>
      </c>
      <c r="AS5" s="136"/>
      <c r="AT5" s="137" t="str">
        <f t="shared" si="2"/>
        <v xml:space="preserve"> (0)</v>
      </c>
      <c r="AV5" s="133" t="str" cm="1">
        <f t="array" ref="AV5">IF(ROWS($AW$2:$AW4)&lt;=$AW$2,INDEX($AM$3:$AM$792,_xlfn.AGGREGATE(15,3,($AM$3:$AM$792='Planning Template'!$F$45)/($AM$3:$AM$792='Planning Template'!$F$45)*(ROW($AM$3:$AM$792)-ROW($AM$2)),ROWS($AW$2:$AW4))),"")</f>
        <v/>
      </c>
      <c r="AW5" s="134" t="str" cm="1">
        <f t="array" ref="AW5">IF(ROWS($AU$3:$AU5)&lt;=$AW$2,INDEX($AN$3:$AN$792,_xlfn.AGGREGATE(15,3,($AM$3:$AM$792='Planning Template'!$F$45)/($AM$3:$AM$792='Planning Template'!$F$45)*(ROW($AM$3:$AM$792)-ROW($AM$2)),ROWS($AU$3:$AU5))),"")</f>
        <v/>
      </c>
      <c r="AX5" s="135" t="str">
        <f>IF(AW5="","",SUMIFS(TableSSDPeopleGroups[Population], TableSSDPeopleGroups[Ctry],'Planning Template'!$F$30,TableSSDPeopleGroups[PrimaryReligion],'Planning Template'!$F$301,TableSSDPeopleGroups[PeopleCluster],'Planning Template'!$F$45,TableSSDPeopleGroups[PeopNameInCountry],$AW5))</f>
        <v/>
      </c>
      <c r="AY5" s="234" t="str">
        <f t="shared" si="3"/>
        <v/>
      </c>
    </row>
    <row r="6" spans="1:51" s="110" customFormat="1" ht="20" customHeight="1">
      <c r="A6" s="125" t="s">
        <v>237</v>
      </c>
      <c r="B6" s="126" t="s">
        <v>60</v>
      </c>
      <c r="C6" s="127">
        <v>11029</v>
      </c>
      <c r="D6" s="163">
        <v>101776</v>
      </c>
      <c r="E6" s="164" t="s">
        <v>1998</v>
      </c>
      <c r="F6" s="164" t="s">
        <v>1998</v>
      </c>
      <c r="G6" s="165">
        <v>29000</v>
      </c>
      <c r="H6" s="165">
        <v>1</v>
      </c>
      <c r="I6" s="164" t="s">
        <v>187</v>
      </c>
      <c r="J6" s="164" t="s">
        <v>2043</v>
      </c>
      <c r="K6" s="164" t="s">
        <v>1998</v>
      </c>
      <c r="L6" s="165">
        <v>5</v>
      </c>
      <c r="M6" s="165">
        <v>2</v>
      </c>
      <c r="N6" s="164" t="s">
        <v>1718</v>
      </c>
      <c r="O6" s="165">
        <v>0.5</v>
      </c>
      <c r="P6" s="165">
        <v>0.17</v>
      </c>
      <c r="Q6" s="165">
        <v>23</v>
      </c>
      <c r="R6" s="164" t="s">
        <v>1623</v>
      </c>
      <c r="S6" s="164" t="s">
        <v>1624</v>
      </c>
      <c r="T6" s="165">
        <v>154</v>
      </c>
      <c r="U6" s="164" t="s">
        <v>1997</v>
      </c>
      <c r="V6" s="164" t="s">
        <v>1998</v>
      </c>
      <c r="W6" s="165">
        <v>18</v>
      </c>
      <c r="X6" s="165">
        <v>2</v>
      </c>
      <c r="Y6" s="164" t="s">
        <v>194</v>
      </c>
      <c r="Z6" s="164" t="s">
        <v>195</v>
      </c>
      <c r="AA6" s="164" t="s">
        <v>196</v>
      </c>
      <c r="AB6" s="164" t="s">
        <v>187</v>
      </c>
      <c r="AC6" s="164" t="s">
        <v>209</v>
      </c>
      <c r="AD6" s="165">
        <v>1</v>
      </c>
      <c r="AE6" s="164" t="s">
        <v>209</v>
      </c>
      <c r="AF6" s="165">
        <v>3.0742224787843502</v>
      </c>
      <c r="AG6" s="166">
        <v>101.553434633601</v>
      </c>
      <c r="AI6" s="133">
        <f t="shared" si="0"/>
        <v>14</v>
      </c>
      <c r="AJ6" s="134" t="str">
        <v>Deaf</v>
      </c>
      <c r="AK6" s="135">
        <f t="shared" si="1"/>
        <v>7644900</v>
      </c>
      <c r="AM6" s="133" t="str" cm="1">
        <f t="array" ref="AM6">IF(ROWS($AN$2:$AN5)&lt;=$AN$2,INDEX($V$3:$V$3000,_xlfn.AGGREGATE(15,3,($B$3:$B$3000=$AM$2)/($B$3:$B$3000=$AM$2)*(ROW($B$3:$B$3000)-ROW($B$2)),ROWS($AN$2:$AN5))),"")</f>
        <v/>
      </c>
      <c r="AN6" s="134" t="str" cm="1">
        <f t="array" ref="AN6">IF(ROWS($AN$2:$AN5)&lt;=$AN$2,INDEX($F$3:$F$3000,_xlfn.AGGREGATE(15,3,($B$3:$B$3000=$AM$2)/($B$3:$B$3000=$AM$2)*(ROW($B$3:$B$3000)-ROW($B$2)),ROWS($AN$2:$AN5))),"")</f>
        <v/>
      </c>
      <c r="AO6" s="135" t="str" cm="1">
        <f t="array" ref="AO6">IF(ROWS($AN$2:$AN5)&lt;=$AN$2,INDEX($G$3:$G$3000,_xlfn.AGGREGATE(15,3,($B$3:$B$3000=$AM$2)/($B$3:$B$3000=$AM$2)*(ROW($B$3:$B$3000)-ROW($B$2)),ROWS($AN$2:$AN5))),"")</f>
        <v/>
      </c>
      <c r="AP6" s="121"/>
      <c r="AQ6" s="133"/>
      <c r="AR6" s="136">
        <f>IF('Planning Template'!$F$43="",SUMIFS($G$3:$G$3001,$V$3:$V$3001,$AQ6,$B$3:$B$3001,$AM$2),SUMIFS($G$3:$G$3001,$V$3:$V$3001,$AQ6,$B$3:$B$3001,$AM$2,$N$3:$N$3001,'Planning Template'!$F$301))</f>
        <v>0</v>
      </c>
      <c r="AS6" s="136"/>
      <c r="AT6" s="137" t="str">
        <f t="shared" si="2"/>
        <v xml:space="preserve"> (0)</v>
      </c>
      <c r="AV6" s="133" t="str" cm="1">
        <f t="array" ref="AV6">IF(ROWS($AW$2:$AW5)&lt;=$AW$2,INDEX($AM$3:$AM$792,_xlfn.AGGREGATE(15,3,($AM$3:$AM$792='Planning Template'!$F$45)/($AM$3:$AM$792='Planning Template'!$F$45)*(ROW($AM$3:$AM$792)-ROW($AM$2)),ROWS($AW$2:$AW5))),"")</f>
        <v/>
      </c>
      <c r="AW6" s="134" t="str" cm="1">
        <f t="array" ref="AW6">IF(ROWS($AU$3:$AU6)&lt;=$AW$2,INDEX($AN$3:$AN$792,_xlfn.AGGREGATE(15,3,($AM$3:$AM$792='Planning Template'!$F$45)/($AM$3:$AM$792='Planning Template'!$F$45)*(ROW($AM$3:$AM$792)-ROW($AM$2)),ROWS($AU$3:$AU6))),"")</f>
        <v/>
      </c>
      <c r="AX6" s="135" t="str">
        <f>IF(AW6="","",SUMIFS(TableSSDPeopleGroups[Population], TableSSDPeopleGroups[Ctry],'Planning Template'!$F$30,TableSSDPeopleGroups[PrimaryReligion],'Planning Template'!$F$301,TableSSDPeopleGroups[PeopleCluster],'Planning Template'!$F$45,TableSSDPeopleGroups[PeopNameInCountry],$AW6))</f>
        <v/>
      </c>
      <c r="AY6" s="234" t="str">
        <f t="shared" si="3"/>
        <v/>
      </c>
    </row>
    <row r="7" spans="1:51" s="110" customFormat="1" ht="20" customHeight="1">
      <c r="A7" s="125" t="s">
        <v>1620</v>
      </c>
      <c r="B7" s="126" t="s">
        <v>61</v>
      </c>
      <c r="C7" s="127">
        <v>11029</v>
      </c>
      <c r="D7" s="163">
        <v>101776</v>
      </c>
      <c r="E7" s="164" t="s">
        <v>1998</v>
      </c>
      <c r="F7" s="164" t="s">
        <v>1998</v>
      </c>
      <c r="G7" s="165">
        <v>31046000</v>
      </c>
      <c r="H7" s="165">
        <v>1</v>
      </c>
      <c r="I7" s="164" t="s">
        <v>187</v>
      </c>
      <c r="J7" s="164" t="s">
        <v>2043</v>
      </c>
      <c r="K7" s="164" t="s">
        <v>1998</v>
      </c>
      <c r="L7" s="165">
        <v>5</v>
      </c>
      <c r="M7" s="165">
        <v>2</v>
      </c>
      <c r="N7" s="164" t="s">
        <v>1718</v>
      </c>
      <c r="O7" s="165">
        <v>0.35</v>
      </c>
      <c r="P7" s="165">
        <v>8.2000000000000003E-2</v>
      </c>
      <c r="Q7" s="165">
        <v>23</v>
      </c>
      <c r="R7" s="164" t="s">
        <v>1623</v>
      </c>
      <c r="S7" s="164" t="s">
        <v>1624</v>
      </c>
      <c r="T7" s="165">
        <v>154</v>
      </c>
      <c r="U7" s="164" t="s">
        <v>1997</v>
      </c>
      <c r="V7" s="164" t="s">
        <v>1998</v>
      </c>
      <c r="W7" s="165">
        <v>18</v>
      </c>
      <c r="X7" s="165">
        <v>2</v>
      </c>
      <c r="Y7" s="164" t="s">
        <v>194</v>
      </c>
      <c r="Z7" s="164" t="s">
        <v>195</v>
      </c>
      <c r="AA7" s="164" t="s">
        <v>196</v>
      </c>
      <c r="AB7" s="164" t="s">
        <v>187</v>
      </c>
      <c r="AC7" s="164" t="s">
        <v>187</v>
      </c>
      <c r="AD7" s="165">
        <v>621</v>
      </c>
      <c r="AE7" s="164" t="s">
        <v>209</v>
      </c>
      <c r="AF7" s="165">
        <v>20.2980500000075</v>
      </c>
      <c r="AG7" s="166">
        <v>95.788559999644207</v>
      </c>
      <c r="AI7" s="133">
        <f t="shared" si="0"/>
        <v>12</v>
      </c>
      <c r="AJ7" s="134" t="str">
        <v>Hani</v>
      </c>
      <c r="AK7" s="135">
        <f t="shared" si="1"/>
        <v>488300</v>
      </c>
      <c r="AM7" s="133" t="str" cm="1">
        <f t="array" ref="AM7">IF(ROWS($AN$2:$AN6)&lt;=$AN$2,INDEX($V$3:$V$3000,_xlfn.AGGREGATE(15,3,($B$3:$B$3000=$AM$2)/($B$3:$B$3000=$AM$2)*(ROW($B$3:$B$3000)-ROW($B$2)),ROWS($AN$2:$AN6))),"")</f>
        <v/>
      </c>
      <c r="AN7" s="134" t="str" cm="1">
        <f t="array" ref="AN7">IF(ROWS($AN$2:$AN6)&lt;=$AN$2,INDEX($F$3:$F$3000,_xlfn.AGGREGATE(15,3,($B$3:$B$3000=$AM$2)/($B$3:$B$3000=$AM$2)*(ROW($B$3:$B$3000)-ROW($B$2)),ROWS($AN$2:$AN6))),"")</f>
        <v/>
      </c>
      <c r="AO7" s="135" t="str" cm="1">
        <f t="array" ref="AO7">IF(ROWS($AN$2:$AN6)&lt;=$AN$2,INDEX($G$3:$G$3000,_xlfn.AGGREGATE(15,3,($B$3:$B$3000=$AM$2)/($B$3:$B$3000=$AM$2)*(ROW($B$3:$B$3000)-ROW($B$2)),ROWS($AN$2:$AN6))),"")</f>
        <v/>
      </c>
      <c r="AP7" s="121"/>
      <c r="AQ7" s="133"/>
      <c r="AR7" s="136">
        <f>IF('Planning Template'!$F$43="",SUMIFS($G$3:$G$3001,$V$3:$V$3001,$AQ7,$B$3:$B$3001,$AM$2),SUMIFS($G$3:$G$3001,$V$3:$V$3001,$AQ7,$B$3:$B$3001,$AM$2,$N$3:$N$3001,'Planning Template'!$F$301))</f>
        <v>0</v>
      </c>
      <c r="AS7" s="136"/>
      <c r="AT7" s="137" t="str">
        <f t="shared" si="2"/>
        <v xml:space="preserve"> (0)</v>
      </c>
      <c r="AV7" s="133" t="str" cm="1">
        <f t="array" ref="AV7">IF(ROWS($AW$2:$AW6)&lt;=$AW$2,INDEX($AM$3:$AM$792,_xlfn.AGGREGATE(15,3,($AM$3:$AM$792='Planning Template'!$F$45)/($AM$3:$AM$792='Planning Template'!$F$45)*(ROW($AM$3:$AM$792)-ROW($AM$2)),ROWS($AW$2:$AW6))),"")</f>
        <v/>
      </c>
      <c r="AW7" s="134" t="str" cm="1">
        <f t="array" ref="AW7">IF(ROWS($AU$3:$AU7)&lt;=$AW$2,INDEX($AN$3:$AN$792,_xlfn.AGGREGATE(15,3,($AM$3:$AM$792='Planning Template'!$F$45)/($AM$3:$AM$792='Planning Template'!$F$45)*(ROW($AM$3:$AM$792)-ROW($AM$2)),ROWS($AU$3:$AU7))),"")</f>
        <v/>
      </c>
      <c r="AX7" s="135" t="str">
        <f>IF(AW7="","",SUMIFS(TableSSDPeopleGroups[Population], TableSSDPeopleGroups[Ctry],'Planning Template'!$F$30,TableSSDPeopleGroups[PrimaryReligion],'Planning Template'!$F$301,TableSSDPeopleGroups[PeopleCluster],'Planning Template'!$F$45,TableSSDPeopleGroups[PeopNameInCountry],$AW7))</f>
        <v/>
      </c>
      <c r="AY7" s="234" t="str">
        <f t="shared" si="3"/>
        <v/>
      </c>
    </row>
    <row r="8" spans="1:51" s="110" customFormat="1" ht="20" customHeight="1">
      <c r="A8" s="125" t="s">
        <v>1620</v>
      </c>
      <c r="B8" s="126" t="s">
        <v>61</v>
      </c>
      <c r="C8" s="127">
        <v>13207</v>
      </c>
      <c r="D8" s="163">
        <v>106013</v>
      </c>
      <c r="E8" s="164" t="s">
        <v>4732</v>
      </c>
      <c r="F8" s="164" t="s">
        <v>1967</v>
      </c>
      <c r="G8" s="165">
        <v>2681000</v>
      </c>
      <c r="H8" s="165">
        <v>1</v>
      </c>
      <c r="I8" s="164" t="s">
        <v>187</v>
      </c>
      <c r="J8" s="164" t="s">
        <v>1966</v>
      </c>
      <c r="K8" s="164" t="s">
        <v>1967</v>
      </c>
      <c r="L8" s="165">
        <v>3</v>
      </c>
      <c r="M8" s="165">
        <v>2</v>
      </c>
      <c r="N8" s="164" t="s">
        <v>1718</v>
      </c>
      <c r="O8" s="165">
        <v>0.1</v>
      </c>
      <c r="P8" s="165">
        <v>4.7E-2</v>
      </c>
      <c r="Q8" s="165">
        <v>23</v>
      </c>
      <c r="R8" s="164" t="s">
        <v>1623</v>
      </c>
      <c r="S8" s="164" t="s">
        <v>1624</v>
      </c>
      <c r="T8" s="165">
        <v>154</v>
      </c>
      <c r="U8" s="164" t="s">
        <v>1997</v>
      </c>
      <c r="V8" s="164" t="s">
        <v>1998</v>
      </c>
      <c r="W8" s="165">
        <v>1</v>
      </c>
      <c r="X8" s="165">
        <v>2</v>
      </c>
      <c r="Y8" s="164" t="s">
        <v>194</v>
      </c>
      <c r="Z8" s="164" t="s">
        <v>195</v>
      </c>
      <c r="AA8" s="164" t="s">
        <v>196</v>
      </c>
      <c r="AB8" s="164" t="s">
        <v>187</v>
      </c>
      <c r="AC8" s="164" t="s">
        <v>187</v>
      </c>
      <c r="AD8" s="165">
        <v>54</v>
      </c>
      <c r="AE8" s="164" t="s">
        <v>187</v>
      </c>
      <c r="AF8" s="165">
        <v>19.712119999838102</v>
      </c>
      <c r="AG8" s="166">
        <v>93.742609999851595</v>
      </c>
      <c r="AI8" s="133">
        <f t="shared" si="0"/>
        <v>7</v>
      </c>
      <c r="AJ8" s="134" t="str">
        <v>Japanese</v>
      </c>
      <c r="AK8" s="135">
        <f t="shared" si="1"/>
        <v>98200</v>
      </c>
      <c r="AM8" s="133" t="str" cm="1">
        <f t="array" ref="AM8">IF(ROWS($AN$2:$AN7)&lt;=$AN$2,INDEX($V$3:$V$3000,_xlfn.AGGREGATE(15,3,($B$3:$B$3000=$AM$2)/($B$3:$B$3000=$AM$2)*(ROW($B$3:$B$3000)-ROW($B$2)),ROWS($AN$2:$AN7))),"")</f>
        <v/>
      </c>
      <c r="AN8" s="134" t="str" cm="1">
        <f t="array" ref="AN8">IF(ROWS($AN$2:$AN7)&lt;=$AN$2,INDEX($F$3:$F$3000,_xlfn.AGGREGATE(15,3,($B$3:$B$3000=$AM$2)/($B$3:$B$3000=$AM$2)*(ROW($B$3:$B$3000)-ROW($B$2)),ROWS($AN$2:$AN7))),"")</f>
        <v/>
      </c>
      <c r="AO8" s="135" t="str" cm="1">
        <f t="array" ref="AO8">IF(ROWS($AN$2:$AN7)&lt;=$AN$2,INDEX($G$3:$G$3000,_xlfn.AGGREGATE(15,3,($B$3:$B$3000=$AM$2)/($B$3:$B$3000=$AM$2)*(ROW($B$3:$B$3000)-ROW($B$2)),ROWS($AN$2:$AN7))),"")</f>
        <v/>
      </c>
      <c r="AP8" s="121"/>
      <c r="AQ8" s="133"/>
      <c r="AR8" s="136">
        <f>IF('Planning Template'!$F$43="",SUMIFS($G$3:$G$3001,$V$3:$V$3001,$AQ8,$B$3:$B$3001,$AM$2),SUMIFS($G$3:$G$3001,$V$3:$V$3001,$AQ8,$B$3:$B$3001,$AM$2,$N$3:$N$3001,'Planning Template'!$F$301))</f>
        <v>0</v>
      </c>
      <c r="AS8" s="136"/>
      <c r="AT8" s="137" t="str">
        <f t="shared" si="2"/>
        <v xml:space="preserve"> (0)</v>
      </c>
      <c r="AV8" s="133" t="str" cm="1">
        <f t="array" ref="AV8">IF(ROWS($AW$2:$AW7)&lt;=$AW$2,INDEX($AM$3:$AM$792,_xlfn.AGGREGATE(15,3,($AM$3:$AM$792='Planning Template'!$F$45)/($AM$3:$AM$792='Planning Template'!$F$45)*(ROW($AM$3:$AM$792)-ROW($AM$2)),ROWS($AW$2:$AW7))),"")</f>
        <v/>
      </c>
      <c r="AW8" s="134" t="str" cm="1">
        <f t="array" ref="AW8">IF(ROWS($AU$3:$AU8)&lt;=$AW$2,INDEX($AN$3:$AN$792,_xlfn.AGGREGATE(15,3,($AM$3:$AM$792='Planning Template'!$F$45)/($AM$3:$AM$792='Planning Template'!$F$45)*(ROW($AM$3:$AM$792)-ROW($AM$2)),ROWS($AU$3:$AU8))),"")</f>
        <v/>
      </c>
      <c r="AX8" s="135" t="str">
        <f>IF(AW8="","",SUMIFS(TableSSDPeopleGroups[Population], TableSSDPeopleGroups[Ctry],'Planning Template'!$F$30,TableSSDPeopleGroups[PrimaryReligion],'Planning Template'!$F$301,TableSSDPeopleGroups[PeopleCluster],'Planning Template'!$F$45,TableSSDPeopleGroups[PeopNameInCountry],$AW8))</f>
        <v/>
      </c>
      <c r="AY8" s="234" t="str">
        <f t="shared" si="3"/>
        <v/>
      </c>
    </row>
    <row r="9" spans="1:51" s="110" customFormat="1" ht="20" customHeight="1">
      <c r="A9" s="125" t="s">
        <v>1620</v>
      </c>
      <c r="B9" s="126" t="s">
        <v>61</v>
      </c>
      <c r="C9" s="127">
        <v>19250</v>
      </c>
      <c r="D9" s="163">
        <v>114965</v>
      </c>
      <c r="E9" s="164" t="s">
        <v>1994</v>
      </c>
      <c r="F9" s="164" t="s">
        <v>1994</v>
      </c>
      <c r="G9" s="165">
        <v>454000</v>
      </c>
      <c r="H9" s="165">
        <v>1</v>
      </c>
      <c r="I9" s="164" t="s">
        <v>187</v>
      </c>
      <c r="J9" s="164" t="s">
        <v>1995</v>
      </c>
      <c r="K9" s="164" t="s">
        <v>1996</v>
      </c>
      <c r="L9" s="165">
        <v>0</v>
      </c>
      <c r="M9" s="165">
        <v>2</v>
      </c>
      <c r="N9" s="164" t="s">
        <v>1718</v>
      </c>
      <c r="O9" s="165">
        <v>0.1</v>
      </c>
      <c r="P9" s="165">
        <v>0.04</v>
      </c>
      <c r="Q9" s="165">
        <v>23</v>
      </c>
      <c r="R9" s="164" t="s">
        <v>1623</v>
      </c>
      <c r="S9" s="164" t="s">
        <v>1624</v>
      </c>
      <c r="T9" s="165">
        <v>154</v>
      </c>
      <c r="U9" s="164" t="s">
        <v>1997</v>
      </c>
      <c r="V9" s="164" t="s">
        <v>1998</v>
      </c>
      <c r="W9" s="165">
        <v>2</v>
      </c>
      <c r="X9" s="165">
        <v>2</v>
      </c>
      <c r="Y9" s="164" t="s">
        <v>194</v>
      </c>
      <c r="Z9" s="164" t="s">
        <v>195</v>
      </c>
      <c r="AA9" s="164" t="s">
        <v>196</v>
      </c>
      <c r="AB9" s="164" t="s">
        <v>187</v>
      </c>
      <c r="AC9" s="164" t="s">
        <v>187</v>
      </c>
      <c r="AD9" s="165">
        <v>9</v>
      </c>
      <c r="AE9" s="164" t="s">
        <v>187</v>
      </c>
      <c r="AF9" s="165">
        <v>14.05959</v>
      </c>
      <c r="AG9" s="166">
        <v>98.326759999999993</v>
      </c>
      <c r="AI9" s="133">
        <f t="shared" si="0"/>
        <v>25</v>
      </c>
      <c r="AJ9" s="134" t="str">
        <v>Karen</v>
      </c>
      <c r="AK9" s="135">
        <f t="shared" si="1"/>
        <v>2905400</v>
      </c>
      <c r="AM9" s="133" t="str" cm="1">
        <f t="array" ref="AM9">IF(ROWS($AN$2:$AN8)&lt;=$AN$2,INDEX($V$3:$V$3000,_xlfn.AGGREGATE(15,3,($B$3:$B$3000=$AM$2)/($B$3:$B$3000=$AM$2)*(ROW($B$3:$B$3000)-ROW($B$2)),ROWS($AN$2:$AN8))),"")</f>
        <v/>
      </c>
      <c r="AN9" s="134" t="str" cm="1">
        <f t="array" ref="AN9">IF(ROWS($AN$2:$AN8)&lt;=$AN$2,INDEX($F$3:$F$3000,_xlfn.AGGREGATE(15,3,($B$3:$B$3000=$AM$2)/($B$3:$B$3000=$AM$2)*(ROW($B$3:$B$3000)-ROW($B$2)),ROWS($AN$2:$AN8))),"")</f>
        <v/>
      </c>
      <c r="AO9" s="135" t="str" cm="1">
        <f t="array" ref="AO9">IF(ROWS($AN$2:$AN8)&lt;=$AN$2,INDEX($G$3:$G$3000,_xlfn.AGGREGATE(15,3,($B$3:$B$3000=$AM$2)/($B$3:$B$3000=$AM$2)*(ROW($B$3:$B$3000)-ROW($B$2)),ROWS($AN$2:$AN8))),"")</f>
        <v/>
      </c>
      <c r="AP9" s="121"/>
      <c r="AQ9" s="133"/>
      <c r="AR9" s="136">
        <f>IF('Planning Template'!$F$43="",SUMIFS($G$3:$G$3001,$V$3:$V$3001,$AQ9,$B$3:$B$3001,$AM$2),SUMIFS($G$3:$G$3001,$V$3:$V$3001,$AQ9,$B$3:$B$3001,$AM$2,$N$3:$N$3001,'Planning Template'!$F$301))</f>
        <v>0</v>
      </c>
      <c r="AS9" s="136"/>
      <c r="AT9" s="137" t="str">
        <f t="shared" si="2"/>
        <v xml:space="preserve"> (0)</v>
      </c>
      <c r="AV9" s="133" t="str" cm="1">
        <f t="array" ref="AV9">IF(ROWS($AW$2:$AW8)&lt;=$AW$2,INDEX($AM$3:$AM$792,_xlfn.AGGREGATE(15,3,($AM$3:$AM$792='Planning Template'!$F$45)/($AM$3:$AM$792='Planning Template'!$F$45)*(ROW($AM$3:$AM$792)-ROW($AM$2)),ROWS($AW$2:$AW8))),"")</f>
        <v/>
      </c>
      <c r="AW9" s="134" t="str" cm="1">
        <f t="array" ref="AW9">IF(ROWS($AU$3:$AU9)&lt;=$AW$2,INDEX($AN$3:$AN$792,_xlfn.AGGREGATE(15,3,($AM$3:$AM$792='Planning Template'!$F$45)/($AM$3:$AM$792='Planning Template'!$F$45)*(ROW($AM$3:$AM$792)-ROW($AM$2)),ROWS($AU$3:$AU9))),"")</f>
        <v/>
      </c>
      <c r="AX9" s="135" t="str">
        <f>IF(AW9="","",SUMIFS(TableSSDPeopleGroups[Population], TableSSDPeopleGroups[Ctry],'Planning Template'!$F$30,TableSSDPeopleGroups[PrimaryReligion],'Planning Template'!$F$301,TableSSDPeopleGroups[PeopleCluster],'Planning Template'!$F$45,TableSSDPeopleGroups[PeopNameInCountry],$AW9))</f>
        <v/>
      </c>
      <c r="AY9" s="234" t="str">
        <f t="shared" si="3"/>
        <v/>
      </c>
    </row>
    <row r="10" spans="1:51" s="110" customFormat="1" ht="20" customHeight="1">
      <c r="A10" s="125" t="s">
        <v>1620</v>
      </c>
      <c r="B10" s="126" t="s">
        <v>61</v>
      </c>
      <c r="C10" s="127">
        <v>11312</v>
      </c>
      <c r="D10" s="163">
        <v>102049</v>
      </c>
      <c r="E10" s="164" t="s">
        <v>4716</v>
      </c>
      <c r="F10" s="164" t="s">
        <v>4716</v>
      </c>
      <c r="G10" s="165">
        <v>182000</v>
      </c>
      <c r="H10" s="165">
        <v>1</v>
      </c>
      <c r="I10" s="164" t="s">
        <v>187</v>
      </c>
      <c r="J10" s="164" t="s">
        <v>1966</v>
      </c>
      <c r="K10" s="164" t="s">
        <v>1967</v>
      </c>
      <c r="L10" s="165">
        <v>3</v>
      </c>
      <c r="M10" s="165">
        <v>2</v>
      </c>
      <c r="N10" s="164" t="s">
        <v>1718</v>
      </c>
      <c r="O10" s="165">
        <v>0.10199999999999999</v>
      </c>
      <c r="P10" s="165">
        <v>7.2999999999999995E-2</v>
      </c>
      <c r="Q10" s="165">
        <v>23</v>
      </c>
      <c r="R10" s="164" t="s">
        <v>1623</v>
      </c>
      <c r="S10" s="164" t="s">
        <v>1624</v>
      </c>
      <c r="T10" s="165">
        <v>154</v>
      </c>
      <c r="U10" s="164" t="s">
        <v>1997</v>
      </c>
      <c r="V10" s="164" t="s">
        <v>1998</v>
      </c>
      <c r="W10" s="165">
        <v>1</v>
      </c>
      <c r="X10" s="165">
        <v>2</v>
      </c>
      <c r="Y10" s="164" t="s">
        <v>194</v>
      </c>
      <c r="Z10" s="164" t="s">
        <v>195</v>
      </c>
      <c r="AA10" s="164" t="s">
        <v>196</v>
      </c>
      <c r="AB10" s="164" t="s">
        <v>187</v>
      </c>
      <c r="AC10" s="164" t="s">
        <v>187</v>
      </c>
      <c r="AD10" s="165">
        <v>4</v>
      </c>
      <c r="AE10" s="164" t="s">
        <v>209</v>
      </c>
      <c r="AF10" s="165">
        <v>20.065339999999999</v>
      </c>
      <c r="AG10" s="166">
        <v>96.245679999999993</v>
      </c>
      <c r="AI10" s="133">
        <f t="shared" si="0"/>
        <v>6</v>
      </c>
      <c r="AJ10" s="134" t="str">
        <v>Korean</v>
      </c>
      <c r="AK10" s="135">
        <f t="shared" si="1"/>
        <v>136500</v>
      </c>
      <c r="AM10" s="133" t="str" cm="1">
        <f t="array" ref="AM10">IF(ROWS($AN$2:$AN9)&lt;=$AN$2,INDEX($V$3:$V$3000,_xlfn.AGGREGATE(15,3,($B$3:$B$3000=$AM$2)/($B$3:$B$3000=$AM$2)*(ROW($B$3:$B$3000)-ROW($B$2)),ROWS($AN$2:$AN9))),"")</f>
        <v/>
      </c>
      <c r="AN10" s="134" t="str" cm="1">
        <f t="array" ref="AN10">IF(ROWS($AN$2:$AN9)&lt;=$AN$2,INDEX($F$3:$F$3000,_xlfn.AGGREGATE(15,3,($B$3:$B$3000=$AM$2)/($B$3:$B$3000=$AM$2)*(ROW($B$3:$B$3000)-ROW($B$2)),ROWS($AN$2:$AN9))),"")</f>
        <v/>
      </c>
      <c r="AO10" s="135" t="str" cm="1">
        <f t="array" ref="AO10">IF(ROWS($AN$2:$AN9)&lt;=$AN$2,INDEX($G$3:$G$3000,_xlfn.AGGREGATE(15,3,($B$3:$B$3000=$AM$2)/($B$3:$B$3000=$AM$2)*(ROW($B$3:$B$3000)-ROW($B$2)),ROWS($AN$2:$AN9))),"")</f>
        <v/>
      </c>
      <c r="AP10" s="121"/>
      <c r="AQ10" s="133"/>
      <c r="AR10" s="136">
        <f>IF('Planning Template'!$F$43="",SUMIFS($G$3:$G$3001,$V$3:$V$3001,$AQ10,$B$3:$B$3001,$AM$2),SUMIFS($G$3:$G$3001,$V$3:$V$3001,$AQ10,$B$3:$B$3001,$AM$2,$N$3:$N$3001,'Planning Template'!$F$301))</f>
        <v>0</v>
      </c>
      <c r="AS10" s="136"/>
      <c r="AT10" s="137" t="str">
        <f t="shared" si="2"/>
        <v xml:space="preserve"> (0)</v>
      </c>
      <c r="AV10" s="133" t="str" cm="1">
        <f t="array" ref="AV10">IF(ROWS($AW$2:$AW9)&lt;=$AW$2,INDEX($AM$3:$AM$792,_xlfn.AGGREGATE(15,3,($AM$3:$AM$792='Planning Template'!$F$45)/($AM$3:$AM$792='Planning Template'!$F$45)*(ROW($AM$3:$AM$792)-ROW($AM$2)),ROWS($AW$2:$AW9))),"")</f>
        <v/>
      </c>
      <c r="AW10" s="134" t="str" cm="1">
        <f t="array" ref="AW10">IF(ROWS($AU$3:$AU10)&lt;=$AW$2,INDEX($AN$3:$AN$792,_xlfn.AGGREGATE(15,3,($AM$3:$AM$792='Planning Template'!$F$45)/($AM$3:$AM$792='Planning Template'!$F$45)*(ROW($AM$3:$AM$792)-ROW($AM$2)),ROWS($AU$3:$AU10))),"")</f>
        <v/>
      </c>
      <c r="AX10" s="135" t="str">
        <f>IF(AW10="","",SUMIFS(TableSSDPeopleGroups[Population], TableSSDPeopleGroups[Ctry],'Planning Template'!$F$30,TableSSDPeopleGroups[PrimaryReligion],'Planning Template'!$F$301,TableSSDPeopleGroups[PeopleCluster],'Planning Template'!$F$45,TableSSDPeopleGroups[PeopNameInCountry],$AW10))</f>
        <v/>
      </c>
      <c r="AY10" s="234" t="str">
        <f t="shared" si="3"/>
        <v/>
      </c>
    </row>
    <row r="11" spans="1:51" s="110" customFormat="1" ht="20" customHeight="1">
      <c r="A11" s="125" t="s">
        <v>1620</v>
      </c>
      <c r="B11" s="126" t="s">
        <v>61</v>
      </c>
      <c r="C11" s="127">
        <v>12237</v>
      </c>
      <c r="D11" s="163">
        <v>104040</v>
      </c>
      <c r="E11" s="164" t="s">
        <v>4611</v>
      </c>
      <c r="F11" s="164" t="s">
        <v>4611</v>
      </c>
      <c r="G11" s="165">
        <v>102000</v>
      </c>
      <c r="H11" s="165">
        <v>1</v>
      </c>
      <c r="I11" s="164" t="s">
        <v>187</v>
      </c>
      <c r="J11" s="164" t="s">
        <v>4612</v>
      </c>
      <c r="K11" s="164" t="s">
        <v>4611</v>
      </c>
      <c r="L11" s="165">
        <v>1</v>
      </c>
      <c r="M11" s="165">
        <v>2</v>
      </c>
      <c r="N11" s="164" t="s">
        <v>1718</v>
      </c>
      <c r="O11" s="165">
        <v>0.10299999999999999</v>
      </c>
      <c r="P11" s="165">
        <v>7.0000000000000007E-2</v>
      </c>
      <c r="Q11" s="165">
        <v>23</v>
      </c>
      <c r="R11" s="164" t="s">
        <v>1623</v>
      </c>
      <c r="S11" s="164" t="s">
        <v>1624</v>
      </c>
      <c r="T11" s="165">
        <v>154</v>
      </c>
      <c r="U11" s="164" t="s">
        <v>1997</v>
      </c>
      <c r="V11" s="164" t="s">
        <v>1998</v>
      </c>
      <c r="W11" s="165">
        <v>1</v>
      </c>
      <c r="X11" s="165">
        <v>2</v>
      </c>
      <c r="Y11" s="164" t="s">
        <v>194</v>
      </c>
      <c r="Z11" s="164" t="s">
        <v>195</v>
      </c>
      <c r="AA11" s="164" t="s">
        <v>196</v>
      </c>
      <c r="AB11" s="164" t="s">
        <v>187</v>
      </c>
      <c r="AC11" s="164" t="s">
        <v>187</v>
      </c>
      <c r="AD11" s="165">
        <v>2</v>
      </c>
      <c r="AE11" s="164" t="s">
        <v>209</v>
      </c>
      <c r="AF11" s="165">
        <v>20.3920399996463</v>
      </c>
      <c r="AG11" s="166">
        <v>96.938820000342702</v>
      </c>
      <c r="AI11" s="133">
        <f t="shared" si="0"/>
        <v>42</v>
      </c>
      <c r="AJ11" s="134" t="str">
        <v>Kuki-Chin-Lushai</v>
      </c>
      <c r="AK11" s="135">
        <f t="shared" si="1"/>
        <v>1129400</v>
      </c>
      <c r="AM11" s="133" t="str" cm="1">
        <f t="array" ref="AM11">IF(ROWS($AN$2:$AN10)&lt;=$AN$2,INDEX($V$3:$V$3000,_xlfn.AGGREGATE(15,3,($B$3:$B$3000=$AM$2)/($B$3:$B$3000=$AM$2)*(ROW($B$3:$B$3000)-ROW($B$2)),ROWS($AN$2:$AN10))),"")</f>
        <v/>
      </c>
      <c r="AN11" s="134" t="str" cm="1">
        <f t="array" ref="AN11">IF(ROWS($AN$2:$AN10)&lt;=$AN$2,INDEX($F$3:$F$3000,_xlfn.AGGREGATE(15,3,($B$3:$B$3000=$AM$2)/($B$3:$B$3000=$AM$2)*(ROW($B$3:$B$3000)-ROW($B$2)),ROWS($AN$2:$AN10))),"")</f>
        <v/>
      </c>
      <c r="AO11" s="135" t="str" cm="1">
        <f t="array" ref="AO11">IF(ROWS($AN$2:$AN10)&lt;=$AN$2,INDEX($G$3:$G$3000,_xlfn.AGGREGATE(15,3,($B$3:$B$3000=$AM$2)/($B$3:$B$3000=$AM$2)*(ROW($B$3:$B$3000)-ROW($B$2)),ROWS($AN$2:$AN10))),"")</f>
        <v/>
      </c>
      <c r="AP11" s="121"/>
      <c r="AQ11" s="133"/>
      <c r="AR11" s="136">
        <f>IF('Planning Template'!$F$43="",SUMIFS($G$3:$G$3001,$V$3:$V$3001,$AQ11,$B$3:$B$3001,$AM$2),SUMIFS($G$3:$G$3001,$V$3:$V$3001,$AQ11,$B$3:$B$3001,$AM$2,$N$3:$N$3001,'Planning Template'!$F$301))</f>
        <v>0</v>
      </c>
      <c r="AS11" s="136"/>
      <c r="AT11" s="137" t="str">
        <f t="shared" si="2"/>
        <v xml:space="preserve"> (0)</v>
      </c>
      <c r="AV11" s="133" t="str" cm="1">
        <f t="array" ref="AV11">IF(ROWS($AW$2:$AW10)&lt;=$AW$2,INDEX($AM$3:$AM$792,_xlfn.AGGREGATE(15,3,($AM$3:$AM$792='Planning Template'!$F$45)/($AM$3:$AM$792='Planning Template'!$F$45)*(ROW($AM$3:$AM$792)-ROW($AM$2)),ROWS($AW$2:$AW10))),"")</f>
        <v/>
      </c>
      <c r="AW11" s="134" t="str" cm="1">
        <f t="array" ref="AW11">IF(ROWS($AU$3:$AU11)&lt;=$AW$2,INDEX($AN$3:$AN$792,_xlfn.AGGREGATE(15,3,($AM$3:$AM$792='Planning Template'!$F$45)/($AM$3:$AM$792='Planning Template'!$F$45)*(ROW($AM$3:$AM$792)-ROW($AM$2)),ROWS($AU$3:$AU11))),"")</f>
        <v/>
      </c>
      <c r="AX11" s="135" t="str">
        <f>IF(AW11="","",SUMIFS(TableSSDPeopleGroups[Population], TableSSDPeopleGroups[Ctry],'Planning Template'!$F$30,TableSSDPeopleGroups[PrimaryReligion],'Planning Template'!$F$301,TableSSDPeopleGroups[PeopleCluster],'Planning Template'!$F$45,TableSSDPeopleGroups[PeopNameInCountry],$AW11))</f>
        <v/>
      </c>
      <c r="AY11" s="234" t="str">
        <f t="shared" si="3"/>
        <v/>
      </c>
    </row>
    <row r="12" spans="1:51" s="110" customFormat="1" ht="20" customHeight="1">
      <c r="A12" s="125" t="s">
        <v>1620</v>
      </c>
      <c r="B12" s="126" t="s">
        <v>61</v>
      </c>
      <c r="C12" s="127">
        <v>15290</v>
      </c>
      <c r="D12" s="163">
        <v>109884</v>
      </c>
      <c r="E12" s="164" t="s">
        <v>4396</v>
      </c>
      <c r="F12" s="164" t="s">
        <v>4396</v>
      </c>
      <c r="G12" s="165">
        <v>45000</v>
      </c>
      <c r="H12" s="165">
        <v>1</v>
      </c>
      <c r="I12" s="164" t="s">
        <v>187</v>
      </c>
      <c r="J12" s="164" t="s">
        <v>4397</v>
      </c>
      <c r="K12" s="164" t="s">
        <v>4396</v>
      </c>
      <c r="L12" s="165">
        <v>2</v>
      </c>
      <c r="M12" s="165">
        <v>2</v>
      </c>
      <c r="N12" s="164" t="s">
        <v>1718</v>
      </c>
      <c r="O12" s="165">
        <v>0.6</v>
      </c>
      <c r="P12" s="165">
        <v>0.4</v>
      </c>
      <c r="Q12" s="165">
        <v>23</v>
      </c>
      <c r="R12" s="164" t="s">
        <v>1623</v>
      </c>
      <c r="S12" s="164" t="s">
        <v>1624</v>
      </c>
      <c r="T12" s="165">
        <v>154</v>
      </c>
      <c r="U12" s="164" t="s">
        <v>1997</v>
      </c>
      <c r="V12" s="164" t="s">
        <v>1998</v>
      </c>
      <c r="W12" s="165">
        <v>1</v>
      </c>
      <c r="X12" s="165">
        <v>2</v>
      </c>
      <c r="Y12" s="164" t="s">
        <v>194</v>
      </c>
      <c r="Z12" s="164" t="s">
        <v>195</v>
      </c>
      <c r="AA12" s="164" t="s">
        <v>196</v>
      </c>
      <c r="AB12" s="164" t="s">
        <v>187</v>
      </c>
      <c r="AC12" s="164" t="s">
        <v>187</v>
      </c>
      <c r="AD12" s="165">
        <v>1</v>
      </c>
      <c r="AE12" s="164" t="s">
        <v>209</v>
      </c>
      <c r="AF12" s="165">
        <v>20.410389999598799</v>
      </c>
      <c r="AG12" s="166">
        <v>96.7400800003917</v>
      </c>
      <c r="AI12" s="133">
        <f t="shared" si="0"/>
        <v>11</v>
      </c>
      <c r="AJ12" s="134" t="str">
        <v>Lao</v>
      </c>
      <c r="AK12" s="135">
        <f t="shared" si="1"/>
        <v>3618400</v>
      </c>
      <c r="AM12" s="133" t="str" cm="1">
        <f t="array" ref="AM12">IF(ROWS($AN$2:$AN11)&lt;=$AN$2,INDEX($V$3:$V$3000,_xlfn.AGGREGATE(15,3,($B$3:$B$3000=$AM$2)/($B$3:$B$3000=$AM$2)*(ROW($B$3:$B$3000)-ROW($B$2)),ROWS($AN$2:$AN11))),"")</f>
        <v/>
      </c>
      <c r="AN12" s="134" t="str" cm="1">
        <f t="array" ref="AN12">IF(ROWS($AN$2:$AN11)&lt;=$AN$2,INDEX($F$3:$F$3000,_xlfn.AGGREGATE(15,3,($B$3:$B$3000=$AM$2)/($B$3:$B$3000=$AM$2)*(ROW($B$3:$B$3000)-ROW($B$2)),ROWS($AN$2:$AN11))),"")</f>
        <v/>
      </c>
      <c r="AO12" s="135" t="str" cm="1">
        <f t="array" ref="AO12">IF(ROWS($AN$2:$AN11)&lt;=$AN$2,INDEX($G$3:$G$3000,_xlfn.AGGREGATE(15,3,($B$3:$B$3000=$AM$2)/($B$3:$B$3000=$AM$2)*(ROW($B$3:$B$3000)-ROW($B$2)),ROWS($AN$2:$AN11))),"")</f>
        <v/>
      </c>
      <c r="AP12" s="121"/>
      <c r="AQ12" s="133"/>
      <c r="AR12" s="136">
        <f>IF('Planning Template'!$F$43="",SUMIFS($G$3:$G$3001,$V$3:$V$3001,$AQ12,$B$3:$B$3001,$AM$2),SUMIFS($G$3:$G$3001,$V$3:$V$3001,$AQ12,$B$3:$B$3001,$AM$2,$N$3:$N$3001,'Planning Template'!$F$301))</f>
        <v>0</v>
      </c>
      <c r="AS12" s="136"/>
      <c r="AT12" s="137" t="str">
        <f t="shared" si="2"/>
        <v xml:space="preserve"> (0)</v>
      </c>
      <c r="AV12" s="133" t="str" cm="1">
        <f t="array" ref="AV12">IF(ROWS($AW$2:$AW11)&lt;=$AW$2,INDEX($AM$3:$AM$792,_xlfn.AGGREGATE(15,3,($AM$3:$AM$792='Planning Template'!$F$45)/($AM$3:$AM$792='Planning Template'!$F$45)*(ROW($AM$3:$AM$792)-ROW($AM$2)),ROWS($AW$2:$AW11))),"")</f>
        <v/>
      </c>
      <c r="AW12" s="134" t="str" cm="1">
        <f t="array" ref="AW12">IF(ROWS($AU$3:$AU12)&lt;=$AW$2,INDEX($AN$3:$AN$792,_xlfn.AGGREGATE(15,3,($AM$3:$AM$792='Planning Template'!$F$45)/($AM$3:$AM$792='Planning Template'!$F$45)*(ROW($AM$3:$AM$792)-ROW($AM$2)),ROWS($AU$3:$AU12))),"")</f>
        <v/>
      </c>
      <c r="AX12" s="135" t="str">
        <f>IF(AW12="","",SUMIFS(TableSSDPeopleGroups[Population], TableSSDPeopleGroups[Ctry],'Planning Template'!$F$30,TableSSDPeopleGroups[PrimaryReligion],'Planning Template'!$F$301,TableSSDPeopleGroups[PeopleCluster],'Planning Template'!$F$45,TableSSDPeopleGroups[PeopNameInCountry],$AW12))</f>
        <v/>
      </c>
      <c r="AY12" s="234" t="str">
        <f t="shared" si="3"/>
        <v/>
      </c>
    </row>
    <row r="13" spans="1:51" s="110" customFormat="1" ht="20" customHeight="1">
      <c r="A13" s="125" t="s">
        <v>1620</v>
      </c>
      <c r="B13" s="126" t="s">
        <v>61</v>
      </c>
      <c r="C13" s="127">
        <v>18998</v>
      </c>
      <c r="D13" s="163">
        <v>115322</v>
      </c>
      <c r="E13" s="164" t="s">
        <v>4063</v>
      </c>
      <c r="F13" s="164" t="s">
        <v>4063</v>
      </c>
      <c r="G13" s="165">
        <v>21000</v>
      </c>
      <c r="H13" s="165">
        <v>1</v>
      </c>
      <c r="I13" s="164" t="s">
        <v>187</v>
      </c>
      <c r="J13" s="164" t="s">
        <v>2043</v>
      </c>
      <c r="K13" s="164" t="s">
        <v>1998</v>
      </c>
      <c r="L13" s="165">
        <v>5</v>
      </c>
      <c r="M13" s="165">
        <v>2</v>
      </c>
      <c r="N13" s="164" t="s">
        <v>1718</v>
      </c>
      <c r="O13" s="165">
        <v>0</v>
      </c>
      <c r="P13" s="165">
        <v>0</v>
      </c>
      <c r="Q13" s="165">
        <v>23</v>
      </c>
      <c r="R13" s="164" t="s">
        <v>1623</v>
      </c>
      <c r="S13" s="164" t="s">
        <v>1624</v>
      </c>
      <c r="T13" s="165">
        <v>154</v>
      </c>
      <c r="U13" s="164" t="s">
        <v>1997</v>
      </c>
      <c r="V13" s="164" t="s">
        <v>1998</v>
      </c>
      <c r="W13" s="165">
        <v>1</v>
      </c>
      <c r="X13" s="165">
        <v>2</v>
      </c>
      <c r="Y13" s="164" t="s">
        <v>194</v>
      </c>
      <c r="Z13" s="164" t="s">
        <v>195</v>
      </c>
      <c r="AA13" s="164" t="s">
        <v>196</v>
      </c>
      <c r="AB13" s="164" t="s">
        <v>187</v>
      </c>
      <c r="AC13" s="164" t="s">
        <v>187</v>
      </c>
      <c r="AD13" s="165">
        <v>1</v>
      </c>
      <c r="AE13" s="164" t="s">
        <v>187</v>
      </c>
      <c r="AF13" s="165">
        <v>20.29805</v>
      </c>
      <c r="AG13" s="166">
        <v>95.788560000000004</v>
      </c>
      <c r="AI13" s="133">
        <f t="shared" si="0"/>
        <v>174</v>
      </c>
      <c r="AJ13" s="134" t="str">
        <v>Mon-Khmer</v>
      </c>
      <c r="AK13" s="135">
        <f t="shared" si="1"/>
        <v>25536000</v>
      </c>
      <c r="AM13" s="133" t="str" cm="1">
        <f t="array" ref="AM13">IF(ROWS($AN$2:$AN12)&lt;=$AN$2,INDEX($V$3:$V$3000,_xlfn.AGGREGATE(15,3,($B$3:$B$3000=$AM$2)/($B$3:$B$3000=$AM$2)*(ROW($B$3:$B$3000)-ROW($B$2)),ROWS($AN$2:$AN12))),"")</f>
        <v/>
      </c>
      <c r="AN13" s="134" t="str" cm="1">
        <f t="array" ref="AN13">IF(ROWS($AN$2:$AN12)&lt;=$AN$2,INDEX($F$3:$F$3000,_xlfn.AGGREGATE(15,3,($B$3:$B$3000=$AM$2)/($B$3:$B$3000=$AM$2)*(ROW($B$3:$B$3000)-ROW($B$2)),ROWS($AN$2:$AN12))),"")</f>
        <v/>
      </c>
      <c r="AO13" s="135" t="str" cm="1">
        <f t="array" ref="AO13">IF(ROWS($AN$2:$AN12)&lt;=$AN$2,INDEX($G$3:$G$3000,_xlfn.AGGREGATE(15,3,($B$3:$B$3000=$AM$2)/($B$3:$B$3000=$AM$2)*(ROW($B$3:$B$3000)-ROW($B$2)),ROWS($AN$2:$AN12))),"")</f>
        <v/>
      </c>
      <c r="AP13" s="121"/>
      <c r="AQ13" s="133"/>
      <c r="AR13" s="136">
        <f>IF('Planning Template'!$F$43="",SUMIFS($G$3:$G$3001,$V$3:$V$3001,$AQ13,$B$3:$B$3001,$AM$2),SUMIFS($G$3:$G$3001,$V$3:$V$3001,$AQ13,$B$3:$B$3001,$AM$2,$N$3:$N$3001,'Planning Template'!$F$301))</f>
        <v>0</v>
      </c>
      <c r="AS13" s="136"/>
      <c r="AT13" s="137" t="str">
        <f t="shared" si="2"/>
        <v xml:space="preserve"> (0)</v>
      </c>
      <c r="AV13" s="133" t="str" cm="1">
        <f t="array" ref="AV13">IF(ROWS($AW$2:$AW12)&lt;=$AW$2,INDEX($AM$3:$AM$792,_xlfn.AGGREGATE(15,3,($AM$3:$AM$792='Planning Template'!$F$45)/($AM$3:$AM$792='Planning Template'!$F$45)*(ROW($AM$3:$AM$792)-ROW($AM$2)),ROWS($AW$2:$AW12))),"")</f>
        <v/>
      </c>
      <c r="AW13" s="134" t="str" cm="1">
        <f t="array" ref="AW13">IF(ROWS($AU$3:$AU13)&lt;=$AW$2,INDEX($AN$3:$AN$792,_xlfn.AGGREGATE(15,3,($AM$3:$AM$792='Planning Template'!$F$45)/($AM$3:$AM$792='Planning Template'!$F$45)*(ROW($AM$3:$AM$792)-ROW($AM$2)),ROWS($AU$3:$AU13))),"")</f>
        <v/>
      </c>
      <c r="AX13" s="135" t="str">
        <f>IF(AW13="","",SUMIFS(TableSSDPeopleGroups[Population], TableSSDPeopleGroups[Ctry],'Planning Template'!$F$30,TableSSDPeopleGroups[PrimaryReligion],'Planning Template'!$F$301,TableSSDPeopleGroups[PeopleCluster],'Planning Template'!$F$45,TableSSDPeopleGroups[PeopNameInCountry],$AW13))</f>
        <v/>
      </c>
      <c r="AY13" s="234" t="str">
        <f t="shared" si="3"/>
        <v/>
      </c>
    </row>
    <row r="14" spans="1:51" s="110" customFormat="1" ht="20" customHeight="1">
      <c r="A14" s="125" t="s">
        <v>224</v>
      </c>
      <c r="B14" s="126" t="s">
        <v>68</v>
      </c>
      <c r="C14" s="127">
        <v>11029</v>
      </c>
      <c r="D14" s="163">
        <v>101776</v>
      </c>
      <c r="E14" s="164" t="s">
        <v>1998</v>
      </c>
      <c r="F14" s="164" t="s">
        <v>1998</v>
      </c>
      <c r="G14" s="165">
        <v>600</v>
      </c>
      <c r="H14" s="165">
        <v>1</v>
      </c>
      <c r="I14" s="164" t="s">
        <v>187</v>
      </c>
      <c r="J14" s="164" t="s">
        <v>2043</v>
      </c>
      <c r="K14" s="164" t="s">
        <v>1998</v>
      </c>
      <c r="L14" s="165">
        <v>5</v>
      </c>
      <c r="M14" s="165">
        <v>2</v>
      </c>
      <c r="N14" s="164" t="s">
        <v>1718</v>
      </c>
      <c r="O14" s="165">
        <v>0</v>
      </c>
      <c r="P14" s="165">
        <v>0</v>
      </c>
      <c r="Q14" s="165">
        <v>23</v>
      </c>
      <c r="R14" s="164" t="s">
        <v>1623</v>
      </c>
      <c r="S14" s="164" t="s">
        <v>1624</v>
      </c>
      <c r="T14" s="165">
        <v>154</v>
      </c>
      <c r="U14" s="164" t="s">
        <v>1997</v>
      </c>
      <c r="V14" s="164" t="s">
        <v>1998</v>
      </c>
      <c r="W14" s="165">
        <v>18</v>
      </c>
      <c r="X14" s="165">
        <v>4</v>
      </c>
      <c r="Y14" s="164" t="s">
        <v>203</v>
      </c>
      <c r="Z14" s="164" t="s">
        <v>195</v>
      </c>
      <c r="AA14" s="164" t="s">
        <v>196</v>
      </c>
      <c r="AB14" s="164" t="s">
        <v>187</v>
      </c>
      <c r="AC14" s="164" t="s">
        <v>209</v>
      </c>
      <c r="AD14" s="165">
        <v>1</v>
      </c>
      <c r="AE14" s="164" t="s">
        <v>187</v>
      </c>
      <c r="AF14" s="165">
        <v>6.915521</v>
      </c>
      <c r="AG14" s="166">
        <v>80.034485000000004</v>
      </c>
      <c r="AI14" s="133">
        <f t="shared" si="0"/>
        <v>3</v>
      </c>
      <c r="AJ14" s="134" t="str">
        <v>Shan</v>
      </c>
      <c r="AK14" s="135">
        <f t="shared" si="1"/>
        <v>4612000</v>
      </c>
      <c r="AM14" s="133" t="str" cm="1">
        <f t="array" ref="AM14">IF(ROWS($AN$2:$AN13)&lt;=$AN$2,INDEX($V$3:$V$3000,_xlfn.AGGREGATE(15,3,($B$3:$B$3000=$AM$2)/($B$3:$B$3000=$AM$2)*(ROW($B$3:$B$3000)-ROW($B$2)),ROWS($AN$2:$AN13))),"")</f>
        <v/>
      </c>
      <c r="AN14" s="134" t="str" cm="1">
        <f t="array" ref="AN14">IF(ROWS($AN$2:$AN13)&lt;=$AN$2,INDEX($F$3:$F$3000,_xlfn.AGGREGATE(15,3,($B$3:$B$3000=$AM$2)/($B$3:$B$3000=$AM$2)*(ROW($B$3:$B$3000)-ROW($B$2)),ROWS($AN$2:$AN13))),"")</f>
        <v/>
      </c>
      <c r="AO14" s="135" t="str" cm="1">
        <f t="array" ref="AO14">IF(ROWS($AN$2:$AN13)&lt;=$AN$2,INDEX($G$3:$G$3000,_xlfn.AGGREGATE(15,3,($B$3:$B$3000=$AM$2)/($B$3:$B$3000=$AM$2)*(ROW($B$3:$B$3000)-ROW($B$2)),ROWS($AN$2:$AN13))),"")</f>
        <v/>
      </c>
      <c r="AP14" s="121"/>
      <c r="AQ14" s="133"/>
      <c r="AR14" s="136">
        <f>IF('Planning Template'!$F$43="",SUMIFS($G$3:$G$3001,$V$3:$V$3001,$AQ14,$B$3:$B$3001,$AM$2),SUMIFS($G$3:$G$3001,$V$3:$V$3001,$AQ14,$B$3:$B$3001,$AM$2,$N$3:$N$3001,'Planning Template'!$F$301))</f>
        <v>0</v>
      </c>
      <c r="AS14" s="136"/>
      <c r="AT14" s="137" t="str">
        <f t="shared" si="2"/>
        <v xml:space="preserve"> (0)</v>
      </c>
      <c r="AV14" s="133" t="str" cm="1">
        <f t="array" ref="AV14">IF(ROWS($AW$2:$AW13)&lt;=$AW$2,INDEX($AM$3:$AM$792,_xlfn.AGGREGATE(15,3,($AM$3:$AM$792='Planning Template'!$F$45)/($AM$3:$AM$792='Planning Template'!$F$45)*(ROW($AM$3:$AM$792)-ROW($AM$2)),ROWS($AW$2:$AW13))),"")</f>
        <v/>
      </c>
      <c r="AW14" s="134" t="str" cm="1">
        <f t="array" ref="AW14">IF(ROWS($AU$3:$AU14)&lt;=$AW$2,INDEX($AN$3:$AN$792,_xlfn.AGGREGATE(15,3,($AM$3:$AM$792='Planning Template'!$F$45)/($AM$3:$AM$792='Planning Template'!$F$45)*(ROW($AM$3:$AM$792)-ROW($AM$2)),ROWS($AU$3:$AU14))),"")</f>
        <v/>
      </c>
      <c r="AX14" s="135" t="str">
        <f>IF(AW14="","",SUMIFS(TableSSDPeopleGroups[Population], TableSSDPeopleGroups[Ctry],'Planning Template'!$F$30,TableSSDPeopleGroups[PrimaryReligion],'Planning Template'!$F$301,TableSSDPeopleGroups[PeopleCluster],'Planning Template'!$F$45,TableSSDPeopleGroups[PeopNameInCountry],$AW14))</f>
        <v/>
      </c>
      <c r="AY14" s="234" t="str">
        <f t="shared" si="3"/>
        <v/>
      </c>
    </row>
    <row r="15" spans="1:51" s="110" customFormat="1" ht="20" customHeight="1">
      <c r="A15" s="125" t="s">
        <v>478</v>
      </c>
      <c r="B15" s="126" t="s">
        <v>56</v>
      </c>
      <c r="C15" s="127">
        <v>11029</v>
      </c>
      <c r="D15" s="163">
        <v>101776</v>
      </c>
      <c r="E15" s="164" t="s">
        <v>1998</v>
      </c>
      <c r="F15" s="164" t="s">
        <v>1998</v>
      </c>
      <c r="G15" s="165">
        <v>206000</v>
      </c>
      <c r="H15" s="165">
        <v>1</v>
      </c>
      <c r="I15" s="164" t="s">
        <v>187</v>
      </c>
      <c r="J15" s="164" t="s">
        <v>2043</v>
      </c>
      <c r="K15" s="164" t="s">
        <v>1998</v>
      </c>
      <c r="L15" s="165">
        <v>5</v>
      </c>
      <c r="M15" s="165">
        <v>2</v>
      </c>
      <c r="N15" s="164" t="s">
        <v>1718</v>
      </c>
      <c r="O15" s="165">
        <v>0.4</v>
      </c>
      <c r="P15" s="165">
        <v>0.1</v>
      </c>
      <c r="Q15" s="165">
        <v>23</v>
      </c>
      <c r="R15" s="164" t="s">
        <v>1623</v>
      </c>
      <c r="S15" s="164" t="s">
        <v>1624</v>
      </c>
      <c r="T15" s="165">
        <v>154</v>
      </c>
      <c r="U15" s="164" t="s">
        <v>1997</v>
      </c>
      <c r="V15" s="164" t="s">
        <v>1998</v>
      </c>
      <c r="W15" s="165">
        <v>18</v>
      </c>
      <c r="X15" s="165">
        <v>2</v>
      </c>
      <c r="Y15" s="164" t="s">
        <v>194</v>
      </c>
      <c r="Z15" s="164" t="s">
        <v>195</v>
      </c>
      <c r="AA15" s="164" t="s">
        <v>196</v>
      </c>
      <c r="AB15" s="164" t="s">
        <v>187</v>
      </c>
      <c r="AC15" s="164" t="s">
        <v>209</v>
      </c>
      <c r="AD15" s="165">
        <v>4</v>
      </c>
      <c r="AE15" s="164" t="s">
        <v>209</v>
      </c>
      <c r="AF15" s="165">
        <v>20.0331356104201</v>
      </c>
      <c r="AG15" s="166">
        <v>99.299016928988095</v>
      </c>
      <c r="AI15" s="133">
        <f t="shared" si="0"/>
        <v>61</v>
      </c>
      <c r="AJ15" s="134" t="str">
        <v>South Asia Buddhist</v>
      </c>
      <c r="AK15" s="135">
        <f t="shared" si="1"/>
        <v>15988300</v>
      </c>
      <c r="AM15" s="133" t="str" cm="1">
        <f t="array" ref="AM15">IF(ROWS($AN$2:$AN14)&lt;=$AN$2,INDEX($V$3:$V$3000,_xlfn.AGGREGATE(15,3,($B$3:$B$3000=$AM$2)/($B$3:$B$3000=$AM$2)*(ROW($B$3:$B$3000)-ROW($B$2)),ROWS($AN$2:$AN14))),"")</f>
        <v/>
      </c>
      <c r="AN15" s="134" t="str" cm="1">
        <f t="array" ref="AN15">IF(ROWS($AN$2:$AN14)&lt;=$AN$2,INDEX($F$3:$F$3000,_xlfn.AGGREGATE(15,3,($B$3:$B$3000=$AM$2)/($B$3:$B$3000=$AM$2)*(ROW($B$3:$B$3000)-ROW($B$2)),ROWS($AN$2:$AN14))),"")</f>
        <v/>
      </c>
      <c r="AO15" s="135" t="str" cm="1">
        <f t="array" ref="AO15">IF(ROWS($AN$2:$AN14)&lt;=$AN$2,INDEX($G$3:$G$3000,_xlfn.AGGREGATE(15,3,($B$3:$B$3000=$AM$2)/($B$3:$B$3000=$AM$2)*(ROW($B$3:$B$3000)-ROW($B$2)),ROWS($AN$2:$AN14))),"")</f>
        <v/>
      </c>
      <c r="AP15" s="121"/>
      <c r="AQ15" s="133"/>
      <c r="AR15" s="136">
        <f>IF('Planning Template'!$F$43="",SUMIFS($G$3:$G$3001,$V$3:$V$3001,$AQ15,$B$3:$B$3001,$AM$2),SUMIFS($G$3:$G$3001,$V$3:$V$3001,$AQ15,$B$3:$B$3001,$AM$2,$N$3:$N$3001,'Planning Template'!$F$301))</f>
        <v>0</v>
      </c>
      <c r="AS15" s="136"/>
      <c r="AT15" s="137" t="str">
        <f t="shared" si="2"/>
        <v xml:space="preserve"> (0)</v>
      </c>
      <c r="AV15" s="133" t="str" cm="1">
        <f t="array" ref="AV15">IF(ROWS($AW$2:$AW14)&lt;=$AW$2,INDEX($AM$3:$AM$792,_xlfn.AGGREGATE(15,3,($AM$3:$AM$792='Planning Template'!$F$45)/($AM$3:$AM$792='Planning Template'!$F$45)*(ROW($AM$3:$AM$792)-ROW($AM$2)),ROWS($AW$2:$AW14))),"")</f>
        <v/>
      </c>
      <c r="AW15" s="134" t="str" cm="1">
        <f t="array" ref="AW15">IF(ROWS($AU$3:$AU15)&lt;=$AW$2,INDEX($AN$3:$AN$792,_xlfn.AGGREGATE(15,3,($AM$3:$AM$792='Planning Template'!$F$45)/($AM$3:$AM$792='Planning Template'!$F$45)*(ROW($AM$3:$AM$792)-ROW($AM$2)),ROWS($AU$3:$AU15))),"")</f>
        <v/>
      </c>
      <c r="AX15" s="135" t="str">
        <f>IF(AW15="","",SUMIFS(TableSSDPeopleGroups[Population], TableSSDPeopleGroups[Ctry],'Planning Template'!$F$30,TableSSDPeopleGroups[PrimaryReligion],'Planning Template'!$F$301,TableSSDPeopleGroups[PeopleCluster],'Planning Template'!$F$45,TableSSDPeopleGroups[PeopNameInCountry],$AW15))</f>
        <v/>
      </c>
      <c r="AY15" s="234" t="str">
        <f t="shared" si="3"/>
        <v/>
      </c>
    </row>
    <row r="16" spans="1:51" s="110" customFormat="1" ht="20" customHeight="1">
      <c r="A16" s="125" t="s">
        <v>478</v>
      </c>
      <c r="B16" s="126" t="s">
        <v>56</v>
      </c>
      <c r="C16" s="127">
        <v>19250</v>
      </c>
      <c r="D16" s="163">
        <v>114965</v>
      </c>
      <c r="E16" s="164" t="s">
        <v>1994</v>
      </c>
      <c r="F16" s="164" t="s">
        <v>1994</v>
      </c>
      <c r="G16" s="165">
        <v>500</v>
      </c>
      <c r="H16" s="165">
        <v>1</v>
      </c>
      <c r="I16" s="164" t="s">
        <v>187</v>
      </c>
      <c r="J16" s="164" t="s">
        <v>1995</v>
      </c>
      <c r="K16" s="164" t="s">
        <v>1996</v>
      </c>
      <c r="L16" s="165">
        <v>0</v>
      </c>
      <c r="M16" s="165">
        <v>2</v>
      </c>
      <c r="N16" s="164" t="s">
        <v>1718</v>
      </c>
      <c r="O16" s="165">
        <v>0</v>
      </c>
      <c r="P16" s="165">
        <v>0</v>
      </c>
      <c r="Q16" s="165">
        <v>23</v>
      </c>
      <c r="R16" s="164" t="s">
        <v>1623</v>
      </c>
      <c r="S16" s="164" t="s">
        <v>1624</v>
      </c>
      <c r="T16" s="165">
        <v>154</v>
      </c>
      <c r="U16" s="164" t="s">
        <v>1997</v>
      </c>
      <c r="V16" s="164" t="s">
        <v>1998</v>
      </c>
      <c r="W16" s="165">
        <v>2</v>
      </c>
      <c r="X16" s="165">
        <v>2</v>
      </c>
      <c r="Y16" s="164" t="s">
        <v>194</v>
      </c>
      <c r="Z16" s="164" t="s">
        <v>195</v>
      </c>
      <c r="AA16" s="164" t="s">
        <v>196</v>
      </c>
      <c r="AB16" s="164" t="s">
        <v>187</v>
      </c>
      <c r="AC16" s="164" t="s">
        <v>209</v>
      </c>
      <c r="AD16" s="165">
        <v>1</v>
      </c>
      <c r="AE16" s="164" t="s">
        <v>187</v>
      </c>
      <c r="AF16" s="165">
        <v>13.749397</v>
      </c>
      <c r="AG16" s="166">
        <v>100.473399</v>
      </c>
      <c r="AI16" s="133">
        <f t="shared" si="0"/>
        <v>93</v>
      </c>
      <c r="AJ16" s="134" t="str">
        <v>South Asia Tribal - other</v>
      </c>
      <c r="AK16" s="135">
        <f t="shared" si="1"/>
        <v>10272900</v>
      </c>
      <c r="AM16" s="133" t="str" cm="1">
        <f t="array" ref="AM16">IF(ROWS($AN$2:$AN15)&lt;=$AN$2,INDEX($V$3:$V$3000,_xlfn.AGGREGATE(15,3,($B$3:$B$3000=$AM$2)/($B$3:$B$3000=$AM$2)*(ROW($B$3:$B$3000)-ROW($B$2)),ROWS($AN$2:$AN15))),"")</f>
        <v/>
      </c>
      <c r="AN16" s="134" t="str" cm="1">
        <f t="array" ref="AN16">IF(ROWS($AN$2:$AN15)&lt;=$AN$2,INDEX($F$3:$F$3000,_xlfn.AGGREGATE(15,3,($B$3:$B$3000=$AM$2)/($B$3:$B$3000=$AM$2)*(ROW($B$3:$B$3000)-ROW($B$2)),ROWS($AN$2:$AN15))),"")</f>
        <v/>
      </c>
      <c r="AO16" s="135" t="str" cm="1">
        <f t="array" ref="AO16">IF(ROWS($AN$2:$AN15)&lt;=$AN$2,INDEX($G$3:$G$3000,_xlfn.AGGREGATE(15,3,($B$3:$B$3000=$AM$2)/($B$3:$B$3000=$AM$2)*(ROW($B$3:$B$3000)-ROW($B$2)),ROWS($AN$2:$AN15))),"")</f>
        <v/>
      </c>
      <c r="AP16" s="121"/>
      <c r="AQ16" s="133"/>
      <c r="AR16" s="136">
        <f>IF('Planning Template'!$F$43="",SUMIFS($G$3:$G$3001,$V$3:$V$3001,$AQ16,$B$3:$B$3001,$AM$2),SUMIFS($G$3:$G$3001,$V$3:$V$3001,$AQ16,$B$3:$B$3001,$AM$2,$N$3:$N$3001,'Planning Template'!$F$301))</f>
        <v>0</v>
      </c>
      <c r="AS16" s="136"/>
      <c r="AT16" s="137" t="str">
        <f t="shared" si="2"/>
        <v xml:space="preserve"> (0)</v>
      </c>
      <c r="AV16" s="133" t="str" cm="1">
        <f t="array" ref="AV16">IF(ROWS($AW$2:$AW15)&lt;=$AW$2,INDEX($AM$3:$AM$792,_xlfn.AGGREGATE(15,3,($AM$3:$AM$792='Planning Template'!$F$45)/($AM$3:$AM$792='Planning Template'!$F$45)*(ROW($AM$3:$AM$792)-ROW($AM$2)),ROWS($AW$2:$AW15))),"")</f>
        <v/>
      </c>
      <c r="AW16" s="134" t="str" cm="1">
        <f t="array" ref="AW16">IF(ROWS($AU$3:$AU16)&lt;=$AW$2,INDEX($AN$3:$AN$792,_xlfn.AGGREGATE(15,3,($AM$3:$AM$792='Planning Template'!$F$45)/($AM$3:$AM$792='Planning Template'!$F$45)*(ROW($AM$3:$AM$792)-ROW($AM$2)),ROWS($AU$3:$AU16))),"")</f>
        <v/>
      </c>
      <c r="AX16" s="135" t="str">
        <f>IF(AW16="","",SUMIFS(TableSSDPeopleGroups[Population], TableSSDPeopleGroups[Ctry],'Planning Template'!$F$30,TableSSDPeopleGroups[PrimaryReligion],'Planning Template'!$F$301,TableSSDPeopleGroups[PeopleCluster],'Planning Template'!$F$45,TableSSDPeopleGroups[PeopNameInCountry],$AW16))</f>
        <v/>
      </c>
      <c r="AY16" s="234" t="str">
        <f t="shared" si="3"/>
        <v/>
      </c>
    </row>
    <row r="17" spans="1:51" s="110" customFormat="1" ht="20" customHeight="1">
      <c r="A17" s="125" t="s">
        <v>480</v>
      </c>
      <c r="B17" s="126" t="s">
        <v>63</v>
      </c>
      <c r="C17" s="127">
        <v>21073</v>
      </c>
      <c r="D17" s="163">
        <v>117903</v>
      </c>
      <c r="E17" s="164" t="s">
        <v>2001</v>
      </c>
      <c r="F17" s="164" t="s">
        <v>2001</v>
      </c>
      <c r="G17" s="165">
        <v>500</v>
      </c>
      <c r="H17" s="165">
        <v>1</v>
      </c>
      <c r="I17" s="164" t="s">
        <v>187</v>
      </c>
      <c r="J17" s="164" t="s">
        <v>2002</v>
      </c>
      <c r="K17" s="164" t="s">
        <v>2003</v>
      </c>
      <c r="L17" s="165">
        <v>5</v>
      </c>
      <c r="M17" s="165">
        <v>2</v>
      </c>
      <c r="N17" s="164" t="s">
        <v>1718</v>
      </c>
      <c r="O17" s="165">
        <v>3</v>
      </c>
      <c r="P17" s="165">
        <v>1</v>
      </c>
      <c r="Q17" s="165">
        <v>20</v>
      </c>
      <c r="R17" s="164" t="s">
        <v>574</v>
      </c>
      <c r="S17" s="164" t="s">
        <v>575</v>
      </c>
      <c r="T17" s="165">
        <v>160</v>
      </c>
      <c r="U17" s="164" t="s">
        <v>576</v>
      </c>
      <c r="V17" s="164" t="s">
        <v>577</v>
      </c>
      <c r="W17" s="165">
        <v>1</v>
      </c>
      <c r="X17" s="165">
        <v>2</v>
      </c>
      <c r="Y17" s="164" t="s">
        <v>194</v>
      </c>
      <c r="Z17" s="164" t="s">
        <v>195</v>
      </c>
      <c r="AA17" s="164" t="s">
        <v>196</v>
      </c>
      <c r="AB17" s="164" t="s">
        <v>187</v>
      </c>
      <c r="AC17" s="164" t="s">
        <v>187</v>
      </c>
      <c r="AD17" s="165">
        <v>1</v>
      </c>
      <c r="AE17" s="164" t="s">
        <v>209</v>
      </c>
      <c r="AF17" s="165">
        <v>12.485112000000001</v>
      </c>
      <c r="AG17" s="166">
        <v>108.031887</v>
      </c>
      <c r="AI17" s="133">
        <f t="shared" si="0"/>
        <v>55</v>
      </c>
      <c r="AJ17" s="134" t="str">
        <v>Tai</v>
      </c>
      <c r="AK17" s="135">
        <f t="shared" si="1"/>
        <v>4046100</v>
      </c>
      <c r="AM17" s="133" t="str" cm="1">
        <f t="array" ref="AM17">IF(ROWS($AN$2:$AN16)&lt;=$AN$2,INDEX($V$3:$V$3000,_xlfn.AGGREGATE(15,3,($B$3:$B$3000=$AM$2)/($B$3:$B$3000=$AM$2)*(ROW($B$3:$B$3000)-ROW($B$2)),ROWS($AN$2:$AN16))),"")</f>
        <v/>
      </c>
      <c r="AN17" s="134" t="str" cm="1">
        <f t="array" ref="AN17">IF(ROWS($AN$2:$AN16)&lt;=$AN$2,INDEX($F$3:$F$3000,_xlfn.AGGREGATE(15,3,($B$3:$B$3000=$AM$2)/($B$3:$B$3000=$AM$2)*(ROW($B$3:$B$3000)-ROW($B$2)),ROWS($AN$2:$AN16))),"")</f>
        <v/>
      </c>
      <c r="AO17" s="135" t="str" cm="1">
        <f t="array" ref="AO17">IF(ROWS($AN$2:$AN16)&lt;=$AN$2,INDEX($G$3:$G$3000,_xlfn.AGGREGATE(15,3,($B$3:$B$3000=$AM$2)/($B$3:$B$3000=$AM$2)*(ROW($B$3:$B$3000)-ROW($B$2)),ROWS($AN$2:$AN16))),"")</f>
        <v/>
      </c>
      <c r="AP17" s="121"/>
      <c r="AQ17" s="133"/>
      <c r="AR17" s="136">
        <f>IF('Planning Template'!$F$43="",SUMIFS($G$3:$G$3001,$V$3:$V$3001,$AQ17,$B$3:$B$3001,$AM$2),SUMIFS($G$3:$G$3001,$V$3:$V$3001,$AQ17,$B$3:$B$3001,$AM$2,$N$3:$N$3001,'Planning Template'!$F$301))</f>
        <v>0</v>
      </c>
      <c r="AS17" s="136"/>
      <c r="AT17" s="137" t="str">
        <f t="shared" si="2"/>
        <v xml:space="preserve"> (0)</v>
      </c>
      <c r="AV17" s="133" t="str" cm="1">
        <f t="array" ref="AV17">IF(ROWS($AW$2:$AW16)&lt;=$AW$2,INDEX($AM$3:$AM$792,_xlfn.AGGREGATE(15,3,($AM$3:$AM$792='Planning Template'!$F$45)/($AM$3:$AM$792='Planning Template'!$F$45)*(ROW($AM$3:$AM$792)-ROW($AM$2)),ROWS($AW$2:$AW16))),"")</f>
        <v/>
      </c>
      <c r="AW17" s="134" t="str" cm="1">
        <f t="array" ref="AW17">IF(ROWS($AU$3:$AU17)&lt;=$AW$2,INDEX($AN$3:$AN$792,_xlfn.AGGREGATE(15,3,($AM$3:$AM$792='Planning Template'!$F$45)/($AM$3:$AM$792='Planning Template'!$F$45)*(ROW($AM$3:$AM$792)-ROW($AM$2)),ROWS($AU$3:$AU17))),"")</f>
        <v/>
      </c>
      <c r="AX17" s="135" t="str">
        <f>IF(AW17="","",SUMIFS(TableSSDPeopleGroups[Population], TableSSDPeopleGroups[Ctry],'Planning Template'!$F$30,TableSSDPeopleGroups[PrimaryReligion],'Planning Template'!$F$301,TableSSDPeopleGroups[PeopleCluster],'Planning Template'!$F$45,TableSSDPeopleGroups[PeopNameInCountry],$AW17))</f>
        <v/>
      </c>
      <c r="AY17" s="234" t="str">
        <f t="shared" si="3"/>
        <v/>
      </c>
    </row>
    <row r="18" spans="1:51" s="110" customFormat="1" ht="20" customHeight="1">
      <c r="A18" s="125" t="s">
        <v>486</v>
      </c>
      <c r="B18" s="126" t="s">
        <v>57</v>
      </c>
      <c r="C18" s="127">
        <v>12051</v>
      </c>
      <c r="D18" s="163">
        <v>103686</v>
      </c>
      <c r="E18" s="164" t="s">
        <v>2389</v>
      </c>
      <c r="F18" s="164" t="s">
        <v>2389</v>
      </c>
      <c r="G18" s="165">
        <v>6800</v>
      </c>
      <c r="H18" s="165">
        <v>1</v>
      </c>
      <c r="I18" s="164" t="s">
        <v>187</v>
      </c>
      <c r="J18" s="164" t="s">
        <v>738</v>
      </c>
      <c r="K18" s="164" t="s">
        <v>739</v>
      </c>
      <c r="L18" s="165">
        <v>5</v>
      </c>
      <c r="M18" s="165">
        <v>2</v>
      </c>
      <c r="N18" s="164" t="s">
        <v>1718</v>
      </c>
      <c r="O18" s="165">
        <v>0</v>
      </c>
      <c r="P18" s="165">
        <v>0</v>
      </c>
      <c r="Q18" s="165">
        <v>11</v>
      </c>
      <c r="R18" s="164" t="s">
        <v>740</v>
      </c>
      <c r="S18" s="164" t="s">
        <v>741</v>
      </c>
      <c r="T18" s="165">
        <v>161</v>
      </c>
      <c r="U18" s="164" t="s">
        <v>2134</v>
      </c>
      <c r="V18" s="164" t="s">
        <v>2135</v>
      </c>
      <c r="W18" s="165">
        <v>55</v>
      </c>
      <c r="X18" s="165">
        <v>4</v>
      </c>
      <c r="Y18" s="164" t="s">
        <v>203</v>
      </c>
      <c r="Z18" s="164" t="s">
        <v>195</v>
      </c>
      <c r="AA18" s="164" t="s">
        <v>196</v>
      </c>
      <c r="AB18" s="164" t="s">
        <v>187</v>
      </c>
      <c r="AC18" s="164" t="s">
        <v>209</v>
      </c>
      <c r="AD18" s="165">
        <v>1</v>
      </c>
      <c r="AE18" s="164" t="s">
        <v>187</v>
      </c>
      <c r="AF18" s="165">
        <v>24.0486149377532</v>
      </c>
      <c r="AG18" s="166">
        <v>90.686238326563796</v>
      </c>
      <c r="AI18" s="133">
        <f t="shared" si="0"/>
        <v>17</v>
      </c>
      <c r="AJ18" s="134" t="str">
        <v>Thai</v>
      </c>
      <c r="AK18" s="135">
        <f t="shared" si="1"/>
        <v>55409200</v>
      </c>
      <c r="AM18" s="133" t="str" cm="1">
        <f t="array" ref="AM18">IF(ROWS($AN$2:$AN17)&lt;=$AN$2,INDEX($V$3:$V$3000,_xlfn.AGGREGATE(15,3,($B$3:$B$3000=$AM$2)/($B$3:$B$3000=$AM$2)*(ROW($B$3:$B$3000)-ROW($B$2)),ROWS($AN$2:$AN17))),"")</f>
        <v/>
      </c>
      <c r="AN18" s="134" t="str" cm="1">
        <f t="array" ref="AN18">IF(ROWS($AN$2:$AN17)&lt;=$AN$2,INDEX($F$3:$F$3000,_xlfn.AGGREGATE(15,3,($B$3:$B$3000=$AM$2)/($B$3:$B$3000=$AM$2)*(ROW($B$3:$B$3000)-ROW($B$2)),ROWS($AN$2:$AN17))),"")</f>
        <v/>
      </c>
      <c r="AO18" s="135" t="str" cm="1">
        <f t="array" ref="AO18">IF(ROWS($AN$2:$AN17)&lt;=$AN$2,INDEX($G$3:$G$3000,_xlfn.AGGREGATE(15,3,($B$3:$B$3000=$AM$2)/($B$3:$B$3000=$AM$2)*(ROW($B$3:$B$3000)-ROW($B$2)),ROWS($AN$2:$AN17))),"")</f>
        <v/>
      </c>
      <c r="AP18" s="121"/>
      <c r="AQ18" s="133"/>
      <c r="AR18" s="136">
        <f>IF('Planning Template'!$F$43="",SUMIFS($G$3:$G$3001,$V$3:$V$3001,$AQ18,$B$3:$B$3001,$AM$2),SUMIFS($G$3:$G$3001,$V$3:$V$3001,$AQ18,$B$3:$B$3001,$AM$2,$N$3:$N$3001,'Planning Template'!$F$301))</f>
        <v>0</v>
      </c>
      <c r="AS18" s="136"/>
      <c r="AT18" s="137" t="str">
        <f t="shared" si="2"/>
        <v xml:space="preserve"> (0)</v>
      </c>
      <c r="AV18" s="133" t="str" cm="1">
        <f t="array" ref="AV18">IF(ROWS($AW$2:$AW17)&lt;=$AW$2,INDEX($AM$3:$AM$792,_xlfn.AGGREGATE(15,3,($AM$3:$AM$792='Planning Template'!$F$45)/($AM$3:$AM$792='Planning Template'!$F$45)*(ROW($AM$3:$AM$792)-ROW($AM$2)),ROWS($AW$2:$AW17))),"")</f>
        <v/>
      </c>
      <c r="AW18" s="134" t="str" cm="1">
        <f t="array" ref="AW18">IF(ROWS($AU$3:$AU18)&lt;=$AW$2,INDEX($AN$3:$AN$792,_xlfn.AGGREGATE(15,3,($AM$3:$AM$792='Planning Template'!$F$45)/($AM$3:$AM$792='Planning Template'!$F$45)*(ROW($AM$3:$AM$792)-ROW($AM$2)),ROWS($AU$3:$AU18))),"")</f>
        <v/>
      </c>
      <c r="AX18" s="135" t="str">
        <f>IF(AW18="","",SUMIFS(TableSSDPeopleGroups[Population], TableSSDPeopleGroups[Ctry],'Planning Template'!$F$30,TableSSDPeopleGroups[PrimaryReligion],'Planning Template'!$F$301,TableSSDPeopleGroups[PeopleCluster],'Planning Template'!$F$45,TableSSDPeopleGroups[PeopNameInCountry],$AW18))</f>
        <v/>
      </c>
      <c r="AY18" s="234" t="str">
        <f t="shared" si="3"/>
        <v/>
      </c>
    </row>
    <row r="19" spans="1:51" s="110" customFormat="1" ht="20" customHeight="1">
      <c r="A19" s="125" t="s">
        <v>370</v>
      </c>
      <c r="B19" s="126" t="s">
        <v>58</v>
      </c>
      <c r="C19" s="127">
        <v>12054</v>
      </c>
      <c r="D19" s="145">
        <v>103691</v>
      </c>
      <c r="E19" s="146" t="s">
        <v>2157</v>
      </c>
      <c r="F19" s="146" t="s">
        <v>2157</v>
      </c>
      <c r="G19" s="147">
        <v>6200</v>
      </c>
      <c r="H19" s="147">
        <v>4</v>
      </c>
      <c r="I19" s="146" t="s">
        <v>209</v>
      </c>
      <c r="J19" s="146" t="s">
        <v>2158</v>
      </c>
      <c r="K19" s="146" t="s">
        <v>2159</v>
      </c>
      <c r="L19" s="147">
        <v>5</v>
      </c>
      <c r="M19" s="147">
        <v>2</v>
      </c>
      <c r="N19" s="146" t="s">
        <v>1718</v>
      </c>
      <c r="O19" s="147">
        <v>15</v>
      </c>
      <c r="P19" s="147">
        <v>10</v>
      </c>
      <c r="Q19" s="147">
        <v>11</v>
      </c>
      <c r="R19" s="146" t="s">
        <v>740</v>
      </c>
      <c r="S19" s="146" t="s">
        <v>741</v>
      </c>
      <c r="T19" s="147">
        <v>161</v>
      </c>
      <c r="U19" s="146" t="s">
        <v>2134</v>
      </c>
      <c r="V19" s="146" t="s">
        <v>2135</v>
      </c>
      <c r="W19" s="147">
        <v>22</v>
      </c>
      <c r="X19" s="147">
        <v>2</v>
      </c>
      <c r="Y19" s="146" t="s">
        <v>194</v>
      </c>
      <c r="Z19" s="146" t="s">
        <v>195</v>
      </c>
      <c r="AA19" s="146" t="s">
        <v>196</v>
      </c>
      <c r="AB19" s="146" t="s">
        <v>187</v>
      </c>
      <c r="AC19" s="146" t="s">
        <v>209</v>
      </c>
      <c r="AD19" s="148"/>
      <c r="AE19" s="146" t="s">
        <v>209</v>
      </c>
      <c r="AF19" s="147">
        <v>4.9602500000000003</v>
      </c>
      <c r="AG19" s="149">
        <v>114.95041999999999</v>
      </c>
      <c r="AI19" s="133">
        <f t="shared" si="0"/>
        <v>1</v>
      </c>
      <c r="AJ19" s="134" t="str">
        <v>Tibetan</v>
      </c>
      <c r="AK19" s="135">
        <f t="shared" si="1"/>
        <v>6200</v>
      </c>
      <c r="AM19" s="133" t="str" cm="1">
        <f t="array" ref="AM19">IF(ROWS($AN$2:$AN18)&lt;=$AN$2,INDEX($V$3:$V$3000,_xlfn.AGGREGATE(15,3,($B$3:$B$3000=$AM$2)/($B$3:$B$3000=$AM$2)*(ROW($B$3:$B$3000)-ROW($B$2)),ROWS($AN$2:$AN18))),"")</f>
        <v/>
      </c>
      <c r="AN19" s="134" t="str" cm="1">
        <f t="array" ref="AN19">IF(ROWS($AN$2:$AN18)&lt;=$AN$2,INDEX($F$3:$F$3000,_xlfn.AGGREGATE(15,3,($B$3:$B$3000=$AM$2)/($B$3:$B$3000=$AM$2)*(ROW($B$3:$B$3000)-ROW($B$2)),ROWS($AN$2:$AN18))),"")</f>
        <v/>
      </c>
      <c r="AO19" s="135" t="str" cm="1">
        <f t="array" ref="AO19">IF(ROWS($AN$2:$AN18)&lt;=$AN$2,INDEX($G$3:$G$3000,_xlfn.AGGREGATE(15,3,($B$3:$B$3000=$AM$2)/($B$3:$B$3000=$AM$2)*(ROW($B$3:$B$3000)-ROW($B$2)),ROWS($AN$2:$AN18))),"")</f>
        <v/>
      </c>
      <c r="AP19" s="121"/>
      <c r="AQ19" s="133"/>
      <c r="AR19" s="136">
        <f>IF('Planning Template'!$F$43="",SUMIFS($G$3:$G$3001,$V$3:$V$3001,$AQ19,$B$3:$B$3001,$AM$2),SUMIFS($G$3:$G$3001,$V$3:$V$3001,$AQ19,$B$3:$B$3001,$AM$2,$N$3:$N$3001,'Planning Template'!$F$301))</f>
        <v>0</v>
      </c>
      <c r="AS19" s="136"/>
      <c r="AT19" s="137" t="str">
        <f t="shared" si="2"/>
        <v xml:space="preserve"> (0)</v>
      </c>
      <c r="AV19" s="133" t="str" cm="1">
        <f t="array" ref="AV19">IF(ROWS($AW$2:$AW18)&lt;=$AW$2,INDEX($AM$3:$AM$792,_xlfn.AGGREGATE(15,3,($AM$3:$AM$792='Planning Template'!$F$45)/($AM$3:$AM$792='Planning Template'!$F$45)*(ROW($AM$3:$AM$792)-ROW($AM$2)),ROWS($AW$2:$AW18))),"")</f>
        <v/>
      </c>
      <c r="AW19" s="134" t="str" cm="1">
        <f t="array" ref="AW19">IF(ROWS($AU$3:$AU19)&lt;=$AW$2,INDEX($AN$3:$AN$792,_xlfn.AGGREGATE(15,3,($AM$3:$AM$792='Planning Template'!$F$45)/($AM$3:$AM$792='Planning Template'!$F$45)*(ROW($AM$3:$AM$792)-ROW($AM$2)),ROWS($AU$3:$AU19))),"")</f>
        <v/>
      </c>
      <c r="AX19" s="135" t="str">
        <f>IF(AW19="","",SUMIFS(TableSSDPeopleGroups[Population], TableSSDPeopleGroups[Ctry],'Planning Template'!$F$30,TableSSDPeopleGroups[PrimaryReligion],'Planning Template'!$F$301,TableSSDPeopleGroups[PeopleCluster],'Planning Template'!$F$45,TableSSDPeopleGroups[PeopNameInCountry],$AW19))</f>
        <v/>
      </c>
      <c r="AY19" s="234" t="str">
        <f t="shared" si="3"/>
        <v/>
      </c>
    </row>
    <row r="20" spans="1:51" s="110" customFormat="1" ht="20" customHeight="1">
      <c r="A20" s="125" t="s">
        <v>370</v>
      </c>
      <c r="B20" s="126" t="s">
        <v>58</v>
      </c>
      <c r="C20" s="127">
        <v>12051</v>
      </c>
      <c r="D20" s="128">
        <v>103686</v>
      </c>
      <c r="E20" s="129" t="s">
        <v>2389</v>
      </c>
      <c r="F20" s="129" t="s">
        <v>2389</v>
      </c>
      <c r="G20" s="130">
        <v>13000</v>
      </c>
      <c r="H20" s="130">
        <v>5</v>
      </c>
      <c r="I20" s="129" t="s">
        <v>209</v>
      </c>
      <c r="J20" s="129" t="s">
        <v>738</v>
      </c>
      <c r="K20" s="129" t="s">
        <v>739</v>
      </c>
      <c r="L20" s="130">
        <v>5</v>
      </c>
      <c r="M20" s="130">
        <v>2</v>
      </c>
      <c r="N20" s="129" t="s">
        <v>1718</v>
      </c>
      <c r="O20" s="130">
        <v>15</v>
      </c>
      <c r="P20" s="130">
        <v>12</v>
      </c>
      <c r="Q20" s="130">
        <v>11</v>
      </c>
      <c r="R20" s="129" t="s">
        <v>740</v>
      </c>
      <c r="S20" s="129" t="s">
        <v>741</v>
      </c>
      <c r="T20" s="130">
        <v>161</v>
      </c>
      <c r="U20" s="129" t="s">
        <v>2134</v>
      </c>
      <c r="V20" s="129" t="s">
        <v>2135</v>
      </c>
      <c r="W20" s="130">
        <v>55</v>
      </c>
      <c r="X20" s="130">
        <v>2</v>
      </c>
      <c r="Y20" s="129" t="s">
        <v>194</v>
      </c>
      <c r="Z20" s="129" t="s">
        <v>195</v>
      </c>
      <c r="AA20" s="129" t="s">
        <v>196</v>
      </c>
      <c r="AB20" s="129" t="s">
        <v>187</v>
      </c>
      <c r="AC20" s="129" t="s">
        <v>209</v>
      </c>
      <c r="AD20" s="131"/>
      <c r="AE20" s="129" t="s">
        <v>209</v>
      </c>
      <c r="AF20" s="130">
        <v>4.8802399999999997</v>
      </c>
      <c r="AG20" s="132">
        <v>114.91977</v>
      </c>
      <c r="AI20" s="133">
        <f t="shared" si="0"/>
        <v>35</v>
      </c>
      <c r="AJ20" s="134" t="str">
        <v>Tibeto-Burman, other</v>
      </c>
      <c r="AK20" s="135">
        <f t="shared" si="1"/>
        <v>813300</v>
      </c>
      <c r="AM20" s="133" t="str" cm="1">
        <f t="array" ref="AM20">IF(ROWS($AN$2:$AN19)&lt;=$AN$2,INDEX($V$3:$V$3000,_xlfn.AGGREGATE(15,3,($B$3:$B$3000=$AM$2)/($B$3:$B$3000=$AM$2)*(ROW($B$3:$B$3000)-ROW($B$2)),ROWS($AN$2:$AN19))),"")</f>
        <v/>
      </c>
      <c r="AN20" s="134" t="str" cm="1">
        <f t="array" ref="AN20">IF(ROWS($AN$2:$AN19)&lt;=$AN$2,INDEX($F$3:$F$3000,_xlfn.AGGREGATE(15,3,($B$3:$B$3000=$AM$2)/($B$3:$B$3000=$AM$2)*(ROW($B$3:$B$3000)-ROW($B$2)),ROWS($AN$2:$AN19))),"")</f>
        <v/>
      </c>
      <c r="AO20" s="135" t="str" cm="1">
        <f t="array" ref="AO20">IF(ROWS($AN$2:$AN19)&lt;=$AN$2,INDEX($G$3:$G$3000,_xlfn.AGGREGATE(15,3,($B$3:$B$3000=$AM$2)/($B$3:$B$3000=$AM$2)*(ROW($B$3:$B$3000)-ROW($B$2)),ROWS($AN$2:$AN19))),"")</f>
        <v/>
      </c>
      <c r="AP20" s="121"/>
      <c r="AQ20" s="133"/>
      <c r="AR20" s="136">
        <f>IF('Planning Template'!$F$43="",SUMIFS($G$3:$G$3001,$V$3:$V$3001,$AQ20,$B$3:$B$3001,$AM$2),SUMIFS($G$3:$G$3001,$V$3:$V$3001,$AQ20,$B$3:$B$3001,$AM$2,$N$3:$N$3001,'Planning Template'!$F$301))</f>
        <v>0</v>
      </c>
      <c r="AS20" s="136"/>
      <c r="AT20" s="137" t="str">
        <f t="shared" si="2"/>
        <v xml:space="preserve"> (0)</v>
      </c>
      <c r="AV20" s="133" t="str" cm="1">
        <f t="array" ref="AV20">IF(ROWS($AW$2:$AW19)&lt;=$AW$2,INDEX($AM$3:$AM$792,_xlfn.AGGREGATE(15,3,($AM$3:$AM$792='Planning Template'!$F$45)/($AM$3:$AM$792='Planning Template'!$F$45)*(ROW($AM$3:$AM$792)-ROW($AM$2)),ROWS($AW$2:$AW19))),"")</f>
        <v/>
      </c>
      <c r="AW20" s="134" t="str" cm="1">
        <f t="array" ref="AW20">IF(ROWS($AU$3:$AU20)&lt;=$AW$2,INDEX($AN$3:$AN$792,_xlfn.AGGREGATE(15,3,($AM$3:$AM$792='Planning Template'!$F$45)/($AM$3:$AM$792='Planning Template'!$F$45)*(ROW($AM$3:$AM$792)-ROW($AM$2)),ROWS($AU$3:$AU20))),"")</f>
        <v/>
      </c>
      <c r="AX20" s="135" t="str">
        <f>IF(AW20="","",SUMIFS(TableSSDPeopleGroups[Population], TableSSDPeopleGroups[Ctry],'Planning Template'!$F$30,TableSSDPeopleGroups[PrimaryReligion],'Planning Template'!$F$301,TableSSDPeopleGroups[PeopleCluster],'Planning Template'!$F$45,TableSSDPeopleGroups[PeopNameInCountry],$AW20))</f>
        <v/>
      </c>
      <c r="AY20" s="234" t="str">
        <f t="shared" si="3"/>
        <v/>
      </c>
    </row>
    <row r="21" spans="1:51" s="110" customFormat="1" ht="20" customHeight="1">
      <c r="A21" s="125" t="s">
        <v>185</v>
      </c>
      <c r="B21" s="126" t="s">
        <v>59</v>
      </c>
      <c r="C21" s="127">
        <v>12054</v>
      </c>
      <c r="D21" s="145">
        <v>103691</v>
      </c>
      <c r="E21" s="146" t="s">
        <v>2157</v>
      </c>
      <c r="F21" s="146" t="s">
        <v>2157</v>
      </c>
      <c r="G21" s="147">
        <v>756000</v>
      </c>
      <c r="H21" s="147">
        <v>4</v>
      </c>
      <c r="I21" s="146" t="s">
        <v>209</v>
      </c>
      <c r="J21" s="146" t="s">
        <v>2158</v>
      </c>
      <c r="K21" s="146" t="s">
        <v>2159</v>
      </c>
      <c r="L21" s="147">
        <v>5</v>
      </c>
      <c r="M21" s="147">
        <v>2</v>
      </c>
      <c r="N21" s="146" t="s">
        <v>1718</v>
      </c>
      <c r="O21" s="147">
        <v>29</v>
      </c>
      <c r="P21" s="147">
        <v>6</v>
      </c>
      <c r="Q21" s="147">
        <v>11</v>
      </c>
      <c r="R21" s="146" t="s">
        <v>740</v>
      </c>
      <c r="S21" s="146" t="s">
        <v>741</v>
      </c>
      <c r="T21" s="147">
        <v>161</v>
      </c>
      <c r="U21" s="146" t="s">
        <v>2134</v>
      </c>
      <c r="V21" s="146" t="s">
        <v>2135</v>
      </c>
      <c r="W21" s="147">
        <v>22</v>
      </c>
      <c r="X21" s="147">
        <v>2</v>
      </c>
      <c r="Y21" s="146" t="s">
        <v>194</v>
      </c>
      <c r="Z21" s="146" t="s">
        <v>195</v>
      </c>
      <c r="AA21" s="146" t="s">
        <v>196</v>
      </c>
      <c r="AB21" s="146" t="s">
        <v>187</v>
      </c>
      <c r="AC21" s="146" t="s">
        <v>209</v>
      </c>
      <c r="AD21" s="148"/>
      <c r="AE21" s="146" t="s">
        <v>209</v>
      </c>
      <c r="AF21" s="147">
        <v>-6.2096400000000003</v>
      </c>
      <c r="AG21" s="149">
        <v>106.52842</v>
      </c>
      <c r="AI21" s="133">
        <f t="shared" si="0"/>
        <v>5</v>
      </c>
      <c r="AJ21" s="134" t="str">
        <v>Vietnamese</v>
      </c>
      <c r="AK21" s="135">
        <f t="shared" si="1"/>
        <v>81546000</v>
      </c>
      <c r="AM21" s="133" t="str" cm="1">
        <f t="array" ref="AM21">IF(ROWS($AN$2:$AN20)&lt;=$AN$2,INDEX($V$3:$V$3000,_xlfn.AGGREGATE(15,3,($B$3:$B$3000=$AM$2)/($B$3:$B$3000=$AM$2)*(ROW($B$3:$B$3000)-ROW($B$2)),ROWS($AN$2:$AN20))),"")</f>
        <v/>
      </c>
      <c r="AN21" s="134" t="str" cm="1">
        <f t="array" ref="AN21">IF(ROWS($AN$2:$AN20)&lt;=$AN$2,INDEX($F$3:$F$3000,_xlfn.AGGREGATE(15,3,($B$3:$B$3000=$AM$2)/($B$3:$B$3000=$AM$2)*(ROW($B$3:$B$3000)-ROW($B$2)),ROWS($AN$2:$AN20))),"")</f>
        <v/>
      </c>
      <c r="AO21" s="135" t="str" cm="1">
        <f t="array" ref="AO21">IF(ROWS($AN$2:$AN20)&lt;=$AN$2,INDEX($G$3:$G$3000,_xlfn.AGGREGATE(15,3,($B$3:$B$3000=$AM$2)/($B$3:$B$3000=$AM$2)*(ROW($B$3:$B$3000)-ROW($B$2)),ROWS($AN$2:$AN20))),"")</f>
        <v/>
      </c>
      <c r="AP21" s="121"/>
      <c r="AQ21" s="133"/>
      <c r="AR21" s="136">
        <f>IF('Planning Template'!$F$43="",SUMIFS($G$3:$G$3001,$V$3:$V$3001,$AQ21,$B$3:$B$3001,$AM$2),SUMIFS($G$3:$G$3001,$V$3:$V$3001,$AQ21,$B$3:$B$3001,$AM$2,$N$3:$N$3001,'Planning Template'!$F$301))</f>
        <v>0</v>
      </c>
      <c r="AS21" s="136"/>
      <c r="AT21" s="137" t="str">
        <f t="shared" si="2"/>
        <v xml:space="preserve"> (0)</v>
      </c>
      <c r="AV21" s="133" t="str" cm="1">
        <f t="array" ref="AV21">IF(ROWS($AW$2:$AW20)&lt;=$AW$2,INDEX($AM$3:$AM$792,_xlfn.AGGREGATE(15,3,($AM$3:$AM$792='Planning Template'!$F$45)/($AM$3:$AM$792='Planning Template'!$F$45)*(ROW($AM$3:$AM$792)-ROW($AM$2)),ROWS($AW$2:$AW20))),"")</f>
        <v/>
      </c>
      <c r="AW21" s="134" t="str" cm="1">
        <f t="array" ref="AW21">IF(ROWS($AU$3:$AU21)&lt;=$AW$2,INDEX($AN$3:$AN$792,_xlfn.AGGREGATE(15,3,($AM$3:$AM$792='Planning Template'!$F$45)/($AM$3:$AM$792='Planning Template'!$F$45)*(ROW($AM$3:$AM$792)-ROW($AM$2)),ROWS($AU$3:$AU21))),"")</f>
        <v/>
      </c>
      <c r="AX21" s="135" t="str">
        <f>IF(AW21="","",SUMIFS(TableSSDPeopleGroups[Population], TableSSDPeopleGroups[Ctry],'Planning Template'!$F$30,TableSSDPeopleGroups[PrimaryReligion],'Planning Template'!$F$301,TableSSDPeopleGroups[PeopleCluster],'Planning Template'!$F$45,TableSSDPeopleGroups[PeopNameInCountry],$AW21))</f>
        <v/>
      </c>
      <c r="AY21" s="234" t="str">
        <f t="shared" si="3"/>
        <v/>
      </c>
    </row>
    <row r="22" spans="1:51" s="110" customFormat="1" ht="20" customHeight="1">
      <c r="A22" s="125" t="s">
        <v>1620</v>
      </c>
      <c r="B22" s="126" t="s">
        <v>61</v>
      </c>
      <c r="C22" s="127">
        <v>12051</v>
      </c>
      <c r="D22" s="163">
        <v>103686</v>
      </c>
      <c r="E22" s="164" t="s">
        <v>2389</v>
      </c>
      <c r="F22" s="164" t="s">
        <v>2389</v>
      </c>
      <c r="G22" s="165">
        <v>973000</v>
      </c>
      <c r="H22" s="165">
        <v>1</v>
      </c>
      <c r="I22" s="164" t="s">
        <v>187</v>
      </c>
      <c r="J22" s="164" t="s">
        <v>738</v>
      </c>
      <c r="K22" s="164" t="s">
        <v>739</v>
      </c>
      <c r="L22" s="165">
        <v>5</v>
      </c>
      <c r="M22" s="165">
        <v>2</v>
      </c>
      <c r="N22" s="164" t="s">
        <v>1718</v>
      </c>
      <c r="O22" s="165">
        <v>2</v>
      </c>
      <c r="P22" s="165">
        <v>1.4</v>
      </c>
      <c r="Q22" s="165">
        <v>11</v>
      </c>
      <c r="R22" s="164" t="s">
        <v>740</v>
      </c>
      <c r="S22" s="164" t="s">
        <v>741</v>
      </c>
      <c r="T22" s="165">
        <v>161</v>
      </c>
      <c r="U22" s="164" t="s">
        <v>2134</v>
      </c>
      <c r="V22" s="164" t="s">
        <v>2135</v>
      </c>
      <c r="W22" s="165">
        <v>55</v>
      </c>
      <c r="X22" s="165">
        <v>2</v>
      </c>
      <c r="Y22" s="164" t="s">
        <v>194</v>
      </c>
      <c r="Z22" s="164" t="s">
        <v>195</v>
      </c>
      <c r="AA22" s="164" t="s">
        <v>196</v>
      </c>
      <c r="AB22" s="164" t="s">
        <v>187</v>
      </c>
      <c r="AC22" s="164" t="s">
        <v>209</v>
      </c>
      <c r="AD22" s="165">
        <v>19</v>
      </c>
      <c r="AE22" s="164" t="s">
        <v>209</v>
      </c>
      <c r="AF22" s="165">
        <v>19.739585000000002</v>
      </c>
      <c r="AG22" s="166">
        <v>96.120981999999998</v>
      </c>
      <c r="AI22" s="133">
        <f t="shared" si="0"/>
        <v>5</v>
      </c>
      <c r="AJ22" s="134" t="str">
        <v>Anglo-American</v>
      </c>
      <c r="AK22" s="135">
        <f t="shared" si="1"/>
        <v>218900</v>
      </c>
      <c r="AM22" s="133" t="str" cm="1">
        <f t="array" ref="AM22">IF(ROWS($AN$2:$AN21)&lt;=$AN$2,INDEX($V$3:$V$3000,_xlfn.AGGREGATE(15,3,($B$3:$B$3000=$AM$2)/($B$3:$B$3000=$AM$2)*(ROW($B$3:$B$3000)-ROW($B$2)),ROWS($AN$2:$AN21))),"")</f>
        <v/>
      </c>
      <c r="AN22" s="134" t="str" cm="1">
        <f t="array" ref="AN22">IF(ROWS($AN$2:$AN21)&lt;=$AN$2,INDEX($F$3:$F$3000,_xlfn.AGGREGATE(15,3,($B$3:$B$3000=$AM$2)/($B$3:$B$3000=$AM$2)*(ROW($B$3:$B$3000)-ROW($B$2)),ROWS($AN$2:$AN21))),"")</f>
        <v/>
      </c>
      <c r="AO22" s="135" t="str" cm="1">
        <f t="array" ref="AO22">IF(ROWS($AN$2:$AN21)&lt;=$AN$2,INDEX($G$3:$G$3000,_xlfn.AGGREGATE(15,3,($B$3:$B$3000=$AM$2)/($B$3:$B$3000=$AM$2)*(ROW($B$3:$B$3000)-ROW($B$2)),ROWS($AN$2:$AN21))),"")</f>
        <v/>
      </c>
      <c r="AP22" s="121"/>
      <c r="AQ22" s="133"/>
      <c r="AR22" s="136">
        <f>IF('Planning Template'!$F$43="",SUMIFS($G$3:$G$3001,$V$3:$V$3001,$AQ22,$B$3:$B$3001,$AM$2),SUMIFS($G$3:$G$3001,$V$3:$V$3001,$AQ22,$B$3:$B$3001,$AM$2,$N$3:$N$3001,'Planning Template'!$F$301))</f>
        <v>0</v>
      </c>
      <c r="AS22" s="136"/>
      <c r="AT22" s="137" t="str">
        <f t="shared" si="2"/>
        <v xml:space="preserve"> (0)</v>
      </c>
      <c r="AV22" s="133" t="str" cm="1">
        <f t="array" ref="AV22">IF(ROWS($AW$2:$AW21)&lt;=$AW$2,INDEX($AM$3:$AM$792,_xlfn.AGGREGATE(15,3,($AM$3:$AM$792='Planning Template'!$F$45)/($AM$3:$AM$792='Planning Template'!$F$45)*(ROW($AM$3:$AM$792)-ROW($AM$2)),ROWS($AW$2:$AW21))),"")</f>
        <v/>
      </c>
      <c r="AW22" s="134" t="str" cm="1">
        <f t="array" ref="AW22">IF(ROWS($AU$3:$AU22)&lt;=$AW$2,INDEX($AN$3:$AN$792,_xlfn.AGGREGATE(15,3,($AM$3:$AM$792='Planning Template'!$F$45)/($AM$3:$AM$792='Planning Template'!$F$45)*(ROW($AM$3:$AM$792)-ROW($AM$2)),ROWS($AU$3:$AU22))),"")</f>
        <v/>
      </c>
      <c r="AX22" s="135" t="str">
        <f>IF(AW22="","",SUMIFS(TableSSDPeopleGroups[Population], TableSSDPeopleGroups[Ctry],'Planning Template'!$F$30,TableSSDPeopleGroups[PrimaryReligion],'Planning Template'!$F$301,TableSSDPeopleGroups[PeopleCluster],'Planning Template'!$F$45,TableSSDPeopleGroups[PeopNameInCountry],$AW22))</f>
        <v/>
      </c>
      <c r="AY22" s="234" t="str">
        <f t="shared" si="3"/>
        <v/>
      </c>
    </row>
    <row r="23" spans="1:51" s="110" customFormat="1" ht="20" customHeight="1">
      <c r="A23" s="125" t="s">
        <v>1620</v>
      </c>
      <c r="B23" s="126" t="s">
        <v>61</v>
      </c>
      <c r="C23" s="127">
        <v>12057</v>
      </c>
      <c r="D23" s="163">
        <v>103701</v>
      </c>
      <c r="E23" s="164" t="s">
        <v>3433</v>
      </c>
      <c r="F23" s="164" t="s">
        <v>3433</v>
      </c>
      <c r="G23" s="165">
        <v>74000</v>
      </c>
      <c r="H23" s="165">
        <v>1</v>
      </c>
      <c r="I23" s="164" t="s">
        <v>187</v>
      </c>
      <c r="J23" s="164" t="s">
        <v>2606</v>
      </c>
      <c r="K23" s="164" t="s">
        <v>2607</v>
      </c>
      <c r="L23" s="165">
        <v>5</v>
      </c>
      <c r="M23" s="165">
        <v>2</v>
      </c>
      <c r="N23" s="164" t="s">
        <v>1718</v>
      </c>
      <c r="O23" s="165">
        <v>2</v>
      </c>
      <c r="P23" s="165">
        <v>1.3</v>
      </c>
      <c r="Q23" s="165">
        <v>11</v>
      </c>
      <c r="R23" s="164" t="s">
        <v>740</v>
      </c>
      <c r="S23" s="164" t="s">
        <v>741</v>
      </c>
      <c r="T23" s="165">
        <v>161</v>
      </c>
      <c r="U23" s="164" t="s">
        <v>2134</v>
      </c>
      <c r="V23" s="164" t="s">
        <v>2135</v>
      </c>
      <c r="W23" s="165">
        <v>36</v>
      </c>
      <c r="X23" s="165">
        <v>2</v>
      </c>
      <c r="Y23" s="164" t="s">
        <v>194</v>
      </c>
      <c r="Z23" s="164" t="s">
        <v>195</v>
      </c>
      <c r="AA23" s="164" t="s">
        <v>196</v>
      </c>
      <c r="AB23" s="164" t="s">
        <v>187</v>
      </c>
      <c r="AC23" s="164" t="s">
        <v>209</v>
      </c>
      <c r="AD23" s="165">
        <v>1</v>
      </c>
      <c r="AE23" s="164" t="s">
        <v>209</v>
      </c>
      <c r="AF23" s="165">
        <v>19.720891999999999</v>
      </c>
      <c r="AG23" s="166">
        <v>96.070134999999993</v>
      </c>
      <c r="AI23" s="133">
        <f t="shared" si="0"/>
        <v>12</v>
      </c>
      <c r="AJ23" s="134" t="str">
        <v>Anglo-Celt</v>
      </c>
      <c r="AK23" s="135">
        <f t="shared" si="1"/>
        <v>167000</v>
      </c>
      <c r="AM23" s="133" t="str" cm="1">
        <f t="array" ref="AM23">IF(ROWS($AN$2:$AN22)&lt;=$AN$2,INDEX($V$3:$V$3000,_xlfn.AGGREGATE(15,3,($B$3:$B$3000=$AM$2)/($B$3:$B$3000=$AM$2)*(ROW($B$3:$B$3000)-ROW($B$2)),ROWS($AN$2:$AN22))),"")</f>
        <v/>
      </c>
      <c r="AN23" s="134" t="str" cm="1">
        <f t="array" ref="AN23">IF(ROWS($AN$2:$AN22)&lt;=$AN$2,INDEX($F$3:$F$3000,_xlfn.AGGREGATE(15,3,($B$3:$B$3000=$AM$2)/($B$3:$B$3000=$AM$2)*(ROW($B$3:$B$3000)-ROW($B$2)),ROWS($AN$2:$AN22))),"")</f>
        <v/>
      </c>
      <c r="AO23" s="135" t="str" cm="1">
        <f t="array" ref="AO23">IF(ROWS($AN$2:$AN22)&lt;=$AN$2,INDEX($G$3:$G$3000,_xlfn.AGGREGATE(15,3,($B$3:$B$3000=$AM$2)/($B$3:$B$3000=$AM$2)*(ROW($B$3:$B$3000)-ROW($B$2)),ROWS($AN$2:$AN22))),"")</f>
        <v/>
      </c>
      <c r="AP23" s="121"/>
      <c r="AQ23" s="133"/>
      <c r="AR23" s="136">
        <f>IF('Planning Template'!$F$43="",SUMIFS($G$3:$G$3001,$V$3:$V$3001,$AQ23,$B$3:$B$3001,$AM$2),SUMIFS($G$3:$G$3001,$V$3:$V$3001,$AQ23,$B$3:$B$3001,$AM$2,$N$3:$N$3001,'Planning Template'!$F$301))</f>
        <v>0</v>
      </c>
      <c r="AS23" s="136"/>
      <c r="AT23" s="137" t="str">
        <f t="shared" si="2"/>
        <v xml:space="preserve"> (0)</v>
      </c>
      <c r="AV23" s="133" t="str" cm="1">
        <f t="array" ref="AV23">IF(ROWS($AW$2:$AW22)&lt;=$AW$2,INDEX($AM$3:$AM$792,_xlfn.AGGREGATE(15,3,($AM$3:$AM$792='Planning Template'!$F$45)/($AM$3:$AM$792='Planning Template'!$F$45)*(ROW($AM$3:$AM$792)-ROW($AM$2)),ROWS($AW$2:$AW22))),"")</f>
        <v/>
      </c>
      <c r="AW23" s="134" t="str" cm="1">
        <f t="array" ref="AW23">IF(ROWS($AU$3:$AU23)&lt;=$AW$2,INDEX($AN$3:$AN$792,_xlfn.AGGREGATE(15,3,($AM$3:$AM$792='Planning Template'!$F$45)/($AM$3:$AM$792='Planning Template'!$F$45)*(ROW($AM$3:$AM$792)-ROW($AM$2)),ROWS($AU$3:$AU23))),"")</f>
        <v/>
      </c>
      <c r="AX23" s="135" t="str">
        <f>IF(AW23="","",SUMIFS(TableSSDPeopleGroups[Population], TableSSDPeopleGroups[Ctry],'Planning Template'!$F$30,TableSSDPeopleGroups[PrimaryReligion],'Planning Template'!$F$301,TableSSDPeopleGroups[PeopleCluster],'Planning Template'!$F$45,TableSSDPeopleGroups[PeopNameInCountry],$AW23))</f>
        <v/>
      </c>
      <c r="AY23" s="234" t="str">
        <f t="shared" si="3"/>
        <v/>
      </c>
    </row>
    <row r="24" spans="1:51" s="110" customFormat="1" ht="20" customHeight="1">
      <c r="A24" s="125" t="s">
        <v>1620</v>
      </c>
      <c r="B24" s="126" t="s">
        <v>61</v>
      </c>
      <c r="C24" s="127">
        <v>12054</v>
      </c>
      <c r="D24" s="163">
        <v>103691</v>
      </c>
      <c r="E24" s="164" t="s">
        <v>2157</v>
      </c>
      <c r="F24" s="164" t="s">
        <v>2157</v>
      </c>
      <c r="G24" s="165">
        <v>22000</v>
      </c>
      <c r="H24" s="165">
        <v>1</v>
      </c>
      <c r="I24" s="164" t="s">
        <v>187</v>
      </c>
      <c r="J24" s="164" t="s">
        <v>2158</v>
      </c>
      <c r="K24" s="164" t="s">
        <v>2159</v>
      </c>
      <c r="L24" s="165">
        <v>5</v>
      </c>
      <c r="M24" s="165">
        <v>2</v>
      </c>
      <c r="N24" s="164" t="s">
        <v>1718</v>
      </c>
      <c r="O24" s="165">
        <v>3</v>
      </c>
      <c r="P24" s="165">
        <v>1.4</v>
      </c>
      <c r="Q24" s="165">
        <v>11</v>
      </c>
      <c r="R24" s="164" t="s">
        <v>740</v>
      </c>
      <c r="S24" s="164" t="s">
        <v>741</v>
      </c>
      <c r="T24" s="165">
        <v>161</v>
      </c>
      <c r="U24" s="164" t="s">
        <v>2134</v>
      </c>
      <c r="V24" s="164" t="s">
        <v>2135</v>
      </c>
      <c r="W24" s="165">
        <v>22</v>
      </c>
      <c r="X24" s="165">
        <v>2</v>
      </c>
      <c r="Y24" s="164" t="s">
        <v>194</v>
      </c>
      <c r="Z24" s="164" t="s">
        <v>195</v>
      </c>
      <c r="AA24" s="164" t="s">
        <v>196</v>
      </c>
      <c r="AB24" s="164" t="s">
        <v>187</v>
      </c>
      <c r="AC24" s="164" t="s">
        <v>209</v>
      </c>
      <c r="AD24" s="165">
        <v>1</v>
      </c>
      <c r="AE24" s="164" t="s">
        <v>209</v>
      </c>
      <c r="AF24" s="165">
        <v>19.711828000000001</v>
      </c>
      <c r="AG24" s="166">
        <v>96.103879000000006</v>
      </c>
      <c r="AI24" s="133">
        <f t="shared" si="0"/>
        <v>1</v>
      </c>
      <c r="AJ24" s="134" t="str">
        <v>Armenian</v>
      </c>
      <c r="AK24" s="135">
        <f t="shared" si="1"/>
        <v>500</v>
      </c>
      <c r="AM24" s="133" t="str" cm="1">
        <f t="array" ref="AM24">IF(ROWS($AN$2:$AN23)&lt;=$AN$2,INDEX($V$3:$V$3000,_xlfn.AGGREGATE(15,3,($B$3:$B$3000=$AM$2)/($B$3:$B$3000=$AM$2)*(ROW($B$3:$B$3000)-ROW($B$2)),ROWS($AN$2:$AN23))),"")</f>
        <v/>
      </c>
      <c r="AN24" s="134" t="str" cm="1">
        <f t="array" ref="AN24">IF(ROWS($AN$2:$AN23)&lt;=$AN$2,INDEX($F$3:$F$3000,_xlfn.AGGREGATE(15,3,($B$3:$B$3000=$AM$2)/($B$3:$B$3000=$AM$2)*(ROW($B$3:$B$3000)-ROW($B$2)),ROWS($AN$2:$AN23))),"")</f>
        <v/>
      </c>
      <c r="AO24" s="135" t="str" cm="1">
        <f t="array" ref="AO24">IF(ROWS($AN$2:$AN23)&lt;=$AN$2,INDEX($G$3:$G$3000,_xlfn.AGGREGATE(15,3,($B$3:$B$3000=$AM$2)/($B$3:$B$3000=$AM$2)*(ROW($B$3:$B$3000)-ROW($B$2)),ROWS($AN$2:$AN23))),"")</f>
        <v/>
      </c>
      <c r="AP24" s="121"/>
      <c r="AQ24" s="133"/>
      <c r="AR24" s="136">
        <f>IF('Planning Template'!$F$43="",SUMIFS($G$3:$G$3001,$V$3:$V$3001,$AQ24,$B$3:$B$3001,$AM$2),SUMIFS($G$3:$G$3001,$V$3:$V$3001,$AQ24,$B$3:$B$3001,$AM$2,$N$3:$N$3001,'Planning Template'!$F$301))</f>
        <v>0</v>
      </c>
      <c r="AS24" s="136"/>
      <c r="AT24" s="137" t="str">
        <f t="shared" si="2"/>
        <v xml:space="preserve"> (0)</v>
      </c>
      <c r="AV24" s="133" t="str" cm="1">
        <f t="array" ref="AV24">IF(ROWS($AW$2:$AW23)&lt;=$AW$2,INDEX($AM$3:$AM$792,_xlfn.AGGREGATE(15,3,($AM$3:$AM$792='Planning Template'!$F$45)/($AM$3:$AM$792='Planning Template'!$F$45)*(ROW($AM$3:$AM$792)-ROW($AM$2)),ROWS($AW$2:$AW23))),"")</f>
        <v/>
      </c>
      <c r="AW24" s="134" t="str" cm="1">
        <f t="array" ref="AW24">IF(ROWS($AU$3:$AU24)&lt;=$AW$2,INDEX($AN$3:$AN$792,_xlfn.AGGREGATE(15,3,($AM$3:$AM$792='Planning Template'!$F$45)/($AM$3:$AM$792='Planning Template'!$F$45)*(ROW($AM$3:$AM$792)-ROW($AM$2)),ROWS($AU$3:$AU24))),"")</f>
        <v/>
      </c>
      <c r="AX24" s="135" t="str">
        <f>IF(AW24="","",SUMIFS(TableSSDPeopleGroups[Population], TableSSDPeopleGroups[Ctry],'Planning Template'!$F$30,TableSSDPeopleGroups[PrimaryReligion],'Planning Template'!$F$301,TableSSDPeopleGroups[PeopleCluster],'Planning Template'!$F$45,TableSSDPeopleGroups[PeopNameInCountry],$AW24))</f>
        <v/>
      </c>
      <c r="AY24" s="234" t="str">
        <f t="shared" si="3"/>
        <v/>
      </c>
    </row>
    <row r="25" spans="1:51" s="110" customFormat="1" ht="20" customHeight="1">
      <c r="A25" s="125" t="s">
        <v>1620</v>
      </c>
      <c r="B25" s="126" t="s">
        <v>61</v>
      </c>
      <c r="C25" s="127">
        <v>14199</v>
      </c>
      <c r="D25" s="163">
        <v>109309</v>
      </c>
      <c r="E25" s="164" t="s">
        <v>3929</v>
      </c>
      <c r="F25" s="164" t="s">
        <v>3929</v>
      </c>
      <c r="G25" s="165">
        <v>16000</v>
      </c>
      <c r="H25" s="165">
        <v>1</v>
      </c>
      <c r="I25" s="164" t="s">
        <v>187</v>
      </c>
      <c r="J25" s="164" t="s">
        <v>2043</v>
      </c>
      <c r="K25" s="164" t="s">
        <v>1998</v>
      </c>
      <c r="L25" s="165">
        <v>5</v>
      </c>
      <c r="M25" s="165">
        <v>2</v>
      </c>
      <c r="N25" s="164" t="s">
        <v>1718</v>
      </c>
      <c r="O25" s="165">
        <v>1</v>
      </c>
      <c r="P25" s="165">
        <v>0.7</v>
      </c>
      <c r="Q25" s="165">
        <v>11</v>
      </c>
      <c r="R25" s="164" t="s">
        <v>740</v>
      </c>
      <c r="S25" s="164" t="s">
        <v>741</v>
      </c>
      <c r="T25" s="165">
        <v>161</v>
      </c>
      <c r="U25" s="164" t="s">
        <v>2134</v>
      </c>
      <c r="V25" s="164" t="s">
        <v>2135</v>
      </c>
      <c r="W25" s="165">
        <v>1</v>
      </c>
      <c r="X25" s="165">
        <v>2</v>
      </c>
      <c r="Y25" s="164" t="s">
        <v>194</v>
      </c>
      <c r="Z25" s="164" t="s">
        <v>195</v>
      </c>
      <c r="AA25" s="164" t="s">
        <v>196</v>
      </c>
      <c r="AB25" s="164" t="s">
        <v>187</v>
      </c>
      <c r="AC25" s="164" t="s">
        <v>187</v>
      </c>
      <c r="AD25" s="165">
        <v>1</v>
      </c>
      <c r="AE25" s="164" t="s">
        <v>209</v>
      </c>
      <c r="AF25" s="165">
        <v>25.389475451430901</v>
      </c>
      <c r="AG25" s="166">
        <v>97.388147043950894</v>
      </c>
      <c r="AI25" s="133">
        <f t="shared" si="0"/>
        <v>1</v>
      </c>
      <c r="AJ25" s="134" t="str">
        <v>Basque</v>
      </c>
      <c r="AK25" s="135">
        <f t="shared" si="1"/>
        <v>11000</v>
      </c>
      <c r="AM25" s="133" t="str" cm="1">
        <f t="array" ref="AM25">IF(ROWS($AN$2:$AN24)&lt;=$AN$2,INDEX($V$3:$V$3000,_xlfn.AGGREGATE(15,3,($B$3:$B$3000=$AM$2)/($B$3:$B$3000=$AM$2)*(ROW($B$3:$B$3000)-ROW($B$2)),ROWS($AN$2:$AN24))),"")</f>
        <v/>
      </c>
      <c r="AN25" s="134" t="str" cm="1">
        <f t="array" ref="AN25">IF(ROWS($AN$2:$AN24)&lt;=$AN$2,INDEX($F$3:$F$3000,_xlfn.AGGREGATE(15,3,($B$3:$B$3000=$AM$2)/($B$3:$B$3000=$AM$2)*(ROW($B$3:$B$3000)-ROW($B$2)),ROWS($AN$2:$AN24))),"")</f>
        <v/>
      </c>
      <c r="AO25" s="135" t="str" cm="1">
        <f t="array" ref="AO25">IF(ROWS($AN$2:$AN24)&lt;=$AN$2,INDEX($G$3:$G$3000,_xlfn.AGGREGATE(15,3,($B$3:$B$3000=$AM$2)/($B$3:$B$3000=$AM$2)*(ROW($B$3:$B$3000)-ROW($B$2)),ROWS($AN$2:$AN24))),"")</f>
        <v/>
      </c>
      <c r="AP25" s="121"/>
      <c r="AQ25" s="133"/>
      <c r="AR25" s="136">
        <f>IF('Planning Template'!$F$43="",SUMIFS($G$3:$G$3001,$V$3:$V$3001,$AQ25,$B$3:$B$3001,$AM$2),SUMIFS($G$3:$G$3001,$V$3:$V$3001,$AQ25,$B$3:$B$3001,$AM$2,$N$3:$N$3001,'Planning Template'!$F$301))</f>
        <v>0</v>
      </c>
      <c r="AS25" s="136"/>
      <c r="AT25" s="137" t="str">
        <f t="shared" si="2"/>
        <v xml:space="preserve"> (0)</v>
      </c>
      <c r="AV25" s="133" t="str" cm="1">
        <f t="array" ref="AV25">IF(ROWS($AW$2:$AW24)&lt;=$AW$2,INDEX($AM$3:$AM$792,_xlfn.AGGREGATE(15,3,($AM$3:$AM$792='Planning Template'!$F$45)/($AM$3:$AM$792='Planning Template'!$F$45)*(ROW($AM$3:$AM$792)-ROW($AM$2)),ROWS($AW$2:$AW24))),"")</f>
        <v/>
      </c>
      <c r="AW25" s="134" t="str" cm="1">
        <f t="array" ref="AW25">IF(ROWS($AU$3:$AU25)&lt;=$AW$2,INDEX($AN$3:$AN$792,_xlfn.AGGREGATE(15,3,($AM$3:$AM$792='Planning Template'!$F$45)/($AM$3:$AM$792='Planning Template'!$F$45)*(ROW($AM$3:$AM$792)-ROW($AM$2)),ROWS($AU$3:$AU25))),"")</f>
        <v/>
      </c>
      <c r="AX25" s="135" t="str">
        <f>IF(AW25="","",SUMIFS(TableSSDPeopleGroups[Population], TableSSDPeopleGroups[Ctry],'Planning Template'!$F$30,TableSSDPeopleGroups[PrimaryReligion],'Planning Template'!$F$301,TableSSDPeopleGroups[PeopleCluster],'Planning Template'!$F$45,TableSSDPeopleGroups[PeopNameInCountry],$AW25))</f>
        <v/>
      </c>
      <c r="AY25" s="234" t="str">
        <f t="shared" si="3"/>
        <v/>
      </c>
    </row>
    <row r="26" spans="1:51" s="110" customFormat="1" ht="20" customHeight="1">
      <c r="A26" s="125" t="s">
        <v>1620</v>
      </c>
      <c r="B26" s="126" t="s">
        <v>61</v>
      </c>
      <c r="C26" s="127">
        <v>11344</v>
      </c>
      <c r="D26" s="145">
        <v>102140</v>
      </c>
      <c r="E26" s="146" t="s">
        <v>3229</v>
      </c>
      <c r="F26" s="146" t="s">
        <v>3229</v>
      </c>
      <c r="G26" s="147">
        <v>72000</v>
      </c>
      <c r="H26" s="147">
        <v>4</v>
      </c>
      <c r="I26" s="146" t="s">
        <v>209</v>
      </c>
      <c r="J26" s="146" t="s">
        <v>3230</v>
      </c>
      <c r="K26" s="146" t="s">
        <v>3231</v>
      </c>
      <c r="L26" s="147">
        <v>5</v>
      </c>
      <c r="M26" s="147">
        <v>2</v>
      </c>
      <c r="N26" s="146" t="s">
        <v>1718</v>
      </c>
      <c r="O26" s="147">
        <v>4</v>
      </c>
      <c r="P26" s="147">
        <v>2.5</v>
      </c>
      <c r="Q26" s="147">
        <v>11</v>
      </c>
      <c r="R26" s="146" t="s">
        <v>740</v>
      </c>
      <c r="S26" s="146" t="s">
        <v>741</v>
      </c>
      <c r="T26" s="147">
        <v>161</v>
      </c>
      <c r="U26" s="146" t="s">
        <v>2134</v>
      </c>
      <c r="V26" s="146" t="s">
        <v>2135</v>
      </c>
      <c r="W26" s="147">
        <v>18</v>
      </c>
      <c r="X26" s="147">
        <v>2</v>
      </c>
      <c r="Y26" s="146" t="s">
        <v>194</v>
      </c>
      <c r="Z26" s="146" t="s">
        <v>195</v>
      </c>
      <c r="AA26" s="146" t="s">
        <v>196</v>
      </c>
      <c r="AB26" s="146" t="s">
        <v>187</v>
      </c>
      <c r="AC26" s="146" t="s">
        <v>209</v>
      </c>
      <c r="AD26" s="148"/>
      <c r="AE26" s="146" t="s">
        <v>209</v>
      </c>
      <c r="AF26" s="147">
        <v>16.870068449399401</v>
      </c>
      <c r="AG26" s="149">
        <v>96.130735645333701</v>
      </c>
      <c r="AI26" s="133">
        <f t="shared" si="0"/>
        <v>16</v>
      </c>
      <c r="AJ26" s="134" t="str">
        <v>Batak-Nias of Sumatra</v>
      </c>
      <c r="AK26" s="135">
        <f t="shared" si="1"/>
        <v>11225100</v>
      </c>
      <c r="AM26" s="133" t="str" cm="1">
        <f t="array" ref="AM26">IF(ROWS($AN$2:$AN25)&lt;=$AN$2,INDEX($V$3:$V$3000,_xlfn.AGGREGATE(15,3,($B$3:$B$3000=$AM$2)/($B$3:$B$3000=$AM$2)*(ROW($B$3:$B$3000)-ROW($B$2)),ROWS($AN$2:$AN25))),"")</f>
        <v/>
      </c>
      <c r="AN26" s="134" t="str" cm="1">
        <f t="array" ref="AN26">IF(ROWS($AN$2:$AN25)&lt;=$AN$2,INDEX($F$3:$F$3000,_xlfn.AGGREGATE(15,3,($B$3:$B$3000=$AM$2)/($B$3:$B$3000=$AM$2)*(ROW($B$3:$B$3000)-ROW($B$2)),ROWS($AN$2:$AN25))),"")</f>
        <v/>
      </c>
      <c r="AO26" s="135" t="str" cm="1">
        <f t="array" ref="AO26">IF(ROWS($AN$2:$AN25)&lt;=$AN$2,INDEX($G$3:$G$3000,_xlfn.AGGREGATE(15,3,($B$3:$B$3000=$AM$2)/($B$3:$B$3000=$AM$2)*(ROW($B$3:$B$3000)-ROW($B$2)),ROWS($AN$2:$AN25))),"")</f>
        <v/>
      </c>
      <c r="AP26" s="121"/>
      <c r="AQ26" s="133"/>
      <c r="AR26" s="136">
        <f>IF('Planning Template'!$F$43="",SUMIFS($G$3:$G$3001,$V$3:$V$3001,$AQ26,$B$3:$B$3001,$AM$2),SUMIFS($G$3:$G$3001,$V$3:$V$3001,$AQ26,$B$3:$B$3001,$AM$2,$N$3:$N$3001,'Planning Template'!$F$301))</f>
        <v>0</v>
      </c>
      <c r="AS26" s="136"/>
      <c r="AT26" s="137" t="str">
        <f t="shared" si="2"/>
        <v xml:space="preserve"> (0)</v>
      </c>
      <c r="AV26" s="133" t="str" cm="1">
        <f t="array" ref="AV26">IF(ROWS($AW$2:$AW25)&lt;=$AW$2,INDEX($AM$3:$AM$792,_xlfn.AGGREGATE(15,3,($AM$3:$AM$792='Planning Template'!$F$45)/($AM$3:$AM$792='Planning Template'!$F$45)*(ROW($AM$3:$AM$792)-ROW($AM$2)),ROWS($AW$2:$AW25))),"")</f>
        <v/>
      </c>
      <c r="AW26" s="134" t="str" cm="1">
        <f t="array" ref="AW26">IF(ROWS($AU$3:$AU26)&lt;=$AW$2,INDEX($AN$3:$AN$792,_xlfn.AGGREGATE(15,3,($AM$3:$AM$792='Planning Template'!$F$45)/($AM$3:$AM$792='Planning Template'!$F$45)*(ROW($AM$3:$AM$792)-ROW($AM$2)),ROWS($AU$3:$AU26))),"")</f>
        <v/>
      </c>
      <c r="AX26" s="135" t="str">
        <f>IF(AW26="","",SUMIFS(TableSSDPeopleGroups[Population], TableSSDPeopleGroups[Ctry],'Planning Template'!$F$30,TableSSDPeopleGroups[PrimaryReligion],'Planning Template'!$F$301,TableSSDPeopleGroups[PeopleCluster],'Planning Template'!$F$45,TableSSDPeopleGroups[PeopNameInCountry],$AW26))</f>
        <v/>
      </c>
      <c r="AY26" s="234" t="str">
        <f t="shared" si="3"/>
        <v/>
      </c>
    </row>
    <row r="27" spans="1:51" s="110" customFormat="1" ht="20" customHeight="1">
      <c r="A27" s="125" t="s">
        <v>408</v>
      </c>
      <c r="B27" s="126" t="s">
        <v>64</v>
      </c>
      <c r="C27" s="127">
        <v>11344</v>
      </c>
      <c r="D27" s="145">
        <v>102140</v>
      </c>
      <c r="E27" s="146" t="s">
        <v>3229</v>
      </c>
      <c r="F27" s="146" t="s">
        <v>3229</v>
      </c>
      <c r="G27" s="147">
        <v>1205000</v>
      </c>
      <c r="H27" s="147">
        <v>4</v>
      </c>
      <c r="I27" s="146" t="s">
        <v>209</v>
      </c>
      <c r="J27" s="146" t="s">
        <v>3230</v>
      </c>
      <c r="K27" s="146" t="s">
        <v>3231</v>
      </c>
      <c r="L27" s="147">
        <v>5</v>
      </c>
      <c r="M27" s="147">
        <v>2</v>
      </c>
      <c r="N27" s="146" t="s">
        <v>1718</v>
      </c>
      <c r="O27" s="147">
        <v>10</v>
      </c>
      <c r="P27" s="147">
        <v>9.4280000000000008</v>
      </c>
      <c r="Q27" s="147">
        <v>11</v>
      </c>
      <c r="R27" s="146" t="s">
        <v>740</v>
      </c>
      <c r="S27" s="146" t="s">
        <v>741</v>
      </c>
      <c r="T27" s="147">
        <v>161</v>
      </c>
      <c r="U27" s="146" t="s">
        <v>2134</v>
      </c>
      <c r="V27" s="146" t="s">
        <v>2135</v>
      </c>
      <c r="W27" s="147">
        <v>18</v>
      </c>
      <c r="X27" s="147">
        <v>2</v>
      </c>
      <c r="Y27" s="146" t="s">
        <v>194</v>
      </c>
      <c r="Z27" s="146" t="s">
        <v>195</v>
      </c>
      <c r="AA27" s="146" t="s">
        <v>196</v>
      </c>
      <c r="AB27" s="146" t="s">
        <v>209</v>
      </c>
      <c r="AC27" s="146" t="s">
        <v>187</v>
      </c>
      <c r="AD27" s="148"/>
      <c r="AE27" s="146" t="s">
        <v>209</v>
      </c>
      <c r="AF27" s="147">
        <v>1.32640677815027</v>
      </c>
      <c r="AG27" s="149">
        <v>103.789822602131</v>
      </c>
      <c r="AI27" s="133">
        <f t="shared" si="0"/>
        <v>160</v>
      </c>
      <c r="AJ27" s="134" t="str">
        <v>Borneo-Kalimantan</v>
      </c>
      <c r="AK27" s="135">
        <f t="shared" si="1"/>
        <v>5069230</v>
      </c>
      <c r="AM27" s="133" t="str" cm="1">
        <f t="array" ref="AM27">IF(ROWS($AN$2:$AN26)&lt;=$AN$2,INDEX($V$3:$V$3000,_xlfn.AGGREGATE(15,3,($B$3:$B$3000=$AM$2)/($B$3:$B$3000=$AM$2)*(ROW($B$3:$B$3000)-ROW($B$2)),ROWS($AN$2:$AN26))),"")</f>
        <v/>
      </c>
      <c r="AN27" s="134" t="str" cm="1">
        <f t="array" ref="AN27">IF(ROWS($AN$2:$AN26)&lt;=$AN$2,INDEX($F$3:$F$3000,_xlfn.AGGREGATE(15,3,($B$3:$B$3000=$AM$2)/($B$3:$B$3000=$AM$2)*(ROW($B$3:$B$3000)-ROW($B$2)),ROWS($AN$2:$AN26))),"")</f>
        <v/>
      </c>
      <c r="AO27" s="135" t="str" cm="1">
        <f t="array" ref="AO27">IF(ROWS($AN$2:$AN26)&lt;=$AN$2,INDEX($G$3:$G$3000,_xlfn.AGGREGATE(15,3,($B$3:$B$3000=$AM$2)/($B$3:$B$3000=$AM$2)*(ROW($B$3:$B$3000)-ROW($B$2)),ROWS($AN$2:$AN26))),"")</f>
        <v/>
      </c>
      <c r="AP27" s="121"/>
      <c r="AQ27" s="133"/>
      <c r="AR27" s="136">
        <f>IF('Planning Template'!$F$43="",SUMIFS($G$3:$G$3001,$V$3:$V$3001,$AQ27,$B$3:$B$3001,$AM$2),SUMIFS($G$3:$G$3001,$V$3:$V$3001,$AQ27,$B$3:$B$3001,$AM$2,$N$3:$N$3001,'Planning Template'!$F$301))</f>
        <v>0</v>
      </c>
      <c r="AS27" s="136"/>
      <c r="AT27" s="137" t="str">
        <f t="shared" si="2"/>
        <v xml:space="preserve"> (0)</v>
      </c>
      <c r="AV27" s="133" t="str" cm="1">
        <f t="array" ref="AV27">IF(ROWS($AW$2:$AW26)&lt;=$AW$2,INDEX($AM$3:$AM$792,_xlfn.AGGREGATE(15,3,($AM$3:$AM$792='Planning Template'!$F$45)/($AM$3:$AM$792='Planning Template'!$F$45)*(ROW($AM$3:$AM$792)-ROW($AM$2)),ROWS($AW$2:$AW26))),"")</f>
        <v/>
      </c>
      <c r="AW27" s="134" t="str" cm="1">
        <f t="array" ref="AW27">IF(ROWS($AU$3:$AU27)&lt;=$AW$2,INDEX($AN$3:$AN$792,_xlfn.AGGREGATE(15,3,($AM$3:$AM$792='Planning Template'!$F$45)/($AM$3:$AM$792='Planning Template'!$F$45)*(ROW($AM$3:$AM$792)-ROW($AM$2)),ROWS($AU$3:$AU27))),"")</f>
        <v/>
      </c>
      <c r="AX27" s="135" t="str">
        <f>IF(AW27="","",SUMIFS(TableSSDPeopleGroups[Population], TableSSDPeopleGroups[Ctry],'Planning Template'!$F$30,TableSSDPeopleGroups[PrimaryReligion],'Planning Template'!$F$301,TableSSDPeopleGroups[PeopleCluster],'Planning Template'!$F$45,TableSSDPeopleGroups[PeopNameInCountry],$AW27))</f>
        <v/>
      </c>
      <c r="AY27" s="234" t="str">
        <f t="shared" si="3"/>
        <v/>
      </c>
    </row>
    <row r="28" spans="1:51" s="110" customFormat="1" ht="20" customHeight="1">
      <c r="A28" s="125" t="s">
        <v>408</v>
      </c>
      <c r="B28" s="126" t="s">
        <v>64</v>
      </c>
      <c r="C28" s="127">
        <v>12055</v>
      </c>
      <c r="D28" s="145">
        <v>103699</v>
      </c>
      <c r="E28" s="146" t="s">
        <v>4725</v>
      </c>
      <c r="F28" s="146" t="s">
        <v>4725</v>
      </c>
      <c r="G28" s="147">
        <v>604000</v>
      </c>
      <c r="H28" s="147">
        <v>4</v>
      </c>
      <c r="I28" s="146" t="s">
        <v>209</v>
      </c>
      <c r="J28" s="146" t="s">
        <v>3230</v>
      </c>
      <c r="K28" s="146" t="s">
        <v>3231</v>
      </c>
      <c r="L28" s="147">
        <v>5</v>
      </c>
      <c r="M28" s="147">
        <v>2</v>
      </c>
      <c r="N28" s="146" t="s">
        <v>1718</v>
      </c>
      <c r="O28" s="147">
        <v>10</v>
      </c>
      <c r="P28" s="147">
        <v>7.0709999999999997</v>
      </c>
      <c r="Q28" s="147">
        <v>11</v>
      </c>
      <c r="R28" s="146" t="s">
        <v>740</v>
      </c>
      <c r="S28" s="146" t="s">
        <v>741</v>
      </c>
      <c r="T28" s="147">
        <v>161</v>
      </c>
      <c r="U28" s="146" t="s">
        <v>2134</v>
      </c>
      <c r="V28" s="146" t="s">
        <v>2135</v>
      </c>
      <c r="W28" s="147">
        <v>3</v>
      </c>
      <c r="X28" s="147">
        <v>2</v>
      </c>
      <c r="Y28" s="146" t="s">
        <v>194</v>
      </c>
      <c r="Z28" s="146" t="s">
        <v>195</v>
      </c>
      <c r="AA28" s="146" t="s">
        <v>196</v>
      </c>
      <c r="AB28" s="146" t="s">
        <v>209</v>
      </c>
      <c r="AC28" s="146" t="s">
        <v>187</v>
      </c>
      <c r="AD28" s="148"/>
      <c r="AE28" s="146" t="s">
        <v>209</v>
      </c>
      <c r="AF28" s="147">
        <v>1.3166054880528</v>
      </c>
      <c r="AG28" s="149">
        <v>103.72570582536299</v>
      </c>
      <c r="AI28" s="133">
        <f t="shared" si="0"/>
        <v>30</v>
      </c>
      <c r="AJ28" s="134" t="str">
        <v>Bugi-Makassar of Sulawesi</v>
      </c>
      <c r="AK28" s="135">
        <f t="shared" si="1"/>
        <v>10225700</v>
      </c>
      <c r="AM28" s="133" t="str" cm="1">
        <f t="array" ref="AM28">IF(ROWS($AN$2:$AN27)&lt;=$AN$2,INDEX($V$3:$V$3000,_xlfn.AGGREGATE(15,3,($B$3:$B$3000=$AM$2)/($B$3:$B$3000=$AM$2)*(ROW($B$3:$B$3000)-ROW($B$2)),ROWS($AN$2:$AN27))),"")</f>
        <v/>
      </c>
      <c r="AN28" s="134" t="str" cm="1">
        <f t="array" ref="AN28">IF(ROWS($AN$2:$AN27)&lt;=$AN$2,INDEX($F$3:$F$3000,_xlfn.AGGREGATE(15,3,($B$3:$B$3000=$AM$2)/($B$3:$B$3000=$AM$2)*(ROW($B$3:$B$3000)-ROW($B$2)),ROWS($AN$2:$AN27))),"")</f>
        <v/>
      </c>
      <c r="AO28" s="135" t="str" cm="1">
        <f t="array" ref="AO28">IF(ROWS($AN$2:$AN27)&lt;=$AN$2,INDEX($G$3:$G$3000,_xlfn.AGGREGATE(15,3,($B$3:$B$3000=$AM$2)/($B$3:$B$3000=$AM$2)*(ROW($B$3:$B$3000)-ROW($B$2)),ROWS($AN$2:$AN27))),"")</f>
        <v/>
      </c>
      <c r="AP28" s="121"/>
      <c r="AQ28" s="133"/>
      <c r="AR28" s="136">
        <f>IF('Planning Template'!$F$43="",SUMIFS($G$3:$G$3001,$V$3:$V$3001,$AQ28,$B$3:$B$3001,$AM$2),SUMIFS($G$3:$G$3001,$V$3:$V$3001,$AQ28,$B$3:$B$3001,$AM$2,$N$3:$N$3001,'Planning Template'!$F$301))</f>
        <v>0</v>
      </c>
      <c r="AS28" s="136"/>
      <c r="AT28" s="137" t="str">
        <f t="shared" si="2"/>
        <v xml:space="preserve"> (0)</v>
      </c>
      <c r="AV28" s="133" t="str" cm="1">
        <f t="array" ref="AV28">IF(ROWS($AW$2:$AW27)&lt;=$AW$2,INDEX($AM$3:$AM$792,_xlfn.AGGREGATE(15,3,($AM$3:$AM$792='Planning Template'!$F$45)/($AM$3:$AM$792='Planning Template'!$F$45)*(ROW($AM$3:$AM$792)-ROW($AM$2)),ROWS($AW$2:$AW27))),"")</f>
        <v/>
      </c>
      <c r="AW28" s="134" t="str" cm="1">
        <f t="array" ref="AW28">IF(ROWS($AU$3:$AU28)&lt;=$AW$2,INDEX($AN$3:$AN$792,_xlfn.AGGREGATE(15,3,($AM$3:$AM$792='Planning Template'!$F$45)/($AM$3:$AM$792='Planning Template'!$F$45)*(ROW($AM$3:$AM$792)-ROW($AM$2)),ROWS($AU$3:$AU28))),"")</f>
        <v/>
      </c>
      <c r="AX28" s="135" t="str">
        <f>IF(AW28="","",SUMIFS(TableSSDPeopleGroups[Population], TableSSDPeopleGroups[Ctry],'Planning Template'!$F$30,TableSSDPeopleGroups[PrimaryReligion],'Planning Template'!$F$301,TableSSDPeopleGroups[PeopleCluster],'Planning Template'!$F$45,TableSSDPeopleGroups[PeopNameInCountry],$AW28))</f>
        <v/>
      </c>
      <c r="AY28" s="234" t="str">
        <f t="shared" si="3"/>
        <v/>
      </c>
    </row>
    <row r="29" spans="1:51" s="110" customFormat="1" ht="20" customHeight="1">
      <c r="A29" s="125" t="s">
        <v>408</v>
      </c>
      <c r="B29" s="126" t="s">
        <v>64</v>
      </c>
      <c r="C29" s="127">
        <v>12057</v>
      </c>
      <c r="D29" s="145">
        <v>103701</v>
      </c>
      <c r="E29" s="146" t="s">
        <v>3433</v>
      </c>
      <c r="F29" s="146" t="s">
        <v>3433</v>
      </c>
      <c r="G29" s="147">
        <v>440000</v>
      </c>
      <c r="H29" s="147">
        <v>4</v>
      </c>
      <c r="I29" s="146" t="s">
        <v>209</v>
      </c>
      <c r="J29" s="146" t="s">
        <v>2606</v>
      </c>
      <c r="K29" s="146" t="s">
        <v>2607</v>
      </c>
      <c r="L29" s="147">
        <v>5</v>
      </c>
      <c r="M29" s="147">
        <v>2</v>
      </c>
      <c r="N29" s="146" t="s">
        <v>1718</v>
      </c>
      <c r="O29" s="147">
        <v>12</v>
      </c>
      <c r="P29" s="147">
        <v>7</v>
      </c>
      <c r="Q29" s="147">
        <v>11</v>
      </c>
      <c r="R29" s="146" t="s">
        <v>740</v>
      </c>
      <c r="S29" s="146" t="s">
        <v>741</v>
      </c>
      <c r="T29" s="147">
        <v>161</v>
      </c>
      <c r="U29" s="146" t="s">
        <v>2134</v>
      </c>
      <c r="V29" s="146" t="s">
        <v>2135</v>
      </c>
      <c r="W29" s="147">
        <v>36</v>
      </c>
      <c r="X29" s="147">
        <v>2</v>
      </c>
      <c r="Y29" s="146" t="s">
        <v>194</v>
      </c>
      <c r="Z29" s="146" t="s">
        <v>195</v>
      </c>
      <c r="AA29" s="146" t="s">
        <v>196</v>
      </c>
      <c r="AB29" s="146" t="s">
        <v>209</v>
      </c>
      <c r="AC29" s="146" t="s">
        <v>187</v>
      </c>
      <c r="AD29" s="148"/>
      <c r="AE29" s="146" t="s">
        <v>209</v>
      </c>
      <c r="AF29" s="147">
        <v>1.3627</v>
      </c>
      <c r="AG29" s="149">
        <v>103.80531999999999</v>
      </c>
      <c r="AI29" s="133">
        <f t="shared" si="0"/>
        <v>19</v>
      </c>
      <c r="AJ29" s="134" t="str">
        <v>Bungku-Bajau</v>
      </c>
      <c r="AK29" s="135">
        <f t="shared" si="1"/>
        <v>784700</v>
      </c>
      <c r="AM29" s="133" t="str" cm="1">
        <f t="array" ref="AM29">IF(ROWS($AN$2:$AN28)&lt;=$AN$2,INDEX($V$3:$V$3000,_xlfn.AGGREGATE(15,3,($B$3:$B$3000=$AM$2)/($B$3:$B$3000=$AM$2)*(ROW($B$3:$B$3000)-ROW($B$2)),ROWS($AN$2:$AN28))),"")</f>
        <v/>
      </c>
      <c r="AN29" s="134" t="str" cm="1">
        <f t="array" ref="AN29">IF(ROWS($AN$2:$AN28)&lt;=$AN$2,INDEX($F$3:$F$3000,_xlfn.AGGREGATE(15,3,($B$3:$B$3000=$AM$2)/($B$3:$B$3000=$AM$2)*(ROW($B$3:$B$3000)-ROW($B$2)),ROWS($AN$2:$AN28))),"")</f>
        <v/>
      </c>
      <c r="AO29" s="135" t="str" cm="1">
        <f t="array" ref="AO29">IF(ROWS($AN$2:$AN28)&lt;=$AN$2,INDEX($G$3:$G$3000,_xlfn.AGGREGATE(15,3,($B$3:$B$3000=$AM$2)/($B$3:$B$3000=$AM$2)*(ROW($B$3:$B$3000)-ROW($B$2)),ROWS($AN$2:$AN28))),"")</f>
        <v/>
      </c>
      <c r="AP29" s="121"/>
      <c r="AQ29" s="133"/>
      <c r="AR29" s="136">
        <f>IF('Planning Template'!$F$43="",SUMIFS($G$3:$G$3001,$V$3:$V$3001,$AQ29,$B$3:$B$3001,$AM$2),SUMIFS($G$3:$G$3001,$V$3:$V$3001,$AQ29,$B$3:$B$3001,$AM$2,$N$3:$N$3001,'Planning Template'!$F$301))</f>
        <v>0</v>
      </c>
      <c r="AS29" s="136"/>
      <c r="AT29" s="137" t="str">
        <f t="shared" si="2"/>
        <v xml:space="preserve"> (0)</v>
      </c>
      <c r="AV29" s="133" t="str" cm="1">
        <f t="array" ref="AV29">IF(ROWS($AW$2:$AW28)&lt;=$AW$2,INDEX($AM$3:$AM$792,_xlfn.AGGREGATE(15,3,($AM$3:$AM$792='Planning Template'!$F$45)/($AM$3:$AM$792='Planning Template'!$F$45)*(ROW($AM$3:$AM$792)-ROW($AM$2)),ROWS($AW$2:$AW28))),"")</f>
        <v/>
      </c>
      <c r="AW29" s="134" t="str" cm="1">
        <f t="array" ref="AW29">IF(ROWS($AU$3:$AU29)&lt;=$AW$2,INDEX($AN$3:$AN$792,_xlfn.AGGREGATE(15,3,($AM$3:$AM$792='Planning Template'!$F$45)/($AM$3:$AM$792='Planning Template'!$F$45)*(ROW($AM$3:$AM$792)-ROW($AM$2)),ROWS($AU$3:$AU29))),"")</f>
        <v/>
      </c>
      <c r="AX29" s="135" t="str">
        <f>IF(AW29="","",SUMIFS(TableSSDPeopleGroups[Population], TableSSDPeopleGroups[Ctry],'Planning Template'!$F$30,TableSSDPeopleGroups[PrimaryReligion],'Planning Template'!$F$301,TableSSDPeopleGroups[PeopleCluster],'Planning Template'!$F$45,TableSSDPeopleGroups[PeopNameInCountry],$AW29))</f>
        <v/>
      </c>
      <c r="AY29" s="234" t="str">
        <f t="shared" si="3"/>
        <v/>
      </c>
    </row>
    <row r="30" spans="1:51" s="110" customFormat="1" ht="20" customHeight="1">
      <c r="A30" s="125" t="s">
        <v>408</v>
      </c>
      <c r="B30" s="126" t="s">
        <v>64</v>
      </c>
      <c r="C30" s="127">
        <v>12051</v>
      </c>
      <c r="D30" s="128">
        <v>103686</v>
      </c>
      <c r="E30" s="129" t="s">
        <v>2389</v>
      </c>
      <c r="F30" s="129" t="s">
        <v>2389</v>
      </c>
      <c r="G30" s="130">
        <v>1435000</v>
      </c>
      <c r="H30" s="130">
        <v>5</v>
      </c>
      <c r="I30" s="129" t="s">
        <v>209</v>
      </c>
      <c r="J30" s="129" t="s">
        <v>738</v>
      </c>
      <c r="K30" s="129" t="s">
        <v>739</v>
      </c>
      <c r="L30" s="130">
        <v>5</v>
      </c>
      <c r="M30" s="130">
        <v>2</v>
      </c>
      <c r="N30" s="129" t="s">
        <v>1718</v>
      </c>
      <c r="O30" s="130">
        <v>12</v>
      </c>
      <c r="P30" s="130">
        <v>10.606999999999999</v>
      </c>
      <c r="Q30" s="130">
        <v>11</v>
      </c>
      <c r="R30" s="129" t="s">
        <v>740</v>
      </c>
      <c r="S30" s="129" t="s">
        <v>741</v>
      </c>
      <c r="T30" s="130">
        <v>161</v>
      </c>
      <c r="U30" s="129" t="s">
        <v>2134</v>
      </c>
      <c r="V30" s="129" t="s">
        <v>2135</v>
      </c>
      <c r="W30" s="130">
        <v>55</v>
      </c>
      <c r="X30" s="130">
        <v>2</v>
      </c>
      <c r="Y30" s="129" t="s">
        <v>194</v>
      </c>
      <c r="Z30" s="129" t="s">
        <v>195</v>
      </c>
      <c r="AA30" s="129" t="s">
        <v>196</v>
      </c>
      <c r="AB30" s="129" t="s">
        <v>209</v>
      </c>
      <c r="AC30" s="129" t="s">
        <v>187</v>
      </c>
      <c r="AD30" s="131"/>
      <c r="AE30" s="129" t="s">
        <v>209</v>
      </c>
      <c r="AF30" s="130">
        <v>1.3243922553982701</v>
      </c>
      <c r="AG30" s="132">
        <v>103.71086253387899</v>
      </c>
      <c r="AI30" s="133">
        <f t="shared" si="0"/>
        <v>1</v>
      </c>
      <c r="AJ30" s="134" t="str">
        <v>Caucasian Peoples, general</v>
      </c>
      <c r="AK30" s="135">
        <f t="shared" si="1"/>
        <v>2300</v>
      </c>
      <c r="AM30" s="133" t="str" cm="1">
        <f t="array" ref="AM30">IF(ROWS($AN$2:$AN29)&lt;=$AN$2,INDEX($V$3:$V$3000,_xlfn.AGGREGATE(15,3,($B$3:$B$3000=$AM$2)/($B$3:$B$3000=$AM$2)*(ROW($B$3:$B$3000)-ROW($B$2)),ROWS($AN$2:$AN29))),"")</f>
        <v/>
      </c>
      <c r="AN30" s="134" t="str" cm="1">
        <f t="array" ref="AN30">IF(ROWS($AN$2:$AN29)&lt;=$AN$2,INDEX($F$3:$F$3000,_xlfn.AGGREGATE(15,3,($B$3:$B$3000=$AM$2)/($B$3:$B$3000=$AM$2)*(ROW($B$3:$B$3000)-ROW($B$2)),ROWS($AN$2:$AN29))),"")</f>
        <v/>
      </c>
      <c r="AO30" s="135" t="str" cm="1">
        <f t="array" ref="AO30">IF(ROWS($AN$2:$AN29)&lt;=$AN$2,INDEX($G$3:$G$3000,_xlfn.AGGREGATE(15,3,($B$3:$B$3000=$AM$2)/($B$3:$B$3000=$AM$2)*(ROW($B$3:$B$3000)-ROW($B$2)),ROWS($AN$2:$AN29))),"")</f>
        <v/>
      </c>
      <c r="AP30" s="121"/>
      <c r="AQ30" s="133"/>
      <c r="AR30" s="136">
        <f>IF('Planning Template'!$F$43="",SUMIFS($G$3:$G$3001,$V$3:$V$3001,$AQ30,$B$3:$B$3001,$AM$2),SUMIFS($G$3:$G$3001,$V$3:$V$3001,$AQ30,$B$3:$B$3001,$AM$2,$N$3:$N$3001,'Planning Template'!$F$301))</f>
        <v>0</v>
      </c>
      <c r="AS30" s="136"/>
      <c r="AT30" s="137" t="str">
        <f t="shared" si="2"/>
        <v xml:space="preserve"> (0)</v>
      </c>
      <c r="AV30" s="133" t="str" cm="1">
        <f t="array" ref="AV30">IF(ROWS($AW$2:$AW29)&lt;=$AW$2,INDEX($AM$3:$AM$792,_xlfn.AGGREGATE(15,3,($AM$3:$AM$792='Planning Template'!$F$45)/($AM$3:$AM$792='Planning Template'!$F$45)*(ROW($AM$3:$AM$792)-ROW($AM$2)),ROWS($AW$2:$AW29))),"")</f>
        <v/>
      </c>
      <c r="AW30" s="134" t="str" cm="1">
        <f t="array" ref="AW30">IF(ROWS($AU$3:$AU30)&lt;=$AW$2,INDEX($AN$3:$AN$792,_xlfn.AGGREGATE(15,3,($AM$3:$AM$792='Planning Template'!$F$45)/($AM$3:$AM$792='Planning Template'!$F$45)*(ROW($AM$3:$AM$792)-ROW($AM$2)),ROWS($AU$3:$AU30))),"")</f>
        <v/>
      </c>
      <c r="AX30" s="135" t="str">
        <f>IF(AW30="","",SUMIFS(TableSSDPeopleGroups[Population], TableSSDPeopleGroups[Ctry],'Planning Template'!$F$30,TableSSDPeopleGroups[PrimaryReligion],'Planning Template'!$F$301,TableSSDPeopleGroups[PeopleCluster],'Planning Template'!$F$45,TableSSDPeopleGroups[PeopNameInCountry],$AW30))</f>
        <v/>
      </c>
      <c r="AY30" s="234" t="str">
        <f t="shared" si="3"/>
        <v/>
      </c>
    </row>
    <row r="31" spans="1:51" s="110" customFormat="1" ht="20" customHeight="1">
      <c r="A31" s="125" t="s">
        <v>478</v>
      </c>
      <c r="B31" s="126" t="s">
        <v>56</v>
      </c>
      <c r="C31" s="127">
        <v>12054</v>
      </c>
      <c r="D31" s="163">
        <v>103691</v>
      </c>
      <c r="E31" s="164" t="s">
        <v>2157</v>
      </c>
      <c r="F31" s="164" t="s">
        <v>2157</v>
      </c>
      <c r="G31" s="165">
        <v>79000</v>
      </c>
      <c r="H31" s="165">
        <v>1</v>
      </c>
      <c r="I31" s="164" t="s">
        <v>187</v>
      </c>
      <c r="J31" s="164" t="s">
        <v>2158</v>
      </c>
      <c r="K31" s="164" t="s">
        <v>2159</v>
      </c>
      <c r="L31" s="165">
        <v>5</v>
      </c>
      <c r="M31" s="165">
        <v>2</v>
      </c>
      <c r="N31" s="164" t="s">
        <v>1718</v>
      </c>
      <c r="O31" s="165">
        <v>5</v>
      </c>
      <c r="P31" s="165">
        <v>2</v>
      </c>
      <c r="Q31" s="165">
        <v>11</v>
      </c>
      <c r="R31" s="164" t="s">
        <v>740</v>
      </c>
      <c r="S31" s="164" t="s">
        <v>741</v>
      </c>
      <c r="T31" s="165">
        <v>161</v>
      </c>
      <c r="U31" s="164" t="s">
        <v>2134</v>
      </c>
      <c r="V31" s="164" t="s">
        <v>2135</v>
      </c>
      <c r="W31" s="165">
        <v>22</v>
      </c>
      <c r="X31" s="165">
        <v>2</v>
      </c>
      <c r="Y31" s="164" t="s">
        <v>194</v>
      </c>
      <c r="Z31" s="164" t="s">
        <v>195</v>
      </c>
      <c r="AA31" s="164" t="s">
        <v>196</v>
      </c>
      <c r="AB31" s="164" t="s">
        <v>187</v>
      </c>
      <c r="AC31" s="164" t="s">
        <v>209</v>
      </c>
      <c r="AD31" s="165">
        <v>2</v>
      </c>
      <c r="AE31" s="164" t="s">
        <v>209</v>
      </c>
      <c r="AF31" s="165">
        <v>13.73607</v>
      </c>
      <c r="AG31" s="166">
        <v>100.42950999999999</v>
      </c>
      <c r="AI31" s="133">
        <f t="shared" si="0"/>
        <v>38</v>
      </c>
      <c r="AJ31" s="134" t="str">
        <v>Filipino, Central</v>
      </c>
      <c r="AK31" s="135">
        <f t="shared" si="1"/>
        <v>92524800</v>
      </c>
      <c r="AM31" s="133" t="str" cm="1">
        <f t="array" ref="AM31">IF(ROWS($AN$2:$AN30)&lt;=$AN$2,INDEX($V$3:$V$3000,_xlfn.AGGREGATE(15,3,($B$3:$B$3000=$AM$2)/($B$3:$B$3000=$AM$2)*(ROW($B$3:$B$3000)-ROW($B$2)),ROWS($AN$2:$AN30))),"")</f>
        <v/>
      </c>
      <c r="AN31" s="134" t="str" cm="1">
        <f t="array" ref="AN31">IF(ROWS($AN$2:$AN30)&lt;=$AN$2,INDEX($F$3:$F$3000,_xlfn.AGGREGATE(15,3,($B$3:$B$3000=$AM$2)/($B$3:$B$3000=$AM$2)*(ROW($B$3:$B$3000)-ROW($B$2)),ROWS($AN$2:$AN30))),"")</f>
        <v/>
      </c>
      <c r="AO31" s="135" t="str" cm="1">
        <f t="array" ref="AO31">IF(ROWS($AN$2:$AN30)&lt;=$AN$2,INDEX($G$3:$G$3000,_xlfn.AGGREGATE(15,3,($B$3:$B$3000=$AM$2)/($B$3:$B$3000=$AM$2)*(ROW($B$3:$B$3000)-ROW($B$2)),ROWS($AN$2:$AN30))),"")</f>
        <v/>
      </c>
      <c r="AP31" s="121"/>
      <c r="AQ31" s="133"/>
      <c r="AR31" s="136">
        <f>IF('Planning Template'!$F$43="",SUMIFS($G$3:$G$3001,$V$3:$V$3001,$AQ31,$B$3:$B$3001,$AM$2),SUMIFS($G$3:$G$3001,$V$3:$V$3001,$AQ31,$B$3:$B$3001,$AM$2,$N$3:$N$3001,'Planning Template'!$F$301))</f>
        <v>0</v>
      </c>
      <c r="AS31" s="136"/>
      <c r="AT31" s="137" t="str">
        <f t="shared" si="2"/>
        <v xml:space="preserve"> (0)</v>
      </c>
      <c r="AV31" s="133" t="str" cm="1">
        <f t="array" ref="AV31">IF(ROWS($AW$2:$AW30)&lt;=$AW$2,INDEX($AM$3:$AM$792,_xlfn.AGGREGATE(15,3,($AM$3:$AM$792='Planning Template'!$F$45)/($AM$3:$AM$792='Planning Template'!$F$45)*(ROW($AM$3:$AM$792)-ROW($AM$2)),ROWS($AW$2:$AW30))),"")</f>
        <v/>
      </c>
      <c r="AW31" s="134" t="str" cm="1">
        <f t="array" ref="AW31">IF(ROWS($AU$3:$AU31)&lt;=$AW$2,INDEX($AN$3:$AN$792,_xlfn.AGGREGATE(15,3,($AM$3:$AM$792='Planning Template'!$F$45)/($AM$3:$AM$792='Planning Template'!$F$45)*(ROW($AM$3:$AM$792)-ROW($AM$2)),ROWS($AU$3:$AU31))),"")</f>
        <v/>
      </c>
      <c r="AX31" s="135" t="str">
        <f>IF(AW31="","",SUMIFS(TableSSDPeopleGroups[Population], TableSSDPeopleGroups[Ctry],'Planning Template'!$F$30,TableSSDPeopleGroups[PrimaryReligion],'Planning Template'!$F$301,TableSSDPeopleGroups[PeopleCluster],'Planning Template'!$F$45,TableSSDPeopleGroups[PeopNameInCountry],$AW31))</f>
        <v/>
      </c>
      <c r="AY31" s="234" t="str">
        <f t="shared" si="3"/>
        <v/>
      </c>
    </row>
    <row r="32" spans="1:51" s="110" customFormat="1" ht="20" customHeight="1">
      <c r="A32" s="125" t="s">
        <v>478</v>
      </c>
      <c r="B32" s="126" t="s">
        <v>56</v>
      </c>
      <c r="C32" s="127">
        <v>12057</v>
      </c>
      <c r="D32" s="163">
        <v>103701</v>
      </c>
      <c r="E32" s="164" t="s">
        <v>3433</v>
      </c>
      <c r="F32" s="164" t="s">
        <v>3433</v>
      </c>
      <c r="G32" s="165">
        <v>40000</v>
      </c>
      <c r="H32" s="165">
        <v>1</v>
      </c>
      <c r="I32" s="164" t="s">
        <v>187</v>
      </c>
      <c r="J32" s="164" t="s">
        <v>2606</v>
      </c>
      <c r="K32" s="164" t="s">
        <v>2607</v>
      </c>
      <c r="L32" s="165">
        <v>5</v>
      </c>
      <c r="M32" s="165">
        <v>2</v>
      </c>
      <c r="N32" s="164" t="s">
        <v>1718</v>
      </c>
      <c r="O32" s="165">
        <v>5</v>
      </c>
      <c r="P32" s="165">
        <v>2</v>
      </c>
      <c r="Q32" s="165">
        <v>11</v>
      </c>
      <c r="R32" s="164" t="s">
        <v>740</v>
      </c>
      <c r="S32" s="164" t="s">
        <v>741</v>
      </c>
      <c r="T32" s="165">
        <v>161</v>
      </c>
      <c r="U32" s="164" t="s">
        <v>2134</v>
      </c>
      <c r="V32" s="164" t="s">
        <v>2135</v>
      </c>
      <c r="W32" s="165">
        <v>36</v>
      </c>
      <c r="X32" s="165">
        <v>2</v>
      </c>
      <c r="Y32" s="164" t="s">
        <v>194</v>
      </c>
      <c r="Z32" s="164" t="s">
        <v>195</v>
      </c>
      <c r="AA32" s="164" t="s">
        <v>196</v>
      </c>
      <c r="AB32" s="164" t="s">
        <v>187</v>
      </c>
      <c r="AC32" s="164" t="s">
        <v>209</v>
      </c>
      <c r="AD32" s="165">
        <v>1</v>
      </c>
      <c r="AE32" s="164" t="s">
        <v>209</v>
      </c>
      <c r="AF32" s="165">
        <v>14.38729</v>
      </c>
      <c r="AG32" s="166">
        <v>100.32594</v>
      </c>
      <c r="AI32" s="133">
        <f t="shared" si="0"/>
        <v>137</v>
      </c>
      <c r="AJ32" s="134" t="str">
        <v>Filipino, Tribal</v>
      </c>
      <c r="AK32" s="135">
        <f t="shared" si="1"/>
        <v>8100180</v>
      </c>
      <c r="AM32" s="133" t="str" cm="1">
        <f t="array" ref="AM32">IF(ROWS($AN$2:$AN31)&lt;=$AN$2,INDEX($V$3:$V$3000,_xlfn.AGGREGATE(15,3,($B$3:$B$3000=$AM$2)/($B$3:$B$3000=$AM$2)*(ROW($B$3:$B$3000)-ROW($B$2)),ROWS($AN$2:$AN31))),"")</f>
        <v/>
      </c>
      <c r="AN32" s="134" t="str" cm="1">
        <f t="array" ref="AN32">IF(ROWS($AN$2:$AN31)&lt;=$AN$2,INDEX($F$3:$F$3000,_xlfn.AGGREGATE(15,3,($B$3:$B$3000=$AM$2)/($B$3:$B$3000=$AM$2)*(ROW($B$3:$B$3000)-ROW($B$2)),ROWS($AN$2:$AN31))),"")</f>
        <v/>
      </c>
      <c r="AO32" s="135" t="str" cm="1">
        <f t="array" ref="AO32">IF(ROWS($AN$2:$AN31)&lt;=$AN$2,INDEX($G$3:$G$3000,_xlfn.AGGREGATE(15,3,($B$3:$B$3000=$AM$2)/($B$3:$B$3000=$AM$2)*(ROW($B$3:$B$3000)-ROW($B$2)),ROWS($AN$2:$AN31))),"")</f>
        <v/>
      </c>
      <c r="AP32" s="121"/>
      <c r="AQ32" s="133"/>
      <c r="AR32" s="136">
        <f>IF('Planning Template'!$F$43="",SUMIFS($G$3:$G$3001,$V$3:$V$3001,$AQ32,$B$3:$B$3001,$AM$2),SUMIFS($G$3:$G$3001,$V$3:$V$3001,$AQ32,$B$3:$B$3001,$AM$2,$N$3:$N$3001,'Planning Template'!$F$301))</f>
        <v>0</v>
      </c>
      <c r="AS32" s="136"/>
      <c r="AT32" s="137" t="str">
        <f t="shared" si="2"/>
        <v xml:space="preserve"> (0)</v>
      </c>
      <c r="AV32" s="133" t="str" cm="1">
        <f t="array" ref="AV32">IF(ROWS($AW$2:$AW31)&lt;=$AW$2,INDEX($AM$3:$AM$792,_xlfn.AGGREGATE(15,3,($AM$3:$AM$792='Planning Template'!$F$45)/($AM$3:$AM$792='Planning Template'!$F$45)*(ROW($AM$3:$AM$792)-ROW($AM$2)),ROWS($AW$2:$AW31))),"")</f>
        <v/>
      </c>
      <c r="AW32" s="134" t="str" cm="1">
        <f t="array" ref="AW32">IF(ROWS($AU$3:$AU32)&lt;=$AW$2,INDEX($AN$3:$AN$792,_xlfn.AGGREGATE(15,3,($AM$3:$AM$792='Planning Template'!$F$45)/($AM$3:$AM$792='Planning Template'!$F$45)*(ROW($AM$3:$AM$792)-ROW($AM$2)),ROWS($AU$3:$AU32))),"")</f>
        <v/>
      </c>
      <c r="AX32" s="135" t="str">
        <f>IF(AW32="","",SUMIFS(TableSSDPeopleGroups[Population], TableSSDPeopleGroups[Ctry],'Planning Template'!$F$30,TableSSDPeopleGroups[PrimaryReligion],'Planning Template'!$F$301,TableSSDPeopleGroups[PeopleCluster],'Planning Template'!$F$45,TableSSDPeopleGroups[PeopNameInCountry],$AW32))</f>
        <v/>
      </c>
      <c r="AY32" s="234" t="str">
        <f t="shared" si="3"/>
        <v/>
      </c>
    </row>
    <row r="33" spans="1:51" s="110" customFormat="1" ht="20" customHeight="1">
      <c r="A33" s="125" t="s">
        <v>478</v>
      </c>
      <c r="B33" s="126" t="s">
        <v>56</v>
      </c>
      <c r="C33" s="127">
        <v>11343</v>
      </c>
      <c r="D33" s="163">
        <v>102138</v>
      </c>
      <c r="E33" s="164" t="s">
        <v>3588</v>
      </c>
      <c r="F33" s="164" t="s">
        <v>3588</v>
      </c>
      <c r="G33" s="165">
        <v>14000</v>
      </c>
      <c r="H33" s="165">
        <v>1</v>
      </c>
      <c r="I33" s="164" t="s">
        <v>187</v>
      </c>
      <c r="J33" s="164" t="s">
        <v>3589</v>
      </c>
      <c r="K33" s="164" t="s">
        <v>3590</v>
      </c>
      <c r="L33" s="165">
        <v>4</v>
      </c>
      <c r="M33" s="165">
        <v>2</v>
      </c>
      <c r="N33" s="164" t="s">
        <v>1718</v>
      </c>
      <c r="O33" s="165">
        <v>5</v>
      </c>
      <c r="P33" s="165">
        <v>2</v>
      </c>
      <c r="Q33" s="165">
        <v>11</v>
      </c>
      <c r="R33" s="164" t="s">
        <v>740</v>
      </c>
      <c r="S33" s="164" t="s">
        <v>741</v>
      </c>
      <c r="T33" s="165">
        <v>161</v>
      </c>
      <c r="U33" s="164" t="s">
        <v>2134</v>
      </c>
      <c r="V33" s="164" t="s">
        <v>2135</v>
      </c>
      <c r="W33" s="165">
        <v>6</v>
      </c>
      <c r="X33" s="165">
        <v>2</v>
      </c>
      <c r="Y33" s="164" t="s">
        <v>194</v>
      </c>
      <c r="Z33" s="164" t="s">
        <v>195</v>
      </c>
      <c r="AA33" s="164" t="s">
        <v>196</v>
      </c>
      <c r="AB33" s="164" t="s">
        <v>187</v>
      </c>
      <c r="AC33" s="164" t="s">
        <v>209</v>
      </c>
      <c r="AD33" s="165">
        <v>1</v>
      </c>
      <c r="AE33" s="164" t="s">
        <v>209</v>
      </c>
      <c r="AF33" s="165">
        <v>13.718795513901901</v>
      </c>
      <c r="AG33" s="166">
        <v>100.472565215812</v>
      </c>
      <c r="AI33" s="133">
        <f t="shared" si="0"/>
        <v>56</v>
      </c>
      <c r="AJ33" s="134" t="str">
        <v>Flores-Sumba-Alor</v>
      </c>
      <c r="AK33" s="135">
        <f t="shared" si="1"/>
        <v>2923700</v>
      </c>
      <c r="AM33" s="133" t="str" cm="1">
        <f t="array" ref="AM33">IF(ROWS($AN$2:$AN32)&lt;=$AN$2,INDEX($V$3:$V$3000,_xlfn.AGGREGATE(15,3,($B$3:$B$3000=$AM$2)/($B$3:$B$3000=$AM$2)*(ROW($B$3:$B$3000)-ROW($B$2)),ROWS($AN$2:$AN32))),"")</f>
        <v/>
      </c>
      <c r="AN33" s="134" t="str" cm="1">
        <f t="array" ref="AN33">IF(ROWS($AN$2:$AN32)&lt;=$AN$2,INDEX($F$3:$F$3000,_xlfn.AGGREGATE(15,3,($B$3:$B$3000=$AM$2)/($B$3:$B$3000=$AM$2)*(ROW($B$3:$B$3000)-ROW($B$2)),ROWS($AN$2:$AN32))),"")</f>
        <v/>
      </c>
      <c r="AO33" s="135" t="str" cm="1">
        <f t="array" ref="AO33">IF(ROWS($AN$2:$AN32)&lt;=$AN$2,INDEX($G$3:$G$3000,_xlfn.AGGREGATE(15,3,($B$3:$B$3000=$AM$2)/($B$3:$B$3000=$AM$2)*(ROW($B$3:$B$3000)-ROW($B$2)),ROWS($AN$2:$AN32))),"")</f>
        <v/>
      </c>
      <c r="AP33" s="121"/>
      <c r="AQ33" s="133"/>
      <c r="AR33" s="136">
        <f>IF('Planning Template'!$F$43="",SUMIFS($G$3:$G$3001,$V$3:$V$3001,$AQ33,$B$3:$B$3001,$AM$2),SUMIFS($G$3:$G$3001,$V$3:$V$3001,$AQ33,$B$3:$B$3001,$AM$2,$N$3:$N$3001,'Planning Template'!$F$301))</f>
        <v>0</v>
      </c>
      <c r="AS33" s="136"/>
      <c r="AT33" s="137" t="str">
        <f t="shared" si="2"/>
        <v xml:space="preserve"> (0)</v>
      </c>
      <c r="AV33" s="133" t="str" cm="1">
        <f t="array" ref="AV33">IF(ROWS($AW$2:$AW32)&lt;=$AW$2,INDEX($AM$3:$AM$792,_xlfn.AGGREGATE(15,3,($AM$3:$AM$792='Planning Template'!$F$45)/($AM$3:$AM$792='Planning Template'!$F$45)*(ROW($AM$3:$AM$792)-ROW($AM$2)),ROWS($AW$2:$AW32))),"")</f>
        <v/>
      </c>
      <c r="AW33" s="134" t="str" cm="1">
        <f t="array" ref="AW33">IF(ROWS($AU$3:$AU33)&lt;=$AW$2,INDEX($AN$3:$AN$792,_xlfn.AGGREGATE(15,3,($AM$3:$AM$792='Planning Template'!$F$45)/($AM$3:$AM$792='Planning Template'!$F$45)*(ROW($AM$3:$AM$792)-ROW($AM$2)),ROWS($AU$3:$AU33))),"")</f>
        <v/>
      </c>
      <c r="AX33" s="135" t="str">
        <f>IF(AW33="","",SUMIFS(TableSSDPeopleGroups[Population], TableSSDPeopleGroups[Ctry],'Planning Template'!$F$30,TableSSDPeopleGroups[PrimaryReligion],'Planning Template'!$F$301,TableSSDPeopleGroups[PeopleCluster],'Planning Template'!$F$45,TableSSDPeopleGroups[PeopNameInCountry],$AW33))</f>
        <v/>
      </c>
      <c r="AY33" s="234" t="str">
        <f t="shared" si="3"/>
        <v/>
      </c>
    </row>
    <row r="34" spans="1:51" s="110" customFormat="1" ht="20" customHeight="1">
      <c r="A34" s="125" t="s">
        <v>478</v>
      </c>
      <c r="B34" s="126" t="s">
        <v>56</v>
      </c>
      <c r="C34" s="127">
        <v>19206</v>
      </c>
      <c r="D34" s="145">
        <v>115066</v>
      </c>
      <c r="E34" s="146" t="s">
        <v>2132</v>
      </c>
      <c r="F34" s="146" t="s">
        <v>4899</v>
      </c>
      <c r="G34" s="147">
        <v>5669000</v>
      </c>
      <c r="H34" s="147">
        <v>4</v>
      </c>
      <c r="I34" s="146" t="s">
        <v>209</v>
      </c>
      <c r="J34" s="146" t="s">
        <v>1442</v>
      </c>
      <c r="K34" s="146" t="s">
        <v>1443</v>
      </c>
      <c r="L34" s="147">
        <v>5</v>
      </c>
      <c r="M34" s="147">
        <v>2</v>
      </c>
      <c r="N34" s="146" t="s">
        <v>1718</v>
      </c>
      <c r="O34" s="147">
        <v>4</v>
      </c>
      <c r="P34" s="147">
        <v>2.661</v>
      </c>
      <c r="Q34" s="147">
        <v>11</v>
      </c>
      <c r="R34" s="146" t="s">
        <v>740</v>
      </c>
      <c r="S34" s="146" t="s">
        <v>741</v>
      </c>
      <c r="T34" s="147">
        <v>161</v>
      </c>
      <c r="U34" s="146" t="s">
        <v>2134</v>
      </c>
      <c r="V34" s="146" t="s">
        <v>2135</v>
      </c>
      <c r="W34" s="147">
        <v>63</v>
      </c>
      <c r="X34" s="147">
        <v>2</v>
      </c>
      <c r="Y34" s="146" t="s">
        <v>194</v>
      </c>
      <c r="Z34" s="146" t="s">
        <v>195</v>
      </c>
      <c r="AA34" s="146" t="s">
        <v>196</v>
      </c>
      <c r="AB34" s="146" t="s">
        <v>187</v>
      </c>
      <c r="AC34" s="146" t="s">
        <v>187</v>
      </c>
      <c r="AD34" s="148"/>
      <c r="AE34" s="146" t="s">
        <v>209</v>
      </c>
      <c r="AF34" s="147">
        <v>14.5023966884337</v>
      </c>
      <c r="AG34" s="149">
        <v>100.766860687785</v>
      </c>
      <c r="AI34" s="133">
        <f t="shared" si="0"/>
        <v>4</v>
      </c>
      <c r="AJ34" s="134" t="str">
        <v>French</v>
      </c>
      <c r="AK34" s="135">
        <f t="shared" si="1"/>
        <v>17100</v>
      </c>
      <c r="AM34" s="133" t="str" cm="1">
        <f t="array" ref="AM34">IF(ROWS($AN$2:$AN33)&lt;=$AN$2,INDEX($V$3:$V$3000,_xlfn.AGGREGATE(15,3,($B$3:$B$3000=$AM$2)/($B$3:$B$3000=$AM$2)*(ROW($B$3:$B$3000)-ROW($B$2)),ROWS($AN$2:$AN33))),"")</f>
        <v/>
      </c>
      <c r="AN34" s="134" t="str" cm="1">
        <f t="array" ref="AN34">IF(ROWS($AN$2:$AN33)&lt;=$AN$2,INDEX($F$3:$F$3000,_xlfn.AGGREGATE(15,3,($B$3:$B$3000=$AM$2)/($B$3:$B$3000=$AM$2)*(ROW($B$3:$B$3000)-ROW($B$2)),ROWS($AN$2:$AN33))),"")</f>
        <v/>
      </c>
      <c r="AO34" s="135" t="str" cm="1">
        <f t="array" ref="AO34">IF(ROWS($AN$2:$AN33)&lt;=$AN$2,INDEX($G$3:$G$3000,_xlfn.AGGREGATE(15,3,($B$3:$B$3000=$AM$2)/($B$3:$B$3000=$AM$2)*(ROW($B$3:$B$3000)-ROW($B$2)),ROWS($AN$2:$AN33))),"")</f>
        <v/>
      </c>
      <c r="AP34" s="121"/>
      <c r="AQ34" s="133"/>
      <c r="AR34" s="136">
        <f>IF('Planning Template'!$F$43="",SUMIFS($G$3:$G$3001,$V$3:$V$3001,$AQ34,$B$3:$B$3001,$AM$2),SUMIFS($G$3:$G$3001,$V$3:$V$3001,$AQ34,$B$3:$B$3001,$AM$2,$N$3:$N$3001,'Planning Template'!$F$301))</f>
        <v>0</v>
      </c>
      <c r="AS34" s="136"/>
      <c r="AT34" s="137" t="str">
        <f t="shared" si="2"/>
        <v xml:space="preserve"> (0)</v>
      </c>
      <c r="AV34" s="133" t="str" cm="1">
        <f t="array" ref="AV34">IF(ROWS($AW$2:$AW33)&lt;=$AW$2,INDEX($AM$3:$AM$792,_xlfn.AGGREGATE(15,3,($AM$3:$AM$792='Planning Template'!$F$45)/($AM$3:$AM$792='Planning Template'!$F$45)*(ROW($AM$3:$AM$792)-ROW($AM$2)),ROWS($AW$2:$AW33))),"")</f>
        <v/>
      </c>
      <c r="AW34" s="134" t="str" cm="1">
        <f t="array" ref="AW34">IF(ROWS($AU$3:$AU34)&lt;=$AW$2,INDEX($AN$3:$AN$792,_xlfn.AGGREGATE(15,3,($AM$3:$AM$792='Planning Template'!$F$45)/($AM$3:$AM$792='Planning Template'!$F$45)*(ROW($AM$3:$AM$792)-ROW($AM$2)),ROWS($AU$3:$AU34))),"")</f>
        <v/>
      </c>
      <c r="AX34" s="135" t="str">
        <f>IF(AW34="","",SUMIFS(TableSSDPeopleGroups[Population], TableSSDPeopleGroups[Ctry],'Planning Template'!$F$30,TableSSDPeopleGroups[PrimaryReligion],'Planning Template'!$F$301,TableSSDPeopleGroups[PeopleCluster],'Planning Template'!$F$45,TableSSDPeopleGroups[PeopNameInCountry],$AW34))</f>
        <v/>
      </c>
      <c r="AY34" s="234" t="str">
        <f t="shared" si="3"/>
        <v/>
      </c>
    </row>
    <row r="35" spans="1:51" s="110" customFormat="1" ht="20" customHeight="1">
      <c r="A35" s="125" t="s">
        <v>478</v>
      </c>
      <c r="B35" s="126" t="s">
        <v>56</v>
      </c>
      <c r="C35" s="127">
        <v>11344</v>
      </c>
      <c r="D35" s="145">
        <v>102140</v>
      </c>
      <c r="E35" s="146" t="s">
        <v>3229</v>
      </c>
      <c r="F35" s="146" t="s">
        <v>3229</v>
      </c>
      <c r="G35" s="147">
        <v>1497000</v>
      </c>
      <c r="H35" s="147">
        <v>4</v>
      </c>
      <c r="I35" s="146" t="s">
        <v>209</v>
      </c>
      <c r="J35" s="146" t="s">
        <v>3230</v>
      </c>
      <c r="K35" s="146" t="s">
        <v>3231</v>
      </c>
      <c r="L35" s="147">
        <v>5</v>
      </c>
      <c r="M35" s="147">
        <v>2</v>
      </c>
      <c r="N35" s="146" t="s">
        <v>1718</v>
      </c>
      <c r="O35" s="147">
        <v>4</v>
      </c>
      <c r="P35" s="147">
        <v>2.661</v>
      </c>
      <c r="Q35" s="147">
        <v>11</v>
      </c>
      <c r="R35" s="146" t="s">
        <v>740</v>
      </c>
      <c r="S35" s="146" t="s">
        <v>741</v>
      </c>
      <c r="T35" s="147">
        <v>161</v>
      </c>
      <c r="U35" s="146" t="s">
        <v>2134</v>
      </c>
      <c r="V35" s="146" t="s">
        <v>2135</v>
      </c>
      <c r="W35" s="147">
        <v>18</v>
      </c>
      <c r="X35" s="147">
        <v>2</v>
      </c>
      <c r="Y35" s="146" t="s">
        <v>194</v>
      </c>
      <c r="Z35" s="146" t="s">
        <v>195</v>
      </c>
      <c r="AA35" s="146" t="s">
        <v>196</v>
      </c>
      <c r="AB35" s="146" t="s">
        <v>187</v>
      </c>
      <c r="AC35" s="146" t="s">
        <v>209</v>
      </c>
      <c r="AD35" s="148"/>
      <c r="AE35" s="146" t="s">
        <v>209</v>
      </c>
      <c r="AF35" s="147">
        <v>17.391564985802901</v>
      </c>
      <c r="AG35" s="149">
        <v>101.73214026218901</v>
      </c>
      <c r="AI35" s="133">
        <f t="shared" ref="AI35:AI66" si="4">COUNTIF($V$3:$V$3000,$AJ35)</f>
        <v>3</v>
      </c>
      <c r="AJ35" s="134" t="str">
        <v>Germanic</v>
      </c>
      <c r="AK35" s="135">
        <f t="shared" ref="AK35:AK66" si="5">SUMIF($V$3:$V$3001,$AJ35, $G$3:$G$3001)</f>
        <v>24100</v>
      </c>
      <c r="AM35" s="133" t="str" cm="1">
        <f t="array" ref="AM35">IF(ROWS($AN$2:$AN34)&lt;=$AN$2,INDEX($V$3:$V$3000,_xlfn.AGGREGATE(15,3,($B$3:$B$3000=$AM$2)/($B$3:$B$3000=$AM$2)*(ROW($B$3:$B$3000)-ROW($B$2)),ROWS($AN$2:$AN34))),"")</f>
        <v/>
      </c>
      <c r="AN35" s="134" t="str" cm="1">
        <f t="array" ref="AN35">IF(ROWS($AN$2:$AN34)&lt;=$AN$2,INDEX($F$3:$F$3000,_xlfn.AGGREGATE(15,3,($B$3:$B$3000=$AM$2)/($B$3:$B$3000=$AM$2)*(ROW($B$3:$B$3000)-ROW($B$2)),ROWS($AN$2:$AN34))),"")</f>
        <v/>
      </c>
      <c r="AO35" s="135" t="str" cm="1">
        <f t="array" ref="AO35">IF(ROWS($AN$2:$AN34)&lt;=$AN$2,INDEX($G$3:$G$3000,_xlfn.AGGREGATE(15,3,($B$3:$B$3000=$AM$2)/($B$3:$B$3000=$AM$2)*(ROW($B$3:$B$3000)-ROW($B$2)),ROWS($AN$2:$AN34))),"")</f>
        <v/>
      </c>
      <c r="AP35" s="121"/>
      <c r="AQ35" s="133"/>
      <c r="AR35" s="136">
        <f>IF('Planning Template'!$F$43="",SUMIFS($G$3:$G$3001,$V$3:$V$3001,$AQ35,$B$3:$B$3001,$AM$2),SUMIFS($G$3:$G$3001,$V$3:$V$3001,$AQ35,$B$3:$B$3001,$AM$2,$N$3:$N$3001,'Planning Template'!$F$301))</f>
        <v>0</v>
      </c>
      <c r="AS35" s="136"/>
      <c r="AT35" s="137" t="str">
        <f t="shared" si="2"/>
        <v xml:space="preserve"> (0)</v>
      </c>
      <c r="AV35" s="133" t="str" cm="1">
        <f t="array" ref="AV35">IF(ROWS($AW$2:$AW34)&lt;=$AW$2,INDEX($AM$3:$AM$792,_xlfn.AGGREGATE(15,3,($AM$3:$AM$792='Planning Template'!$F$45)/($AM$3:$AM$792='Planning Template'!$F$45)*(ROW($AM$3:$AM$792)-ROW($AM$2)),ROWS($AW$2:$AW34))),"")</f>
        <v/>
      </c>
      <c r="AW35" s="134" t="str" cm="1">
        <f t="array" ref="AW35">IF(ROWS($AU$3:$AU35)&lt;=$AW$2,INDEX($AN$3:$AN$792,_xlfn.AGGREGATE(15,3,($AM$3:$AM$792='Planning Template'!$F$45)/($AM$3:$AM$792='Planning Template'!$F$45)*(ROW($AM$3:$AM$792)-ROW($AM$2)),ROWS($AU$3:$AU35))),"")</f>
        <v/>
      </c>
      <c r="AX35" s="135" t="str">
        <f>IF(AW35="","",SUMIFS(TableSSDPeopleGroups[Population], TableSSDPeopleGroups[Ctry],'Planning Template'!$F$30,TableSSDPeopleGroups[PrimaryReligion],'Planning Template'!$F$301,TableSSDPeopleGroups[PeopleCluster],'Planning Template'!$F$45,TableSSDPeopleGroups[PeopNameInCountry],$AW35))</f>
        <v/>
      </c>
      <c r="AY35" s="234" t="str">
        <f t="shared" si="3"/>
        <v/>
      </c>
    </row>
    <row r="36" spans="1:51" s="110" customFormat="1" ht="20" customHeight="1">
      <c r="A36" s="125" t="s">
        <v>478</v>
      </c>
      <c r="B36" s="126" t="s">
        <v>56</v>
      </c>
      <c r="C36" s="127">
        <v>12053</v>
      </c>
      <c r="D36" s="145">
        <v>103690</v>
      </c>
      <c r="E36" s="146" t="s">
        <v>3497</v>
      </c>
      <c r="F36" s="146" t="s">
        <v>3497</v>
      </c>
      <c r="G36" s="147">
        <v>8200</v>
      </c>
      <c r="H36" s="147">
        <v>4</v>
      </c>
      <c r="I36" s="146" t="s">
        <v>209</v>
      </c>
      <c r="J36" s="146" t="s">
        <v>3230</v>
      </c>
      <c r="K36" s="146" t="s">
        <v>3231</v>
      </c>
      <c r="L36" s="147">
        <v>5</v>
      </c>
      <c r="M36" s="147">
        <v>2</v>
      </c>
      <c r="N36" s="146" t="s">
        <v>1718</v>
      </c>
      <c r="O36" s="147">
        <v>6</v>
      </c>
      <c r="P36" s="147">
        <v>3</v>
      </c>
      <c r="Q36" s="147">
        <v>11</v>
      </c>
      <c r="R36" s="146" t="s">
        <v>740</v>
      </c>
      <c r="S36" s="146" t="s">
        <v>741</v>
      </c>
      <c r="T36" s="147">
        <v>161</v>
      </c>
      <c r="U36" s="146" t="s">
        <v>2134</v>
      </c>
      <c r="V36" s="146" t="s">
        <v>2135</v>
      </c>
      <c r="W36" s="147">
        <v>5</v>
      </c>
      <c r="X36" s="147">
        <v>2</v>
      </c>
      <c r="Y36" s="146" t="s">
        <v>194</v>
      </c>
      <c r="Z36" s="146" t="s">
        <v>195</v>
      </c>
      <c r="AA36" s="146" t="s">
        <v>196</v>
      </c>
      <c r="AB36" s="146" t="s">
        <v>187</v>
      </c>
      <c r="AC36" s="146" t="s">
        <v>209</v>
      </c>
      <c r="AD36" s="148"/>
      <c r="AE36" s="146" t="s">
        <v>209</v>
      </c>
      <c r="AF36" s="147">
        <v>17.397487112780901</v>
      </c>
      <c r="AG36" s="149">
        <v>101.72931108297701</v>
      </c>
      <c r="AI36" s="133">
        <f t="shared" si="4"/>
        <v>24</v>
      </c>
      <c r="AJ36" s="134" t="str">
        <v>Kaili-Tomini of Sulawesi</v>
      </c>
      <c r="AK36" s="135">
        <f t="shared" si="5"/>
        <v>758300</v>
      </c>
      <c r="AM36" s="133" t="str" cm="1">
        <f t="array" ref="AM36">IF(ROWS($AN$2:$AN35)&lt;=$AN$2,INDEX($V$3:$V$3000,_xlfn.AGGREGATE(15,3,($B$3:$B$3000=$AM$2)/($B$3:$B$3000=$AM$2)*(ROW($B$3:$B$3000)-ROW($B$2)),ROWS($AN$2:$AN35))),"")</f>
        <v/>
      </c>
      <c r="AN36" s="134" t="str" cm="1">
        <f t="array" ref="AN36">IF(ROWS($AN$2:$AN35)&lt;=$AN$2,INDEX($F$3:$F$3000,_xlfn.AGGREGATE(15,3,($B$3:$B$3000=$AM$2)/($B$3:$B$3000=$AM$2)*(ROW($B$3:$B$3000)-ROW($B$2)),ROWS($AN$2:$AN35))),"")</f>
        <v/>
      </c>
      <c r="AO36" s="135" t="str" cm="1">
        <f t="array" ref="AO36">IF(ROWS($AN$2:$AN35)&lt;=$AN$2,INDEX($G$3:$G$3000,_xlfn.AGGREGATE(15,3,($B$3:$B$3000=$AM$2)/($B$3:$B$3000=$AM$2)*(ROW($B$3:$B$3000)-ROW($B$2)),ROWS($AN$2:$AN35))),"")</f>
        <v/>
      </c>
      <c r="AP36" s="121"/>
      <c r="AQ36" s="133"/>
      <c r="AR36" s="136">
        <f>IF('Planning Template'!$F$43="",SUMIFS($G$3:$G$3001,$V$3:$V$3001,$AQ36,$B$3:$B$3001,$AM$2),SUMIFS($G$3:$G$3001,$V$3:$V$3001,$AQ36,$B$3:$B$3001,$AM$2,$N$3:$N$3001,'Planning Template'!$F$301))</f>
        <v>0</v>
      </c>
      <c r="AS36" s="136"/>
      <c r="AT36" s="137" t="str">
        <f t="shared" si="2"/>
        <v xml:space="preserve"> (0)</v>
      </c>
      <c r="AV36" s="133" t="str" cm="1">
        <f t="array" ref="AV36">IF(ROWS($AW$2:$AW35)&lt;=$AW$2,INDEX($AM$3:$AM$792,_xlfn.AGGREGATE(15,3,($AM$3:$AM$792='Planning Template'!$F$45)/($AM$3:$AM$792='Planning Template'!$F$45)*(ROW($AM$3:$AM$792)-ROW($AM$2)),ROWS($AW$2:$AW35))),"")</f>
        <v/>
      </c>
      <c r="AW36" s="134" t="str" cm="1">
        <f t="array" ref="AW36">IF(ROWS($AU$3:$AU36)&lt;=$AW$2,INDEX($AN$3:$AN$792,_xlfn.AGGREGATE(15,3,($AM$3:$AM$792='Planning Template'!$F$45)/($AM$3:$AM$792='Planning Template'!$F$45)*(ROW($AM$3:$AM$792)-ROW($AM$2)),ROWS($AU$3:$AU36))),"")</f>
        <v/>
      </c>
      <c r="AX36" s="135" t="str">
        <f>IF(AW36="","",SUMIFS(TableSSDPeopleGroups[Population], TableSSDPeopleGroups[Ctry],'Planning Template'!$F$30,TableSSDPeopleGroups[PrimaryReligion],'Planning Template'!$F$301,TableSSDPeopleGroups[PeopleCluster],'Planning Template'!$F$45,TableSSDPeopleGroups[PeopNameInCountry],$AW36))</f>
        <v/>
      </c>
      <c r="AY36" s="234" t="str">
        <f t="shared" si="3"/>
        <v/>
      </c>
    </row>
    <row r="37" spans="1:51" s="110" customFormat="1" ht="20" customHeight="1">
      <c r="A37" s="125" t="s">
        <v>483</v>
      </c>
      <c r="B37" s="126" t="s">
        <v>55</v>
      </c>
      <c r="C37" s="127">
        <v>19007</v>
      </c>
      <c r="D37" s="163">
        <v>114916</v>
      </c>
      <c r="E37" s="164" t="s">
        <v>627</v>
      </c>
      <c r="F37" s="164" t="s">
        <v>627</v>
      </c>
      <c r="G37" s="165">
        <v>124000</v>
      </c>
      <c r="H37" s="165">
        <v>1</v>
      </c>
      <c r="I37" s="164" t="s">
        <v>187</v>
      </c>
      <c r="J37" s="164" t="s">
        <v>634</v>
      </c>
      <c r="K37" s="164" t="s">
        <v>635</v>
      </c>
      <c r="L37" s="165">
        <v>0</v>
      </c>
      <c r="M37" s="165">
        <v>2</v>
      </c>
      <c r="N37" s="164" t="s">
        <v>1718</v>
      </c>
      <c r="O37" s="165">
        <v>3.13</v>
      </c>
      <c r="P37" s="168"/>
      <c r="Q37" s="165">
        <v>26</v>
      </c>
      <c r="R37" s="164" t="s">
        <v>630</v>
      </c>
      <c r="S37" s="164" t="s">
        <v>627</v>
      </c>
      <c r="T37" s="165">
        <v>328</v>
      </c>
      <c r="U37" s="164" t="s">
        <v>631</v>
      </c>
      <c r="V37" s="164" t="s">
        <v>627</v>
      </c>
      <c r="W37" s="165">
        <v>216</v>
      </c>
      <c r="X37" s="165">
        <v>2</v>
      </c>
      <c r="Y37" s="164" t="s">
        <v>194</v>
      </c>
      <c r="Z37" s="164" t="s">
        <v>195</v>
      </c>
      <c r="AA37" s="164" t="s">
        <v>196</v>
      </c>
      <c r="AB37" s="164" t="s">
        <v>187</v>
      </c>
      <c r="AC37" s="164" t="s">
        <v>187</v>
      </c>
      <c r="AD37" s="165">
        <v>2</v>
      </c>
      <c r="AE37" s="164" t="s">
        <v>209</v>
      </c>
      <c r="AF37" s="165">
        <v>11.5507239897203</v>
      </c>
      <c r="AG37" s="166">
        <v>104.912376383663</v>
      </c>
      <c r="AI37" s="133">
        <f t="shared" si="4"/>
        <v>3</v>
      </c>
      <c r="AJ37" s="134" t="str">
        <v>Lisu</v>
      </c>
      <c r="AK37" s="135">
        <f t="shared" si="5"/>
        <v>387000</v>
      </c>
      <c r="AM37" s="133" t="str" cm="1">
        <f t="array" ref="AM37">IF(ROWS($AN$2:$AN36)&lt;=$AN$2,INDEX($V$3:$V$3000,_xlfn.AGGREGATE(15,3,($B$3:$B$3000=$AM$2)/($B$3:$B$3000=$AM$2)*(ROW($B$3:$B$3000)-ROW($B$2)),ROWS($AN$2:$AN36))),"")</f>
        <v/>
      </c>
      <c r="AN37" s="134" t="str" cm="1">
        <f t="array" ref="AN37">IF(ROWS($AN$2:$AN36)&lt;=$AN$2,INDEX($F$3:$F$3000,_xlfn.AGGREGATE(15,3,($B$3:$B$3000=$AM$2)/($B$3:$B$3000=$AM$2)*(ROW($B$3:$B$3000)-ROW($B$2)),ROWS($AN$2:$AN36))),"")</f>
        <v/>
      </c>
      <c r="AO37" s="135" t="str" cm="1">
        <f t="array" ref="AO37">IF(ROWS($AN$2:$AN36)&lt;=$AN$2,INDEX($G$3:$G$3000,_xlfn.AGGREGATE(15,3,($B$3:$B$3000=$AM$2)/($B$3:$B$3000=$AM$2)*(ROW($B$3:$B$3000)-ROW($B$2)),ROWS($AN$2:$AN36))),"")</f>
        <v/>
      </c>
      <c r="AP37" s="121"/>
      <c r="AQ37" s="133"/>
      <c r="AR37" s="136">
        <f>IF('Planning Template'!$F$43="",SUMIFS($G$3:$G$3001,$V$3:$V$3001,$AQ37,$B$3:$B$3001,$AM$2),SUMIFS($G$3:$G$3001,$V$3:$V$3001,$AQ37,$B$3:$B$3001,$AM$2,$N$3:$N$3001,'Planning Template'!$F$301))</f>
        <v>0</v>
      </c>
      <c r="AS37" s="136"/>
      <c r="AT37" s="137" t="str">
        <f t="shared" si="2"/>
        <v xml:space="preserve"> (0)</v>
      </c>
      <c r="AV37" s="133" t="str" cm="1">
        <f t="array" ref="AV37">IF(ROWS($AW$2:$AW36)&lt;=$AW$2,INDEX($AM$3:$AM$792,_xlfn.AGGREGATE(15,3,($AM$3:$AM$792='Planning Template'!$F$45)/($AM$3:$AM$792='Planning Template'!$F$45)*(ROW($AM$3:$AM$792)-ROW($AM$2)),ROWS($AW$2:$AW36))),"")</f>
        <v/>
      </c>
      <c r="AW37" s="134" t="str" cm="1">
        <f t="array" ref="AW37">IF(ROWS($AU$3:$AU37)&lt;=$AW$2,INDEX($AN$3:$AN$792,_xlfn.AGGREGATE(15,3,($AM$3:$AM$792='Planning Template'!$F$45)/($AM$3:$AM$792='Planning Template'!$F$45)*(ROW($AM$3:$AM$792)-ROW($AM$2)),ROWS($AU$3:$AU37))),"")</f>
        <v/>
      </c>
      <c r="AX37" s="135" t="str">
        <f>IF(AW37="","",SUMIFS(TableSSDPeopleGroups[Population], TableSSDPeopleGroups[Ctry],'Planning Template'!$F$30,TableSSDPeopleGroups[PrimaryReligion],'Planning Template'!$F$301,TableSSDPeopleGroups[PeopleCluster],'Planning Template'!$F$45,TableSSDPeopleGroups[PeopNameInCountry],$AW37))</f>
        <v/>
      </c>
      <c r="AY37" s="234" t="str">
        <f t="shared" si="3"/>
        <v/>
      </c>
    </row>
    <row r="38" spans="1:51" s="110" customFormat="1" ht="20" customHeight="1">
      <c r="A38" s="125" t="s">
        <v>471</v>
      </c>
      <c r="B38" s="126" t="s">
        <v>65</v>
      </c>
      <c r="C38" s="127">
        <v>19007</v>
      </c>
      <c r="D38" s="163">
        <v>114916</v>
      </c>
      <c r="E38" s="164" t="s">
        <v>627</v>
      </c>
      <c r="F38" s="164" t="s">
        <v>627</v>
      </c>
      <c r="G38" s="165">
        <v>72000</v>
      </c>
      <c r="H38" s="165">
        <v>1</v>
      </c>
      <c r="I38" s="164" t="s">
        <v>187</v>
      </c>
      <c r="J38" s="164" t="s">
        <v>4520</v>
      </c>
      <c r="K38" s="164" t="s">
        <v>4521</v>
      </c>
      <c r="L38" s="165">
        <v>1</v>
      </c>
      <c r="M38" s="165">
        <v>2</v>
      </c>
      <c r="N38" s="164" t="s">
        <v>1718</v>
      </c>
      <c r="O38" s="165">
        <v>3.38</v>
      </c>
      <c r="P38" s="168"/>
      <c r="Q38" s="165">
        <v>26</v>
      </c>
      <c r="R38" s="164" t="s">
        <v>630</v>
      </c>
      <c r="S38" s="164" t="s">
        <v>627</v>
      </c>
      <c r="T38" s="165">
        <v>328</v>
      </c>
      <c r="U38" s="164" t="s">
        <v>631</v>
      </c>
      <c r="V38" s="164" t="s">
        <v>627</v>
      </c>
      <c r="W38" s="165">
        <v>216</v>
      </c>
      <c r="X38" s="165">
        <v>2</v>
      </c>
      <c r="Y38" s="164" t="s">
        <v>194</v>
      </c>
      <c r="Z38" s="164" t="s">
        <v>195</v>
      </c>
      <c r="AA38" s="164" t="s">
        <v>196</v>
      </c>
      <c r="AB38" s="164" t="s">
        <v>187</v>
      </c>
      <c r="AC38" s="164" t="s">
        <v>187</v>
      </c>
      <c r="AD38" s="165">
        <v>1</v>
      </c>
      <c r="AE38" s="164" t="s">
        <v>209</v>
      </c>
      <c r="AF38" s="165">
        <v>18.387</v>
      </c>
      <c r="AG38" s="166">
        <v>104.518</v>
      </c>
      <c r="AI38" s="133">
        <f t="shared" si="4"/>
        <v>55</v>
      </c>
      <c r="AJ38" s="134" t="str">
        <v>Malay</v>
      </c>
      <c r="AK38" s="135">
        <f t="shared" si="5"/>
        <v>31976880</v>
      </c>
      <c r="AM38" s="133" t="str" cm="1">
        <f t="array" ref="AM38">IF(ROWS($AN$2:$AN37)&lt;=$AN$2,INDEX($V$3:$V$3000,_xlfn.AGGREGATE(15,3,($B$3:$B$3000=$AM$2)/($B$3:$B$3000=$AM$2)*(ROW($B$3:$B$3000)-ROW($B$2)),ROWS($AN$2:$AN37))),"")</f>
        <v/>
      </c>
      <c r="AN38" s="134" t="str" cm="1">
        <f t="array" ref="AN38">IF(ROWS($AN$2:$AN37)&lt;=$AN$2,INDEX($F$3:$F$3000,_xlfn.AGGREGATE(15,3,($B$3:$B$3000=$AM$2)/($B$3:$B$3000=$AM$2)*(ROW($B$3:$B$3000)-ROW($B$2)),ROWS($AN$2:$AN37))),"")</f>
        <v/>
      </c>
      <c r="AO38" s="135" t="str" cm="1">
        <f t="array" ref="AO38">IF(ROWS($AN$2:$AN37)&lt;=$AN$2,INDEX($G$3:$G$3000,_xlfn.AGGREGATE(15,3,($B$3:$B$3000=$AM$2)/($B$3:$B$3000=$AM$2)*(ROW($B$3:$B$3000)-ROW($B$2)),ROWS($AN$2:$AN37))),"")</f>
        <v/>
      </c>
      <c r="AP38" s="121"/>
      <c r="AQ38" s="133"/>
      <c r="AR38" s="136">
        <f>IF('Planning Template'!$F$43="",SUMIFS($G$3:$G$3001,$V$3:$V$3001,$AQ38,$B$3:$B$3001,$AM$2),SUMIFS($G$3:$G$3001,$V$3:$V$3001,$AQ38,$B$3:$B$3001,$AM$2,$N$3:$N$3001,'Planning Template'!$F$301))</f>
        <v>0</v>
      </c>
      <c r="AS38" s="136"/>
      <c r="AT38" s="137" t="str">
        <f t="shared" si="2"/>
        <v xml:space="preserve"> (0)</v>
      </c>
      <c r="AV38" s="133" t="str" cm="1">
        <f t="array" ref="AV38">IF(ROWS($AW$2:$AW37)&lt;=$AW$2,INDEX($AM$3:$AM$792,_xlfn.AGGREGATE(15,3,($AM$3:$AM$792='Planning Template'!$F$45)/($AM$3:$AM$792='Planning Template'!$F$45)*(ROW($AM$3:$AM$792)-ROW($AM$2)),ROWS($AW$2:$AW37))),"")</f>
        <v/>
      </c>
      <c r="AW38" s="134" t="str" cm="1">
        <f t="array" ref="AW38">IF(ROWS($AU$3:$AU38)&lt;=$AW$2,INDEX($AN$3:$AN$792,_xlfn.AGGREGATE(15,3,($AM$3:$AM$792='Planning Template'!$F$45)/($AM$3:$AM$792='Planning Template'!$F$45)*(ROW($AM$3:$AM$792)-ROW($AM$2)),ROWS($AU$3:$AU38))),"")</f>
        <v/>
      </c>
      <c r="AX38" s="135" t="str">
        <f>IF(AW38="","",SUMIFS(TableSSDPeopleGroups[Population], TableSSDPeopleGroups[Ctry],'Planning Template'!$F$30,TableSSDPeopleGroups[PrimaryReligion],'Planning Template'!$F$301,TableSSDPeopleGroups[PeopleCluster],'Planning Template'!$F$45,TableSSDPeopleGroups[PeopNameInCountry],$AW38))</f>
        <v/>
      </c>
      <c r="AY38" s="234" t="str">
        <f t="shared" si="3"/>
        <v/>
      </c>
    </row>
    <row r="39" spans="1:51" s="110" customFormat="1" ht="20" customHeight="1">
      <c r="A39" s="125" t="s">
        <v>1620</v>
      </c>
      <c r="B39" s="126" t="s">
        <v>61</v>
      </c>
      <c r="C39" s="127">
        <v>19007</v>
      </c>
      <c r="D39" s="157">
        <v>114916</v>
      </c>
      <c r="E39" s="158" t="s">
        <v>627</v>
      </c>
      <c r="F39" s="158" t="s">
        <v>627</v>
      </c>
      <c r="G39" s="159">
        <v>405000</v>
      </c>
      <c r="H39" s="159">
        <v>2</v>
      </c>
      <c r="I39" s="158" t="s">
        <v>209</v>
      </c>
      <c r="J39" s="158" t="s">
        <v>634</v>
      </c>
      <c r="K39" s="158" t="s">
        <v>635</v>
      </c>
      <c r="L39" s="159">
        <v>0</v>
      </c>
      <c r="M39" s="159">
        <v>2</v>
      </c>
      <c r="N39" s="158" t="s">
        <v>1718</v>
      </c>
      <c r="O39" s="159">
        <v>8.98</v>
      </c>
      <c r="P39" s="160"/>
      <c r="Q39" s="159">
        <v>26</v>
      </c>
      <c r="R39" s="158" t="s">
        <v>630</v>
      </c>
      <c r="S39" s="158" t="s">
        <v>627</v>
      </c>
      <c r="T39" s="159">
        <v>328</v>
      </c>
      <c r="U39" s="158" t="s">
        <v>631</v>
      </c>
      <c r="V39" s="158" t="s">
        <v>627</v>
      </c>
      <c r="W39" s="159">
        <v>216</v>
      </c>
      <c r="X39" s="159">
        <v>2</v>
      </c>
      <c r="Y39" s="158" t="s">
        <v>194</v>
      </c>
      <c r="Z39" s="158" t="s">
        <v>195</v>
      </c>
      <c r="AA39" s="158" t="s">
        <v>196</v>
      </c>
      <c r="AB39" s="158" t="s">
        <v>187</v>
      </c>
      <c r="AC39" s="158" t="s">
        <v>187</v>
      </c>
      <c r="AD39" s="160"/>
      <c r="AE39" s="158" t="s">
        <v>209</v>
      </c>
      <c r="AF39" s="159">
        <v>16.789554710581399</v>
      </c>
      <c r="AG39" s="161">
        <v>96.193738950791897</v>
      </c>
      <c r="AI39" s="133">
        <f t="shared" si="4"/>
        <v>46</v>
      </c>
      <c r="AJ39" s="134" t="str">
        <v>Maluku-Central</v>
      </c>
      <c r="AK39" s="135">
        <f t="shared" si="5"/>
        <v>992320</v>
      </c>
      <c r="AM39" s="133" t="str" cm="1">
        <f t="array" ref="AM39">IF(ROWS($AN$2:$AN38)&lt;=$AN$2,INDEX($V$3:$V$3000,_xlfn.AGGREGATE(15,3,($B$3:$B$3000=$AM$2)/($B$3:$B$3000=$AM$2)*(ROW($B$3:$B$3000)-ROW($B$2)),ROWS($AN$2:$AN38))),"")</f>
        <v/>
      </c>
      <c r="AN39" s="134" t="str" cm="1">
        <f t="array" ref="AN39">IF(ROWS($AN$2:$AN38)&lt;=$AN$2,INDEX($F$3:$F$3000,_xlfn.AGGREGATE(15,3,($B$3:$B$3000=$AM$2)/($B$3:$B$3000=$AM$2)*(ROW($B$3:$B$3000)-ROW($B$2)),ROWS($AN$2:$AN38))),"")</f>
        <v/>
      </c>
      <c r="AO39" s="135" t="str" cm="1">
        <f t="array" ref="AO39">IF(ROWS($AN$2:$AN38)&lt;=$AN$2,INDEX($G$3:$G$3000,_xlfn.AGGREGATE(15,3,($B$3:$B$3000=$AM$2)/($B$3:$B$3000=$AM$2)*(ROW($B$3:$B$3000)-ROW($B$2)),ROWS($AN$2:$AN38))),"")</f>
        <v/>
      </c>
      <c r="AP39" s="121"/>
      <c r="AQ39" s="133"/>
      <c r="AR39" s="136">
        <f>IF('Planning Template'!$F$43="",SUMIFS($G$3:$G$3001,$V$3:$V$3001,$AQ39,$B$3:$B$3001,$AM$2),SUMIFS($G$3:$G$3001,$V$3:$V$3001,$AQ39,$B$3:$B$3001,$AM$2,$N$3:$N$3001,'Planning Template'!$F$301))</f>
        <v>0</v>
      </c>
      <c r="AS39" s="136"/>
      <c r="AT39" s="137" t="str">
        <f t="shared" si="2"/>
        <v xml:space="preserve"> (0)</v>
      </c>
      <c r="AV39" s="133" t="str" cm="1">
        <f t="array" ref="AV39">IF(ROWS($AW$2:$AW38)&lt;=$AW$2,INDEX($AM$3:$AM$792,_xlfn.AGGREGATE(15,3,($AM$3:$AM$792='Planning Template'!$F$45)/($AM$3:$AM$792='Planning Template'!$F$45)*(ROW($AM$3:$AM$792)-ROW($AM$2)),ROWS($AW$2:$AW38))),"")</f>
        <v/>
      </c>
      <c r="AW39" s="134" t="str" cm="1">
        <f t="array" ref="AW39">IF(ROWS($AU$3:$AU39)&lt;=$AW$2,INDEX($AN$3:$AN$792,_xlfn.AGGREGATE(15,3,($AM$3:$AM$792='Planning Template'!$F$45)/($AM$3:$AM$792='Planning Template'!$F$45)*(ROW($AM$3:$AM$792)-ROW($AM$2)),ROWS($AU$3:$AU39))),"")</f>
        <v/>
      </c>
      <c r="AX39" s="135" t="str">
        <f>IF(AW39="","",SUMIFS(TableSSDPeopleGroups[Population], TableSSDPeopleGroups[Ctry],'Planning Template'!$F$30,TableSSDPeopleGroups[PrimaryReligion],'Planning Template'!$F$301,TableSSDPeopleGroups[PeopleCluster],'Planning Template'!$F$45,TableSSDPeopleGroups[PeopNameInCountry],$AW39))</f>
        <v/>
      </c>
      <c r="AY39" s="234" t="str">
        <f t="shared" si="3"/>
        <v/>
      </c>
    </row>
    <row r="40" spans="1:51" s="110" customFormat="1" ht="20" customHeight="1">
      <c r="A40" s="125" t="s">
        <v>408</v>
      </c>
      <c r="B40" s="126" t="s">
        <v>64</v>
      </c>
      <c r="C40" s="127">
        <v>19007</v>
      </c>
      <c r="D40" s="157">
        <v>114916</v>
      </c>
      <c r="E40" s="158" t="s">
        <v>627</v>
      </c>
      <c r="F40" s="158" t="s">
        <v>627</v>
      </c>
      <c r="G40" s="159">
        <v>12000</v>
      </c>
      <c r="H40" s="159">
        <v>2</v>
      </c>
      <c r="I40" s="158" t="s">
        <v>209</v>
      </c>
      <c r="J40" s="158" t="s">
        <v>3776</v>
      </c>
      <c r="K40" s="158" t="s">
        <v>3777</v>
      </c>
      <c r="L40" s="159">
        <v>1</v>
      </c>
      <c r="M40" s="159">
        <v>2</v>
      </c>
      <c r="N40" s="158" t="s">
        <v>1718</v>
      </c>
      <c r="O40" s="159">
        <v>16.04</v>
      </c>
      <c r="P40" s="160"/>
      <c r="Q40" s="159">
        <v>26</v>
      </c>
      <c r="R40" s="158" t="s">
        <v>630</v>
      </c>
      <c r="S40" s="158" t="s">
        <v>627</v>
      </c>
      <c r="T40" s="159">
        <v>328</v>
      </c>
      <c r="U40" s="158" t="s">
        <v>631</v>
      </c>
      <c r="V40" s="158" t="s">
        <v>627</v>
      </c>
      <c r="W40" s="159">
        <v>216</v>
      </c>
      <c r="X40" s="159">
        <v>2</v>
      </c>
      <c r="Y40" s="158" t="s">
        <v>194</v>
      </c>
      <c r="Z40" s="158" t="s">
        <v>195</v>
      </c>
      <c r="AA40" s="158" t="s">
        <v>196</v>
      </c>
      <c r="AB40" s="158" t="s">
        <v>209</v>
      </c>
      <c r="AC40" s="158" t="s">
        <v>187</v>
      </c>
      <c r="AD40" s="160"/>
      <c r="AE40" s="158" t="s">
        <v>209</v>
      </c>
      <c r="AF40" s="159">
        <v>1.3306899999999999</v>
      </c>
      <c r="AG40" s="161">
        <v>103.86376</v>
      </c>
      <c r="AI40" s="133">
        <f t="shared" si="4"/>
        <v>25</v>
      </c>
      <c r="AJ40" s="134" t="str">
        <v>Maluku-Northern</v>
      </c>
      <c r="AK40" s="135">
        <f t="shared" si="5"/>
        <v>494800</v>
      </c>
      <c r="AM40" s="133" t="str" cm="1">
        <f t="array" ref="AM40">IF(ROWS($AN$2:$AN39)&lt;=$AN$2,INDEX($V$3:$V$3000,_xlfn.AGGREGATE(15,3,($B$3:$B$3000=$AM$2)/($B$3:$B$3000=$AM$2)*(ROW($B$3:$B$3000)-ROW($B$2)),ROWS($AN$2:$AN39))),"")</f>
        <v/>
      </c>
      <c r="AN40" s="134" t="str" cm="1">
        <f t="array" ref="AN40">IF(ROWS($AN$2:$AN39)&lt;=$AN$2,INDEX($F$3:$F$3000,_xlfn.AGGREGATE(15,3,($B$3:$B$3000=$AM$2)/($B$3:$B$3000=$AM$2)*(ROW($B$3:$B$3000)-ROW($B$2)),ROWS($AN$2:$AN39))),"")</f>
        <v/>
      </c>
      <c r="AO40" s="135" t="str" cm="1">
        <f t="array" ref="AO40">IF(ROWS($AN$2:$AN39)&lt;=$AN$2,INDEX($G$3:$G$3000,_xlfn.AGGREGATE(15,3,($B$3:$B$3000=$AM$2)/($B$3:$B$3000=$AM$2)*(ROW($B$3:$B$3000)-ROW($B$2)),ROWS($AN$2:$AN39))),"")</f>
        <v/>
      </c>
      <c r="AP40" s="121"/>
      <c r="AQ40" s="133"/>
      <c r="AR40" s="136">
        <f>IF('Planning Template'!$F$43="",SUMIFS($G$3:$G$3001,$V$3:$V$3001,$AQ40,$B$3:$B$3001,$AM$2),SUMIFS($G$3:$G$3001,$V$3:$V$3001,$AQ40,$B$3:$B$3001,$AM$2,$N$3:$N$3001,'Planning Template'!$F$301))</f>
        <v>0</v>
      </c>
      <c r="AS40" s="136"/>
      <c r="AT40" s="137" t="str">
        <f t="shared" si="2"/>
        <v xml:space="preserve"> (0)</v>
      </c>
      <c r="AV40" s="133" t="str" cm="1">
        <f t="array" ref="AV40">IF(ROWS($AW$2:$AW39)&lt;=$AW$2,INDEX($AM$3:$AM$792,_xlfn.AGGREGATE(15,3,($AM$3:$AM$792='Planning Template'!$F$45)/($AM$3:$AM$792='Planning Template'!$F$45)*(ROW($AM$3:$AM$792)-ROW($AM$2)),ROWS($AW$2:$AW39))),"")</f>
        <v/>
      </c>
      <c r="AW40" s="134" t="str" cm="1">
        <f t="array" ref="AW40">IF(ROWS($AU$3:$AU40)&lt;=$AW$2,INDEX($AN$3:$AN$792,_xlfn.AGGREGATE(15,3,($AM$3:$AM$792='Planning Template'!$F$45)/($AM$3:$AM$792='Planning Template'!$F$45)*(ROW($AM$3:$AM$792)-ROW($AM$2)),ROWS($AU$3:$AU40))),"")</f>
        <v/>
      </c>
      <c r="AX40" s="135" t="str">
        <f>IF(AW40="","",SUMIFS(TableSSDPeopleGroups[Population], TableSSDPeopleGroups[Ctry],'Planning Template'!$F$30,TableSSDPeopleGroups[PrimaryReligion],'Planning Template'!$F$301,TableSSDPeopleGroups[PeopleCluster],'Planning Template'!$F$45,TableSSDPeopleGroups[PeopNameInCountry],$AW40))</f>
        <v/>
      </c>
      <c r="AY40" s="234" t="str">
        <f t="shared" si="3"/>
        <v/>
      </c>
    </row>
    <row r="41" spans="1:51" s="110" customFormat="1" ht="20" customHeight="1">
      <c r="A41" s="125" t="s">
        <v>224</v>
      </c>
      <c r="B41" s="126" t="s">
        <v>68</v>
      </c>
      <c r="C41" s="127">
        <v>19007</v>
      </c>
      <c r="D41" s="157">
        <v>114916</v>
      </c>
      <c r="E41" s="158" t="s">
        <v>627</v>
      </c>
      <c r="F41" s="158" t="s">
        <v>627</v>
      </c>
      <c r="G41" s="159">
        <v>107000</v>
      </c>
      <c r="H41" s="159">
        <v>2</v>
      </c>
      <c r="I41" s="158" t="s">
        <v>209</v>
      </c>
      <c r="J41" s="158" t="s">
        <v>4615</v>
      </c>
      <c r="K41" s="158" t="s">
        <v>4616</v>
      </c>
      <c r="L41" s="159">
        <v>0</v>
      </c>
      <c r="M41" s="159">
        <v>2</v>
      </c>
      <c r="N41" s="158" t="s">
        <v>1718</v>
      </c>
      <c r="O41" s="159">
        <v>8.3800000000000008</v>
      </c>
      <c r="P41" s="160"/>
      <c r="Q41" s="159">
        <v>26</v>
      </c>
      <c r="R41" s="158" t="s">
        <v>630</v>
      </c>
      <c r="S41" s="158" t="s">
        <v>627</v>
      </c>
      <c r="T41" s="159">
        <v>328</v>
      </c>
      <c r="U41" s="158" t="s">
        <v>631</v>
      </c>
      <c r="V41" s="158" t="s">
        <v>627</v>
      </c>
      <c r="W41" s="159">
        <v>216</v>
      </c>
      <c r="X41" s="159">
        <v>4</v>
      </c>
      <c r="Y41" s="158" t="s">
        <v>203</v>
      </c>
      <c r="Z41" s="158" t="s">
        <v>195</v>
      </c>
      <c r="AA41" s="158" t="s">
        <v>196</v>
      </c>
      <c r="AB41" s="158" t="s">
        <v>187</v>
      </c>
      <c r="AC41" s="158" t="s">
        <v>187</v>
      </c>
      <c r="AD41" s="160"/>
      <c r="AE41" s="158" t="s">
        <v>209</v>
      </c>
      <c r="AF41" s="159">
        <v>6.9305934861004603</v>
      </c>
      <c r="AG41" s="161">
        <v>79.862045622607397</v>
      </c>
      <c r="AI41" s="133">
        <f t="shared" si="4"/>
        <v>42</v>
      </c>
      <c r="AJ41" s="134" t="str">
        <v>Maluku-Southern</v>
      </c>
      <c r="AK41" s="135">
        <f t="shared" si="5"/>
        <v>406000</v>
      </c>
      <c r="AM41" s="133" t="str" cm="1">
        <f t="array" ref="AM41">IF(ROWS($AN$2:$AN40)&lt;=$AN$2,INDEX($V$3:$V$3000,_xlfn.AGGREGATE(15,3,($B$3:$B$3000=$AM$2)/($B$3:$B$3000=$AM$2)*(ROW($B$3:$B$3000)-ROW($B$2)),ROWS($AN$2:$AN40))),"")</f>
        <v/>
      </c>
      <c r="AN41" s="134" t="str" cm="1">
        <f t="array" ref="AN41">IF(ROWS($AN$2:$AN40)&lt;=$AN$2,INDEX($F$3:$F$3000,_xlfn.AGGREGATE(15,3,($B$3:$B$3000=$AM$2)/($B$3:$B$3000=$AM$2)*(ROW($B$3:$B$3000)-ROW($B$2)),ROWS($AN$2:$AN40))),"")</f>
        <v/>
      </c>
      <c r="AO41" s="135" t="str" cm="1">
        <f t="array" ref="AO41">IF(ROWS($AN$2:$AN40)&lt;=$AN$2,INDEX($G$3:$G$3000,_xlfn.AGGREGATE(15,3,($B$3:$B$3000=$AM$2)/($B$3:$B$3000=$AM$2)*(ROW($B$3:$B$3000)-ROW($B$2)),ROWS($AN$2:$AN40))),"")</f>
        <v/>
      </c>
      <c r="AP41" s="121"/>
      <c r="AQ41" s="133"/>
      <c r="AR41" s="136">
        <f>IF('Planning Template'!$F$43="",SUMIFS($G$3:$G$3001,$V$3:$V$3001,$AQ41,$B$3:$B$3001,$AM$2),SUMIFS($G$3:$G$3001,$V$3:$V$3001,$AQ41,$B$3:$B$3001,$AM$2,$N$3:$N$3001,'Planning Template'!$F$301))</f>
        <v>0</v>
      </c>
      <c r="AS41" s="136"/>
      <c r="AT41" s="137" t="str">
        <f t="shared" si="2"/>
        <v xml:space="preserve"> (0)</v>
      </c>
      <c r="AV41" s="133" t="str" cm="1">
        <f t="array" ref="AV41">IF(ROWS($AW$2:$AW40)&lt;=$AW$2,INDEX($AM$3:$AM$792,_xlfn.AGGREGATE(15,3,($AM$3:$AM$792='Planning Template'!$F$45)/($AM$3:$AM$792='Planning Template'!$F$45)*(ROW($AM$3:$AM$792)-ROW($AM$2)),ROWS($AW$2:$AW40))),"")</f>
        <v/>
      </c>
      <c r="AW41" s="134" t="str" cm="1">
        <f t="array" ref="AW41">IF(ROWS($AU$3:$AU41)&lt;=$AW$2,INDEX($AN$3:$AN$792,_xlfn.AGGREGATE(15,3,($AM$3:$AM$792='Planning Template'!$F$45)/($AM$3:$AM$792='Planning Template'!$F$45)*(ROW($AM$3:$AM$792)-ROW($AM$2)),ROWS($AU$3:$AU41))),"")</f>
        <v/>
      </c>
      <c r="AX41" s="135" t="str">
        <f>IF(AW41="","",SUMIFS(TableSSDPeopleGroups[Population], TableSSDPeopleGroups[Ctry],'Planning Template'!$F$30,TableSSDPeopleGroups[PrimaryReligion],'Planning Template'!$F$301,TableSSDPeopleGroups[PeopleCluster],'Planning Template'!$F$45,TableSSDPeopleGroups[PeopNameInCountry],$AW41))</f>
        <v/>
      </c>
      <c r="AY41" s="234" t="str">
        <f t="shared" si="3"/>
        <v/>
      </c>
    </row>
    <row r="42" spans="1:51" s="110" customFormat="1" ht="20" customHeight="1">
      <c r="A42" s="125" t="s">
        <v>478</v>
      </c>
      <c r="B42" s="126" t="s">
        <v>56</v>
      </c>
      <c r="C42" s="127">
        <v>19007</v>
      </c>
      <c r="D42" s="163">
        <v>114916</v>
      </c>
      <c r="E42" s="164" t="s">
        <v>627</v>
      </c>
      <c r="F42" s="164" t="s">
        <v>627</v>
      </c>
      <c r="G42" s="165">
        <v>348000</v>
      </c>
      <c r="H42" s="165">
        <v>1</v>
      </c>
      <c r="I42" s="164" t="s">
        <v>187</v>
      </c>
      <c r="J42" s="164" t="s">
        <v>4801</v>
      </c>
      <c r="K42" s="164" t="s">
        <v>4802</v>
      </c>
      <c r="L42" s="165">
        <v>3</v>
      </c>
      <c r="M42" s="165">
        <v>2</v>
      </c>
      <c r="N42" s="164" t="s">
        <v>1718</v>
      </c>
      <c r="O42" s="165">
        <v>1.1000000000000001</v>
      </c>
      <c r="P42" s="168"/>
      <c r="Q42" s="165">
        <v>26</v>
      </c>
      <c r="R42" s="164" t="s">
        <v>630</v>
      </c>
      <c r="S42" s="164" t="s">
        <v>627</v>
      </c>
      <c r="T42" s="165">
        <v>328</v>
      </c>
      <c r="U42" s="164" t="s">
        <v>631</v>
      </c>
      <c r="V42" s="164" t="s">
        <v>627</v>
      </c>
      <c r="W42" s="165">
        <v>216</v>
      </c>
      <c r="X42" s="165">
        <v>2</v>
      </c>
      <c r="Y42" s="164" t="s">
        <v>194</v>
      </c>
      <c r="Z42" s="164" t="s">
        <v>195</v>
      </c>
      <c r="AA42" s="164" t="s">
        <v>196</v>
      </c>
      <c r="AB42" s="164" t="s">
        <v>187</v>
      </c>
      <c r="AC42" s="164" t="s">
        <v>187</v>
      </c>
      <c r="AD42" s="165">
        <v>7</v>
      </c>
      <c r="AE42" s="164" t="s">
        <v>209</v>
      </c>
      <c r="AF42" s="165">
        <v>13.7119885066642</v>
      </c>
      <c r="AG42" s="166">
        <v>100.610726612943</v>
      </c>
      <c r="AI42" s="133">
        <f t="shared" si="4"/>
        <v>15</v>
      </c>
      <c r="AJ42" s="134" t="str">
        <v>Miao / Hmong</v>
      </c>
      <c r="AK42" s="135">
        <f t="shared" si="5"/>
        <v>2065800</v>
      </c>
      <c r="AM42" s="133" t="str" cm="1">
        <f t="array" ref="AM42">IF(ROWS($AN$2:$AN41)&lt;=$AN$2,INDEX($V$3:$V$3000,_xlfn.AGGREGATE(15,3,($B$3:$B$3000=$AM$2)/($B$3:$B$3000=$AM$2)*(ROW($B$3:$B$3000)-ROW($B$2)),ROWS($AN$2:$AN41))),"")</f>
        <v/>
      </c>
      <c r="AN42" s="134" t="str" cm="1">
        <f t="array" ref="AN42">IF(ROWS($AN$2:$AN41)&lt;=$AN$2,INDEX($F$3:$F$3000,_xlfn.AGGREGATE(15,3,($B$3:$B$3000=$AM$2)/($B$3:$B$3000=$AM$2)*(ROW($B$3:$B$3000)-ROW($B$2)),ROWS($AN$2:$AN41))),"")</f>
        <v/>
      </c>
      <c r="AO42" s="135" t="str" cm="1">
        <f t="array" ref="AO42">IF(ROWS($AN$2:$AN41)&lt;=$AN$2,INDEX($G$3:$G$3000,_xlfn.AGGREGATE(15,3,($B$3:$B$3000=$AM$2)/($B$3:$B$3000=$AM$2)*(ROW($B$3:$B$3000)-ROW($B$2)),ROWS($AN$2:$AN41))),"")</f>
        <v/>
      </c>
      <c r="AP42" s="121"/>
      <c r="AQ42" s="133"/>
      <c r="AR42" s="136">
        <f>IF('Planning Template'!$F$43="",SUMIFS($G$3:$G$3001,$V$3:$V$3001,$AQ42,$B$3:$B$3001,$AM$2),SUMIFS($G$3:$G$3001,$V$3:$V$3001,$AQ42,$B$3:$B$3001,$AM$2,$N$3:$N$3001,'Planning Template'!$F$301))</f>
        <v>0</v>
      </c>
      <c r="AS42" s="136"/>
      <c r="AT42" s="137" t="str">
        <f t="shared" si="2"/>
        <v xml:space="preserve"> (0)</v>
      </c>
      <c r="AV42" s="133" t="str" cm="1">
        <f t="array" ref="AV42">IF(ROWS($AW$2:$AW41)&lt;=$AW$2,INDEX($AM$3:$AM$792,_xlfn.AGGREGATE(15,3,($AM$3:$AM$792='Planning Template'!$F$45)/($AM$3:$AM$792='Planning Template'!$F$45)*(ROW($AM$3:$AM$792)-ROW($AM$2)),ROWS($AW$2:$AW41))),"")</f>
        <v/>
      </c>
      <c r="AW42" s="134" t="str" cm="1">
        <f t="array" ref="AW42">IF(ROWS($AU$3:$AU42)&lt;=$AW$2,INDEX($AN$3:$AN$792,_xlfn.AGGREGATE(15,3,($AM$3:$AM$792='Planning Template'!$F$45)/($AM$3:$AM$792='Planning Template'!$F$45)*(ROW($AM$3:$AM$792)-ROW($AM$2)),ROWS($AU$3:$AU42))),"")</f>
        <v/>
      </c>
      <c r="AX42" s="135" t="str">
        <f>IF(AW42="","",SUMIFS(TableSSDPeopleGroups[Population], TableSSDPeopleGroups[Ctry],'Planning Template'!$F$30,TableSSDPeopleGroups[PrimaryReligion],'Planning Template'!$F$301,TableSSDPeopleGroups[PeopleCluster],'Planning Template'!$F$45,TableSSDPeopleGroups[PeopNameInCountry],$AW42))</f>
        <v/>
      </c>
      <c r="AY42" s="234" t="str">
        <f t="shared" si="3"/>
        <v/>
      </c>
    </row>
    <row r="43" spans="1:51" s="110" customFormat="1" ht="20" customHeight="1">
      <c r="A43" s="125" t="s">
        <v>480</v>
      </c>
      <c r="B43" s="126" t="s">
        <v>63</v>
      </c>
      <c r="C43" s="127">
        <v>19007</v>
      </c>
      <c r="D43" s="157">
        <v>114916</v>
      </c>
      <c r="E43" s="158" t="s">
        <v>627</v>
      </c>
      <c r="F43" s="158" t="s">
        <v>627</v>
      </c>
      <c r="G43" s="159">
        <v>723000</v>
      </c>
      <c r="H43" s="159">
        <v>2</v>
      </c>
      <c r="I43" s="158" t="s">
        <v>209</v>
      </c>
      <c r="J43" s="158" t="s">
        <v>4836</v>
      </c>
      <c r="K43" s="158" t="s">
        <v>4837</v>
      </c>
      <c r="L43" s="159">
        <v>0</v>
      </c>
      <c r="M43" s="159">
        <v>2</v>
      </c>
      <c r="N43" s="158" t="s">
        <v>1718</v>
      </c>
      <c r="O43" s="159">
        <v>9.43</v>
      </c>
      <c r="P43" s="160"/>
      <c r="Q43" s="159">
        <v>26</v>
      </c>
      <c r="R43" s="158" t="s">
        <v>630</v>
      </c>
      <c r="S43" s="158" t="s">
        <v>627</v>
      </c>
      <c r="T43" s="159">
        <v>328</v>
      </c>
      <c r="U43" s="158" t="s">
        <v>631</v>
      </c>
      <c r="V43" s="158" t="s">
        <v>627</v>
      </c>
      <c r="W43" s="159">
        <v>216</v>
      </c>
      <c r="X43" s="159">
        <v>2</v>
      </c>
      <c r="Y43" s="158" t="s">
        <v>194</v>
      </c>
      <c r="Z43" s="158" t="s">
        <v>195</v>
      </c>
      <c r="AA43" s="158" t="s">
        <v>196</v>
      </c>
      <c r="AB43" s="158" t="s">
        <v>187</v>
      </c>
      <c r="AC43" s="158" t="s">
        <v>187</v>
      </c>
      <c r="AD43" s="160"/>
      <c r="AE43" s="158" t="s">
        <v>209</v>
      </c>
      <c r="AF43" s="159">
        <v>21.004892933761901</v>
      </c>
      <c r="AG43" s="161">
        <v>105.846223641408</v>
      </c>
      <c r="AI43" s="133">
        <f t="shared" si="4"/>
        <v>16</v>
      </c>
      <c r="AJ43" s="134" t="str">
        <v>Minahasa-Sangir of Sulawesi</v>
      </c>
      <c r="AK43" s="135">
        <f t="shared" si="5"/>
        <v>1609300</v>
      </c>
      <c r="AM43" s="133" t="str" cm="1">
        <f t="array" ref="AM43">IF(ROWS($AN$2:$AN42)&lt;=$AN$2,INDEX($V$3:$V$3000,_xlfn.AGGREGATE(15,3,($B$3:$B$3000=$AM$2)/($B$3:$B$3000=$AM$2)*(ROW($B$3:$B$3000)-ROW($B$2)),ROWS($AN$2:$AN42))),"")</f>
        <v/>
      </c>
      <c r="AN43" s="134" t="str" cm="1">
        <f t="array" ref="AN43">IF(ROWS($AN$2:$AN42)&lt;=$AN$2,INDEX($F$3:$F$3000,_xlfn.AGGREGATE(15,3,($B$3:$B$3000=$AM$2)/($B$3:$B$3000=$AM$2)*(ROW($B$3:$B$3000)-ROW($B$2)),ROWS($AN$2:$AN42))),"")</f>
        <v/>
      </c>
      <c r="AO43" s="135" t="str" cm="1">
        <f t="array" ref="AO43">IF(ROWS($AN$2:$AN42)&lt;=$AN$2,INDEX($G$3:$G$3000,_xlfn.AGGREGATE(15,3,($B$3:$B$3000=$AM$2)/($B$3:$B$3000=$AM$2)*(ROW($B$3:$B$3000)-ROW($B$2)),ROWS($AN$2:$AN42))),"")</f>
        <v/>
      </c>
      <c r="AP43" s="121"/>
      <c r="AQ43" s="133"/>
      <c r="AR43" s="136">
        <f>IF('Planning Template'!$F$43="",SUMIFS($G$3:$G$3001,$V$3:$V$3001,$AQ43,$B$3:$B$3001,$AM$2),SUMIFS($G$3:$G$3001,$V$3:$V$3001,$AQ43,$B$3:$B$3001,$AM$2,$N$3:$N$3001,'Planning Template'!$F$301))</f>
        <v>0</v>
      </c>
      <c r="AS43" s="136"/>
      <c r="AT43" s="137" t="str">
        <f t="shared" si="2"/>
        <v xml:space="preserve"> (0)</v>
      </c>
      <c r="AV43" s="133" t="str" cm="1">
        <f t="array" ref="AV43">IF(ROWS($AW$2:$AW42)&lt;=$AW$2,INDEX($AM$3:$AM$792,_xlfn.AGGREGATE(15,3,($AM$3:$AM$792='Planning Template'!$F$45)/($AM$3:$AM$792='Planning Template'!$F$45)*(ROW($AM$3:$AM$792)-ROW($AM$2)),ROWS($AW$2:$AW42))),"")</f>
        <v/>
      </c>
      <c r="AW43" s="134" t="str" cm="1">
        <f t="array" ref="AW43">IF(ROWS($AU$3:$AU43)&lt;=$AW$2,INDEX($AN$3:$AN$792,_xlfn.AGGREGATE(15,3,($AM$3:$AM$792='Planning Template'!$F$45)/($AM$3:$AM$792='Planning Template'!$F$45)*(ROW($AM$3:$AM$792)-ROW($AM$2)),ROWS($AU$3:$AU43))),"")</f>
        <v/>
      </c>
      <c r="AX43" s="135" t="str">
        <f>IF(AW43="","",SUMIFS(TableSSDPeopleGroups[Population], TableSSDPeopleGroups[Ctry],'Planning Template'!$F$30,TableSSDPeopleGroups[PrimaryReligion],'Planning Template'!$F$301,TableSSDPeopleGroups[PeopleCluster],'Planning Template'!$F$45,TableSSDPeopleGroups[PeopNameInCountry],$AW43))</f>
        <v/>
      </c>
      <c r="AY43" s="234" t="str">
        <f t="shared" si="3"/>
        <v/>
      </c>
    </row>
    <row r="44" spans="1:51" s="110" customFormat="1" ht="20" customHeight="1">
      <c r="A44" s="125" t="s">
        <v>1620</v>
      </c>
      <c r="B44" s="126" t="s">
        <v>61</v>
      </c>
      <c r="C44" s="127">
        <v>20535</v>
      </c>
      <c r="D44" s="145">
        <v>116866</v>
      </c>
      <c r="E44" s="146" t="s">
        <v>3639</v>
      </c>
      <c r="F44" s="146" t="s">
        <v>3639</v>
      </c>
      <c r="G44" s="147">
        <v>10000</v>
      </c>
      <c r="H44" s="147">
        <v>4</v>
      </c>
      <c r="I44" s="146" t="s">
        <v>209</v>
      </c>
      <c r="J44" s="146" t="s">
        <v>3640</v>
      </c>
      <c r="K44" s="146" t="s">
        <v>3639</v>
      </c>
      <c r="L44" s="147">
        <v>1</v>
      </c>
      <c r="M44" s="147">
        <v>2</v>
      </c>
      <c r="N44" s="146" t="s">
        <v>1718</v>
      </c>
      <c r="O44" s="147">
        <v>5</v>
      </c>
      <c r="P44" s="147">
        <v>3</v>
      </c>
      <c r="Q44" s="147">
        <v>23</v>
      </c>
      <c r="R44" s="146" t="s">
        <v>1623</v>
      </c>
      <c r="S44" s="146" t="s">
        <v>1624</v>
      </c>
      <c r="T44" s="147">
        <v>185</v>
      </c>
      <c r="U44" s="146" t="s">
        <v>1951</v>
      </c>
      <c r="V44" s="146" t="s">
        <v>1952</v>
      </c>
      <c r="W44" s="147">
        <v>1</v>
      </c>
      <c r="X44" s="147">
        <v>2</v>
      </c>
      <c r="Y44" s="146" t="s">
        <v>194</v>
      </c>
      <c r="Z44" s="146" t="s">
        <v>195</v>
      </c>
      <c r="AA44" s="146" t="s">
        <v>196</v>
      </c>
      <c r="AB44" s="146" t="s">
        <v>187</v>
      </c>
      <c r="AC44" s="146" t="s">
        <v>187</v>
      </c>
      <c r="AD44" s="148"/>
      <c r="AE44" s="146" t="s">
        <v>209</v>
      </c>
      <c r="AF44" s="147">
        <v>24.401433000000001</v>
      </c>
      <c r="AG44" s="149">
        <v>95.855106000000006</v>
      </c>
      <c r="AI44" s="133">
        <f t="shared" si="4"/>
        <v>2</v>
      </c>
      <c r="AJ44" s="134" t="str">
        <v>Miri-Kachin</v>
      </c>
      <c r="AK44" s="135">
        <f t="shared" si="5"/>
        <v>105000</v>
      </c>
      <c r="AM44" s="133" t="str" cm="1">
        <f t="array" ref="AM44">IF(ROWS($AN$2:$AN43)&lt;=$AN$2,INDEX($V$3:$V$3000,_xlfn.AGGREGATE(15,3,($B$3:$B$3000=$AM$2)/($B$3:$B$3000=$AM$2)*(ROW($B$3:$B$3000)-ROW($B$2)),ROWS($AN$2:$AN43))),"")</f>
        <v/>
      </c>
      <c r="AN44" s="134" t="str" cm="1">
        <f t="array" ref="AN44">IF(ROWS($AN$2:$AN43)&lt;=$AN$2,INDEX($F$3:$F$3000,_xlfn.AGGREGATE(15,3,($B$3:$B$3000=$AM$2)/($B$3:$B$3000=$AM$2)*(ROW($B$3:$B$3000)-ROW($B$2)),ROWS($AN$2:$AN43))),"")</f>
        <v/>
      </c>
      <c r="AO44" s="135" t="str" cm="1">
        <f t="array" ref="AO44">IF(ROWS($AN$2:$AN43)&lt;=$AN$2,INDEX($G$3:$G$3000,_xlfn.AGGREGATE(15,3,($B$3:$B$3000=$AM$2)/($B$3:$B$3000=$AM$2)*(ROW($B$3:$B$3000)-ROW($B$2)),ROWS($AN$2:$AN43))),"")</f>
        <v/>
      </c>
      <c r="AP44" s="121"/>
      <c r="AQ44" s="133"/>
      <c r="AR44" s="136">
        <f>IF('Planning Template'!$F$43="",SUMIFS($G$3:$G$3001,$V$3:$V$3001,$AQ44,$B$3:$B$3001,$AM$2),SUMIFS($G$3:$G$3001,$V$3:$V$3001,$AQ44,$B$3:$B$3001,$AM$2,$N$3:$N$3001,'Planning Template'!$F$301))</f>
        <v>0</v>
      </c>
      <c r="AS44" s="136"/>
      <c r="AT44" s="137" t="str">
        <f t="shared" si="2"/>
        <v xml:space="preserve"> (0)</v>
      </c>
      <c r="AV44" s="133" t="str" cm="1">
        <f t="array" ref="AV44">IF(ROWS($AW$2:$AW43)&lt;=$AW$2,INDEX($AM$3:$AM$792,_xlfn.AGGREGATE(15,3,($AM$3:$AM$792='Planning Template'!$F$45)/($AM$3:$AM$792='Planning Template'!$F$45)*(ROW($AM$3:$AM$792)-ROW($AM$2)),ROWS($AW$2:$AW43))),"")</f>
        <v/>
      </c>
      <c r="AW44" s="134" t="str" cm="1">
        <f t="array" ref="AW44">IF(ROWS($AU$3:$AU44)&lt;=$AW$2,INDEX($AN$3:$AN$792,_xlfn.AGGREGATE(15,3,($AM$3:$AM$792='Planning Template'!$F$45)/($AM$3:$AM$792='Planning Template'!$F$45)*(ROW($AM$3:$AM$792)-ROW($AM$2)),ROWS($AU$3:$AU44))),"")</f>
        <v/>
      </c>
      <c r="AX44" s="135" t="str">
        <f>IF(AW44="","",SUMIFS(TableSSDPeopleGroups[Population], TableSSDPeopleGroups[Ctry],'Planning Template'!$F$30,TableSSDPeopleGroups[PrimaryReligion],'Planning Template'!$F$301,TableSSDPeopleGroups[PeopleCluster],'Planning Template'!$F$45,TableSSDPeopleGroups[PeopNameInCountry],$AW44))</f>
        <v/>
      </c>
      <c r="AY44" s="234" t="str">
        <f t="shared" si="3"/>
        <v/>
      </c>
    </row>
    <row r="45" spans="1:51" s="110" customFormat="1" ht="20" customHeight="1">
      <c r="A45" s="125" t="s">
        <v>185</v>
      </c>
      <c r="B45" s="126" t="s">
        <v>59</v>
      </c>
      <c r="C45" s="127">
        <v>12322</v>
      </c>
      <c r="D45" s="163">
        <v>104189</v>
      </c>
      <c r="E45" s="164" t="s">
        <v>2786</v>
      </c>
      <c r="F45" s="164" t="s">
        <v>2786</v>
      </c>
      <c r="G45" s="165">
        <v>14000</v>
      </c>
      <c r="H45" s="165">
        <v>1</v>
      </c>
      <c r="I45" s="164" t="s">
        <v>187</v>
      </c>
      <c r="J45" s="164" t="s">
        <v>2787</v>
      </c>
      <c r="K45" s="164" t="s">
        <v>2786</v>
      </c>
      <c r="L45" s="165">
        <v>5</v>
      </c>
      <c r="M45" s="165">
        <v>2</v>
      </c>
      <c r="N45" s="164" t="s">
        <v>1718</v>
      </c>
      <c r="O45" s="165">
        <v>2.2999999999999998</v>
      </c>
      <c r="P45" s="165">
        <v>0.5</v>
      </c>
      <c r="Q45" s="165">
        <v>11</v>
      </c>
      <c r="R45" s="164" t="s">
        <v>740</v>
      </c>
      <c r="S45" s="164" t="s">
        <v>741</v>
      </c>
      <c r="T45" s="165">
        <v>194</v>
      </c>
      <c r="U45" s="164" t="s">
        <v>2788</v>
      </c>
      <c r="V45" s="164" t="s">
        <v>2786</v>
      </c>
      <c r="W45" s="165">
        <v>44</v>
      </c>
      <c r="X45" s="165">
        <v>2</v>
      </c>
      <c r="Y45" s="164" t="s">
        <v>194</v>
      </c>
      <c r="Z45" s="164" t="s">
        <v>195</v>
      </c>
      <c r="AA45" s="164" t="s">
        <v>196</v>
      </c>
      <c r="AB45" s="164" t="s">
        <v>187</v>
      </c>
      <c r="AC45" s="164" t="s">
        <v>209</v>
      </c>
      <c r="AD45" s="165">
        <v>1</v>
      </c>
      <c r="AE45" s="164" t="s">
        <v>209</v>
      </c>
      <c r="AF45" s="165">
        <v>-6.1385149999999999</v>
      </c>
      <c r="AG45" s="166">
        <v>106.75821500000001</v>
      </c>
      <c r="AI45" s="133">
        <f t="shared" si="4"/>
        <v>260</v>
      </c>
      <c r="AJ45" s="134" t="str">
        <v>New Guinea</v>
      </c>
      <c r="AK45" s="135">
        <f t="shared" si="5"/>
        <v>1543070</v>
      </c>
      <c r="AM45" s="133" t="str" cm="1">
        <f t="array" ref="AM45">IF(ROWS($AN$2:$AN44)&lt;=$AN$2,INDEX($V$3:$V$3000,_xlfn.AGGREGATE(15,3,($B$3:$B$3000=$AM$2)/($B$3:$B$3000=$AM$2)*(ROW($B$3:$B$3000)-ROW($B$2)),ROWS($AN$2:$AN44))),"")</f>
        <v/>
      </c>
      <c r="AN45" s="134" t="str" cm="1">
        <f t="array" ref="AN45">IF(ROWS($AN$2:$AN44)&lt;=$AN$2,INDEX($F$3:$F$3000,_xlfn.AGGREGATE(15,3,($B$3:$B$3000=$AM$2)/($B$3:$B$3000=$AM$2)*(ROW($B$3:$B$3000)-ROW($B$2)),ROWS($AN$2:$AN44))),"")</f>
        <v/>
      </c>
      <c r="AO45" s="135" t="str" cm="1">
        <f t="array" ref="AO45">IF(ROWS($AN$2:$AN44)&lt;=$AN$2,INDEX($G$3:$G$3000,_xlfn.AGGREGATE(15,3,($B$3:$B$3000=$AM$2)/($B$3:$B$3000=$AM$2)*(ROW($B$3:$B$3000)-ROW($B$2)),ROWS($AN$2:$AN44))),"")</f>
        <v/>
      </c>
      <c r="AP45" s="121"/>
      <c r="AQ45" s="133"/>
      <c r="AR45" s="136">
        <f>IF('Planning Template'!$F$43="",SUMIFS($G$3:$G$3001,$V$3:$V$3001,$AQ45,$B$3:$B$3001,$AM$2),SUMIFS($G$3:$G$3001,$V$3:$V$3001,$AQ45,$B$3:$B$3001,$AM$2,$N$3:$N$3001,'Planning Template'!$F$301))</f>
        <v>0</v>
      </c>
      <c r="AS45" s="136"/>
      <c r="AT45" s="137" t="str">
        <f t="shared" si="2"/>
        <v xml:space="preserve"> (0)</v>
      </c>
      <c r="AV45" s="133" t="str" cm="1">
        <f t="array" ref="AV45">IF(ROWS($AW$2:$AW44)&lt;=$AW$2,INDEX($AM$3:$AM$792,_xlfn.AGGREGATE(15,3,($AM$3:$AM$792='Planning Template'!$F$45)/($AM$3:$AM$792='Planning Template'!$F$45)*(ROW($AM$3:$AM$792)-ROW($AM$2)),ROWS($AW$2:$AW44))),"")</f>
        <v/>
      </c>
      <c r="AW45" s="134" t="str" cm="1">
        <f t="array" ref="AW45">IF(ROWS($AU$3:$AU45)&lt;=$AW$2,INDEX($AN$3:$AN$792,_xlfn.AGGREGATE(15,3,($AM$3:$AM$792='Planning Template'!$F$45)/($AM$3:$AM$792='Planning Template'!$F$45)*(ROW($AM$3:$AM$792)-ROW($AM$2)),ROWS($AU$3:$AU45))),"")</f>
        <v/>
      </c>
      <c r="AX45" s="135" t="str">
        <f>IF(AW45="","",SUMIFS(TableSSDPeopleGroups[Population], TableSSDPeopleGroups[Ctry],'Planning Template'!$F$30,TableSSDPeopleGroups[PrimaryReligion],'Planning Template'!$F$301,TableSSDPeopleGroups[PeopleCluster],'Planning Template'!$F$45,TableSSDPeopleGroups[PeopNameInCountry],$AW45))</f>
        <v/>
      </c>
      <c r="AY45" s="234" t="str">
        <f t="shared" si="3"/>
        <v/>
      </c>
    </row>
    <row r="46" spans="1:51" s="110" customFormat="1" ht="20" customHeight="1">
      <c r="A46" s="125" t="s">
        <v>237</v>
      </c>
      <c r="B46" s="126" t="s">
        <v>60</v>
      </c>
      <c r="C46" s="127">
        <v>12322</v>
      </c>
      <c r="D46" s="163">
        <v>104189</v>
      </c>
      <c r="E46" s="164" t="s">
        <v>2786</v>
      </c>
      <c r="F46" s="164" t="s">
        <v>2786</v>
      </c>
      <c r="G46" s="165">
        <v>15000</v>
      </c>
      <c r="H46" s="165">
        <v>1</v>
      </c>
      <c r="I46" s="164" t="s">
        <v>187</v>
      </c>
      <c r="J46" s="164" t="s">
        <v>2787</v>
      </c>
      <c r="K46" s="164" t="s">
        <v>2786</v>
      </c>
      <c r="L46" s="165">
        <v>5</v>
      </c>
      <c r="M46" s="165">
        <v>2</v>
      </c>
      <c r="N46" s="164" t="s">
        <v>1718</v>
      </c>
      <c r="O46" s="165">
        <v>1.5</v>
      </c>
      <c r="P46" s="165">
        <v>0.5</v>
      </c>
      <c r="Q46" s="165">
        <v>11</v>
      </c>
      <c r="R46" s="164" t="s">
        <v>740</v>
      </c>
      <c r="S46" s="164" t="s">
        <v>741</v>
      </c>
      <c r="T46" s="165">
        <v>194</v>
      </c>
      <c r="U46" s="164" t="s">
        <v>2788</v>
      </c>
      <c r="V46" s="164" t="s">
        <v>2786</v>
      </c>
      <c r="W46" s="165">
        <v>44</v>
      </c>
      <c r="X46" s="165">
        <v>2</v>
      </c>
      <c r="Y46" s="164" t="s">
        <v>194</v>
      </c>
      <c r="Z46" s="164" t="s">
        <v>195</v>
      </c>
      <c r="AA46" s="164" t="s">
        <v>196</v>
      </c>
      <c r="AB46" s="164" t="s">
        <v>187</v>
      </c>
      <c r="AC46" s="164" t="s">
        <v>209</v>
      </c>
      <c r="AD46" s="165">
        <v>1</v>
      </c>
      <c r="AE46" s="164" t="s">
        <v>209</v>
      </c>
      <c r="AF46" s="165">
        <v>3.11249774467518</v>
      </c>
      <c r="AG46" s="166">
        <v>101.728863651236</v>
      </c>
      <c r="AI46" s="133">
        <f t="shared" si="4"/>
        <v>1</v>
      </c>
      <c r="AJ46" s="134" t="str">
        <v>Portuguese, European</v>
      </c>
      <c r="AK46" s="135">
        <f t="shared" si="5"/>
        <v>700</v>
      </c>
      <c r="AM46" s="133" t="str" cm="1">
        <f t="array" ref="AM46">IF(ROWS($AN$2:$AN45)&lt;=$AN$2,INDEX($V$3:$V$3000,_xlfn.AGGREGATE(15,3,($B$3:$B$3000=$AM$2)/($B$3:$B$3000=$AM$2)*(ROW($B$3:$B$3000)-ROW($B$2)),ROWS($AN$2:$AN45))),"")</f>
        <v/>
      </c>
      <c r="AN46" s="134" t="str" cm="1">
        <f t="array" ref="AN46">IF(ROWS($AN$2:$AN45)&lt;=$AN$2,INDEX($F$3:$F$3000,_xlfn.AGGREGATE(15,3,($B$3:$B$3000=$AM$2)/($B$3:$B$3000=$AM$2)*(ROW($B$3:$B$3000)-ROW($B$2)),ROWS($AN$2:$AN45))),"")</f>
        <v/>
      </c>
      <c r="AO46" s="135" t="str" cm="1">
        <f t="array" ref="AO46">IF(ROWS($AN$2:$AN45)&lt;=$AN$2,INDEX($G$3:$G$3000,_xlfn.AGGREGATE(15,3,($B$3:$B$3000=$AM$2)/($B$3:$B$3000=$AM$2)*(ROW($B$3:$B$3000)-ROW($B$2)),ROWS($AN$2:$AN45))),"")</f>
        <v/>
      </c>
      <c r="AP46" s="121"/>
      <c r="AQ46" s="133"/>
      <c r="AR46" s="136">
        <f>IF('Planning Template'!$F$43="",SUMIFS($G$3:$G$3001,$V$3:$V$3001,$AQ46,$B$3:$B$3001,$AM$2),SUMIFS($G$3:$G$3001,$V$3:$V$3001,$AQ46,$B$3:$B$3001,$AM$2,$N$3:$N$3001,'Planning Template'!$F$301))</f>
        <v>0</v>
      </c>
      <c r="AS46" s="136"/>
      <c r="AT46" s="137" t="str">
        <f t="shared" si="2"/>
        <v xml:space="preserve"> (0)</v>
      </c>
      <c r="AV46" s="133" t="str" cm="1">
        <f t="array" ref="AV46">IF(ROWS($AW$2:$AW45)&lt;=$AW$2,INDEX($AM$3:$AM$792,_xlfn.AGGREGATE(15,3,($AM$3:$AM$792='Planning Template'!$F$45)/($AM$3:$AM$792='Planning Template'!$F$45)*(ROW($AM$3:$AM$792)-ROW($AM$2)),ROWS($AW$2:$AW45))),"")</f>
        <v/>
      </c>
      <c r="AW46" s="134" t="str" cm="1">
        <f t="array" ref="AW46">IF(ROWS($AU$3:$AU46)&lt;=$AW$2,INDEX($AN$3:$AN$792,_xlfn.AGGREGATE(15,3,($AM$3:$AM$792='Planning Template'!$F$45)/($AM$3:$AM$792='Planning Template'!$F$45)*(ROW($AM$3:$AM$792)-ROW($AM$2)),ROWS($AU$3:$AU46))),"")</f>
        <v/>
      </c>
      <c r="AX46" s="135" t="str">
        <f>IF(AW46="","",SUMIFS(TableSSDPeopleGroups[Population], TableSSDPeopleGroups[Ctry],'Planning Template'!$F$30,TableSSDPeopleGroups[PrimaryReligion],'Planning Template'!$F$301,TableSSDPeopleGroups[PeopleCluster],'Planning Template'!$F$45,TableSSDPeopleGroups[PeopNameInCountry],$AW46))</f>
        <v/>
      </c>
      <c r="AY46" s="234" t="str">
        <f t="shared" si="3"/>
        <v/>
      </c>
    </row>
    <row r="47" spans="1:51" s="110" customFormat="1" ht="20" customHeight="1">
      <c r="A47" s="125" t="s">
        <v>239</v>
      </c>
      <c r="B47" s="126" t="s">
        <v>67</v>
      </c>
      <c r="C47" s="127">
        <v>12322</v>
      </c>
      <c r="D47" s="163">
        <v>104189</v>
      </c>
      <c r="E47" s="164" t="s">
        <v>2786</v>
      </c>
      <c r="F47" s="164" t="s">
        <v>2786</v>
      </c>
      <c r="G47" s="165">
        <v>4400</v>
      </c>
      <c r="H47" s="165">
        <v>1</v>
      </c>
      <c r="I47" s="164" t="s">
        <v>187</v>
      </c>
      <c r="J47" s="164" t="s">
        <v>2787</v>
      </c>
      <c r="K47" s="164" t="s">
        <v>2786</v>
      </c>
      <c r="L47" s="165">
        <v>5</v>
      </c>
      <c r="M47" s="165">
        <v>2</v>
      </c>
      <c r="N47" s="164" t="s">
        <v>1718</v>
      </c>
      <c r="O47" s="165">
        <v>2</v>
      </c>
      <c r="P47" s="165">
        <v>0.5</v>
      </c>
      <c r="Q47" s="165">
        <v>11</v>
      </c>
      <c r="R47" s="164" t="s">
        <v>740</v>
      </c>
      <c r="S47" s="164" t="s">
        <v>741</v>
      </c>
      <c r="T47" s="165">
        <v>194</v>
      </c>
      <c r="U47" s="164" t="s">
        <v>2788</v>
      </c>
      <c r="V47" s="164" t="s">
        <v>2786</v>
      </c>
      <c r="W47" s="165">
        <v>44</v>
      </c>
      <c r="X47" s="165">
        <v>2</v>
      </c>
      <c r="Y47" s="164" t="s">
        <v>194</v>
      </c>
      <c r="Z47" s="164" t="s">
        <v>195</v>
      </c>
      <c r="AA47" s="164" t="s">
        <v>196</v>
      </c>
      <c r="AB47" s="164" t="s">
        <v>209</v>
      </c>
      <c r="AC47" s="164" t="s">
        <v>209</v>
      </c>
      <c r="AD47" s="165">
        <v>1</v>
      </c>
      <c r="AE47" s="164" t="s">
        <v>209</v>
      </c>
      <c r="AF47" s="165">
        <v>14.584379999999999</v>
      </c>
      <c r="AG47" s="166">
        <v>121.010049</v>
      </c>
      <c r="AI47" s="133">
        <f t="shared" si="4"/>
        <v>18</v>
      </c>
      <c r="AJ47" s="134" t="str">
        <v>South Asia Christian</v>
      </c>
      <c r="AK47" s="135">
        <f t="shared" si="5"/>
        <v>443500</v>
      </c>
      <c r="AM47" s="133" t="str" cm="1">
        <f t="array" ref="AM47">IF(ROWS($AN$2:$AN46)&lt;=$AN$2,INDEX($V$3:$V$3000,_xlfn.AGGREGATE(15,3,($B$3:$B$3000=$AM$2)/($B$3:$B$3000=$AM$2)*(ROW($B$3:$B$3000)-ROW($B$2)),ROWS($AN$2:$AN46))),"")</f>
        <v/>
      </c>
      <c r="AN47" s="134" t="str" cm="1">
        <f t="array" ref="AN47">IF(ROWS($AN$2:$AN46)&lt;=$AN$2,INDEX($F$3:$F$3000,_xlfn.AGGREGATE(15,3,($B$3:$B$3000=$AM$2)/($B$3:$B$3000=$AM$2)*(ROW($B$3:$B$3000)-ROW($B$2)),ROWS($AN$2:$AN46))),"")</f>
        <v/>
      </c>
      <c r="AO47" s="135" t="str" cm="1">
        <f t="array" ref="AO47">IF(ROWS($AN$2:$AN46)&lt;=$AN$2,INDEX($G$3:$G$3000,_xlfn.AGGREGATE(15,3,($B$3:$B$3000=$AM$2)/($B$3:$B$3000=$AM$2)*(ROW($B$3:$B$3000)-ROW($B$2)),ROWS($AN$2:$AN46))),"")</f>
        <v/>
      </c>
      <c r="AP47" s="121"/>
      <c r="AQ47" s="133"/>
      <c r="AR47" s="136">
        <f>IF('Planning Template'!$F$43="",SUMIFS($G$3:$G$3001,$V$3:$V$3001,$AQ47,$B$3:$B$3001,$AM$2),SUMIFS($G$3:$G$3001,$V$3:$V$3001,$AQ47,$B$3:$B$3001,$AM$2,$N$3:$N$3001,'Planning Template'!$F$301))</f>
        <v>0</v>
      </c>
      <c r="AS47" s="136"/>
      <c r="AT47" s="137" t="str">
        <f t="shared" si="2"/>
        <v xml:space="preserve"> (0)</v>
      </c>
      <c r="AV47" s="133" t="str" cm="1">
        <f t="array" ref="AV47">IF(ROWS($AW$2:$AW46)&lt;=$AW$2,INDEX($AM$3:$AM$792,_xlfn.AGGREGATE(15,3,($AM$3:$AM$792='Planning Template'!$F$45)/($AM$3:$AM$792='Planning Template'!$F$45)*(ROW($AM$3:$AM$792)-ROW($AM$2)),ROWS($AW$2:$AW46))),"")</f>
        <v/>
      </c>
      <c r="AW47" s="134" t="str" cm="1">
        <f t="array" ref="AW47">IF(ROWS($AU$3:$AU47)&lt;=$AW$2,INDEX($AN$3:$AN$792,_xlfn.AGGREGATE(15,3,($AM$3:$AM$792='Planning Template'!$F$45)/($AM$3:$AM$792='Planning Template'!$F$45)*(ROW($AM$3:$AM$792)-ROW($AM$2)),ROWS($AU$3:$AU47))),"")</f>
        <v/>
      </c>
      <c r="AX47" s="135" t="str">
        <f>IF(AW47="","",SUMIFS(TableSSDPeopleGroups[Population], TableSSDPeopleGroups[Ctry],'Planning Template'!$F$30,TableSSDPeopleGroups[PrimaryReligion],'Planning Template'!$F$301,TableSSDPeopleGroups[PeopleCluster],'Planning Template'!$F$45,TableSSDPeopleGroups[PeopNameInCountry],$AW47))</f>
        <v/>
      </c>
      <c r="AY47" s="234" t="str">
        <f t="shared" si="3"/>
        <v/>
      </c>
    </row>
    <row r="48" spans="1:51" s="110" customFormat="1" ht="20" customHeight="1">
      <c r="A48" s="125" t="s">
        <v>408</v>
      </c>
      <c r="B48" s="126" t="s">
        <v>64</v>
      </c>
      <c r="C48" s="127">
        <v>12322</v>
      </c>
      <c r="D48" s="163">
        <v>104189</v>
      </c>
      <c r="E48" s="164" t="s">
        <v>2786</v>
      </c>
      <c r="F48" s="164" t="s">
        <v>2786</v>
      </c>
      <c r="G48" s="165">
        <v>39000</v>
      </c>
      <c r="H48" s="165">
        <v>1</v>
      </c>
      <c r="I48" s="164" t="s">
        <v>187</v>
      </c>
      <c r="J48" s="164" t="s">
        <v>2787</v>
      </c>
      <c r="K48" s="164" t="s">
        <v>2786</v>
      </c>
      <c r="L48" s="165">
        <v>5</v>
      </c>
      <c r="M48" s="165">
        <v>2</v>
      </c>
      <c r="N48" s="164" t="s">
        <v>1718</v>
      </c>
      <c r="O48" s="165">
        <v>1.6</v>
      </c>
      <c r="P48" s="165">
        <v>0.5</v>
      </c>
      <c r="Q48" s="165">
        <v>11</v>
      </c>
      <c r="R48" s="164" t="s">
        <v>740</v>
      </c>
      <c r="S48" s="164" t="s">
        <v>741</v>
      </c>
      <c r="T48" s="165">
        <v>194</v>
      </c>
      <c r="U48" s="164" t="s">
        <v>2788</v>
      </c>
      <c r="V48" s="164" t="s">
        <v>2786</v>
      </c>
      <c r="W48" s="165">
        <v>44</v>
      </c>
      <c r="X48" s="165">
        <v>2</v>
      </c>
      <c r="Y48" s="164" t="s">
        <v>194</v>
      </c>
      <c r="Z48" s="164" t="s">
        <v>195</v>
      </c>
      <c r="AA48" s="164" t="s">
        <v>196</v>
      </c>
      <c r="AB48" s="164" t="s">
        <v>209</v>
      </c>
      <c r="AC48" s="164" t="s">
        <v>209</v>
      </c>
      <c r="AD48" s="165">
        <v>1</v>
      </c>
      <c r="AE48" s="164" t="s">
        <v>209</v>
      </c>
      <c r="AF48" s="165">
        <v>1.34883</v>
      </c>
      <c r="AG48" s="166">
        <v>103.77652999999999</v>
      </c>
      <c r="AI48" s="133">
        <f t="shared" si="4"/>
        <v>19</v>
      </c>
      <c r="AJ48" s="134" t="str">
        <v>South Asia Forward Caste - Brahmin</v>
      </c>
      <c r="AK48" s="135">
        <f t="shared" si="5"/>
        <v>871300</v>
      </c>
      <c r="AM48" s="133" t="str" cm="1">
        <f t="array" ref="AM48">IF(ROWS($AN$2:$AN47)&lt;=$AN$2,INDEX($V$3:$V$3000,_xlfn.AGGREGATE(15,3,($B$3:$B$3000=$AM$2)/($B$3:$B$3000=$AM$2)*(ROW($B$3:$B$3000)-ROW($B$2)),ROWS($AN$2:$AN47))),"")</f>
        <v/>
      </c>
      <c r="AN48" s="134" t="str" cm="1">
        <f t="array" ref="AN48">IF(ROWS($AN$2:$AN47)&lt;=$AN$2,INDEX($F$3:$F$3000,_xlfn.AGGREGATE(15,3,($B$3:$B$3000=$AM$2)/($B$3:$B$3000=$AM$2)*(ROW($B$3:$B$3000)-ROW($B$2)),ROWS($AN$2:$AN47))),"")</f>
        <v/>
      </c>
      <c r="AO48" s="135" t="str" cm="1">
        <f t="array" ref="AO48">IF(ROWS($AN$2:$AN47)&lt;=$AN$2,INDEX($G$3:$G$3000,_xlfn.AGGREGATE(15,3,($B$3:$B$3000=$AM$2)/($B$3:$B$3000=$AM$2)*(ROW($B$3:$B$3000)-ROW($B$2)),ROWS($AN$2:$AN47))),"")</f>
        <v/>
      </c>
      <c r="AP48" s="121"/>
      <c r="AQ48" s="133"/>
      <c r="AR48" s="136">
        <f>IF('Planning Template'!$F$43="",SUMIFS($G$3:$G$3001,$V$3:$V$3001,$AQ48,$B$3:$B$3001,$AM$2),SUMIFS($G$3:$G$3001,$V$3:$V$3001,$AQ48,$B$3:$B$3001,$AM$2,$N$3:$N$3001,'Planning Template'!$F$301))</f>
        <v>0</v>
      </c>
      <c r="AS48" s="136"/>
      <c r="AT48" s="137" t="str">
        <f t="shared" si="2"/>
        <v xml:space="preserve"> (0)</v>
      </c>
      <c r="AV48" s="133" t="str" cm="1">
        <f t="array" ref="AV48">IF(ROWS($AW$2:$AW47)&lt;=$AW$2,INDEX($AM$3:$AM$792,_xlfn.AGGREGATE(15,3,($AM$3:$AM$792='Planning Template'!$F$45)/($AM$3:$AM$792='Planning Template'!$F$45)*(ROW($AM$3:$AM$792)-ROW($AM$2)),ROWS($AW$2:$AW47))),"")</f>
        <v/>
      </c>
      <c r="AW48" s="134" t="str" cm="1">
        <f t="array" ref="AW48">IF(ROWS($AU$3:$AU48)&lt;=$AW$2,INDEX($AN$3:$AN$792,_xlfn.AGGREGATE(15,3,($AM$3:$AM$792='Planning Template'!$F$45)/($AM$3:$AM$792='Planning Template'!$F$45)*(ROW($AM$3:$AM$792)-ROW($AM$2)),ROWS($AU$3:$AU48))),"")</f>
        <v/>
      </c>
      <c r="AX48" s="135" t="str">
        <f>IF(AW48="","",SUMIFS(TableSSDPeopleGroups[Population], TableSSDPeopleGroups[Ctry],'Planning Template'!$F$30,TableSSDPeopleGroups[PrimaryReligion],'Planning Template'!$F$301,TableSSDPeopleGroups[PeopleCluster],'Planning Template'!$F$45,TableSSDPeopleGroups[PeopNameInCountry],$AW48))</f>
        <v/>
      </c>
      <c r="AY48" s="234" t="str">
        <f t="shared" si="3"/>
        <v/>
      </c>
    </row>
    <row r="49" spans="1:51" s="110" customFormat="1" ht="20" customHeight="1">
      <c r="A49" s="125" t="s">
        <v>224</v>
      </c>
      <c r="B49" s="126" t="s">
        <v>68</v>
      </c>
      <c r="C49" s="127">
        <v>12322</v>
      </c>
      <c r="D49" s="163">
        <v>104189</v>
      </c>
      <c r="E49" s="164" t="s">
        <v>2786</v>
      </c>
      <c r="F49" s="164" t="s">
        <v>2786</v>
      </c>
      <c r="G49" s="165">
        <v>2300</v>
      </c>
      <c r="H49" s="165">
        <v>1</v>
      </c>
      <c r="I49" s="164" t="s">
        <v>187</v>
      </c>
      <c r="J49" s="164" t="s">
        <v>2787</v>
      </c>
      <c r="K49" s="164" t="s">
        <v>2786</v>
      </c>
      <c r="L49" s="165">
        <v>5</v>
      </c>
      <c r="M49" s="165">
        <v>2</v>
      </c>
      <c r="N49" s="164" t="s">
        <v>1718</v>
      </c>
      <c r="O49" s="165">
        <v>2.871</v>
      </c>
      <c r="P49" s="168"/>
      <c r="Q49" s="165">
        <v>11</v>
      </c>
      <c r="R49" s="164" t="s">
        <v>740</v>
      </c>
      <c r="S49" s="164" t="s">
        <v>741</v>
      </c>
      <c r="T49" s="165">
        <v>194</v>
      </c>
      <c r="U49" s="164" t="s">
        <v>2788</v>
      </c>
      <c r="V49" s="164" t="s">
        <v>2786</v>
      </c>
      <c r="W49" s="165">
        <v>44</v>
      </c>
      <c r="X49" s="165">
        <v>4</v>
      </c>
      <c r="Y49" s="164" t="s">
        <v>203</v>
      </c>
      <c r="Z49" s="164" t="s">
        <v>195</v>
      </c>
      <c r="AA49" s="164" t="s">
        <v>196</v>
      </c>
      <c r="AB49" s="164" t="s">
        <v>187</v>
      </c>
      <c r="AC49" s="164" t="s">
        <v>209</v>
      </c>
      <c r="AD49" s="165">
        <v>1</v>
      </c>
      <c r="AE49" s="164" t="s">
        <v>209</v>
      </c>
      <c r="AF49" s="165">
        <v>6.8681700000000001</v>
      </c>
      <c r="AG49" s="166">
        <v>80.020849999999996</v>
      </c>
      <c r="AI49" s="133">
        <f t="shared" si="4"/>
        <v>6</v>
      </c>
      <c r="AJ49" s="134" t="str">
        <v>South Asia Tribal - Kuki Chin</v>
      </c>
      <c r="AK49" s="135">
        <f t="shared" si="5"/>
        <v>89400</v>
      </c>
      <c r="AM49" s="133" t="str" cm="1">
        <f t="array" ref="AM49">IF(ROWS($AN$2:$AN48)&lt;=$AN$2,INDEX($V$3:$V$3000,_xlfn.AGGREGATE(15,3,($B$3:$B$3000=$AM$2)/($B$3:$B$3000=$AM$2)*(ROW($B$3:$B$3000)-ROW($B$2)),ROWS($AN$2:$AN48))),"")</f>
        <v/>
      </c>
      <c r="AN49" s="134" t="str" cm="1">
        <f t="array" ref="AN49">IF(ROWS($AN$2:$AN48)&lt;=$AN$2,INDEX($F$3:$F$3000,_xlfn.AGGREGATE(15,3,($B$3:$B$3000=$AM$2)/($B$3:$B$3000=$AM$2)*(ROW($B$3:$B$3000)-ROW($B$2)),ROWS($AN$2:$AN48))),"")</f>
        <v/>
      </c>
      <c r="AO49" s="135" t="str" cm="1">
        <f t="array" ref="AO49">IF(ROWS($AN$2:$AN48)&lt;=$AN$2,INDEX($G$3:$G$3000,_xlfn.AGGREGATE(15,3,($B$3:$B$3000=$AM$2)/($B$3:$B$3000=$AM$2)*(ROW($B$3:$B$3000)-ROW($B$2)),ROWS($AN$2:$AN48))),"")</f>
        <v/>
      </c>
      <c r="AP49" s="121"/>
      <c r="AQ49" s="133"/>
      <c r="AR49" s="136">
        <f>IF('Planning Template'!$F$43="",SUMIFS($G$3:$G$3001,$V$3:$V$3001,$AQ49,$B$3:$B$3001,$AM$2),SUMIFS($G$3:$G$3001,$V$3:$V$3001,$AQ49,$B$3:$B$3001,$AM$2,$N$3:$N$3001,'Planning Template'!$F$301))</f>
        <v>0</v>
      </c>
      <c r="AS49" s="136"/>
      <c r="AT49" s="137" t="str">
        <f t="shared" si="2"/>
        <v xml:space="preserve"> (0)</v>
      </c>
      <c r="AV49" s="133" t="str" cm="1">
        <f t="array" ref="AV49">IF(ROWS($AW$2:$AW48)&lt;=$AW$2,INDEX($AM$3:$AM$792,_xlfn.AGGREGATE(15,3,($AM$3:$AM$792='Planning Template'!$F$45)/($AM$3:$AM$792='Planning Template'!$F$45)*(ROW($AM$3:$AM$792)-ROW($AM$2)),ROWS($AW$2:$AW48))),"")</f>
        <v/>
      </c>
      <c r="AW49" s="134" t="str" cm="1">
        <f t="array" ref="AW49">IF(ROWS($AU$3:$AU49)&lt;=$AW$2,INDEX($AN$3:$AN$792,_xlfn.AGGREGATE(15,3,($AM$3:$AM$792='Planning Template'!$F$45)/($AM$3:$AM$792='Planning Template'!$F$45)*(ROW($AM$3:$AM$792)-ROW($AM$2)),ROWS($AU$3:$AU49))),"")</f>
        <v/>
      </c>
      <c r="AX49" s="135" t="str">
        <f>IF(AW49="","",SUMIFS(TableSSDPeopleGroups[Population], TableSSDPeopleGroups[Ctry],'Planning Template'!$F$30,TableSSDPeopleGroups[PrimaryReligion],'Planning Template'!$F$301,TableSSDPeopleGroups[PeopleCluster],'Planning Template'!$F$45,TableSSDPeopleGroups[PeopNameInCountry],$AW49))</f>
        <v/>
      </c>
      <c r="AY49" s="234" t="str">
        <f t="shared" si="3"/>
        <v/>
      </c>
    </row>
    <row r="50" spans="1:51" s="110" customFormat="1" ht="20" customHeight="1">
      <c r="A50" s="125" t="s">
        <v>478</v>
      </c>
      <c r="B50" s="126" t="s">
        <v>56</v>
      </c>
      <c r="C50" s="127">
        <v>12322</v>
      </c>
      <c r="D50" s="163">
        <v>104189</v>
      </c>
      <c r="E50" s="164" t="s">
        <v>2786</v>
      </c>
      <c r="F50" s="164" t="s">
        <v>2786</v>
      </c>
      <c r="G50" s="165">
        <v>14000</v>
      </c>
      <c r="H50" s="165">
        <v>1</v>
      </c>
      <c r="I50" s="164" t="s">
        <v>187</v>
      </c>
      <c r="J50" s="164" t="s">
        <v>2787</v>
      </c>
      <c r="K50" s="164" t="s">
        <v>2786</v>
      </c>
      <c r="L50" s="165">
        <v>5</v>
      </c>
      <c r="M50" s="165">
        <v>2</v>
      </c>
      <c r="N50" s="164" t="s">
        <v>1718</v>
      </c>
      <c r="O50" s="165">
        <v>0.5</v>
      </c>
      <c r="P50" s="165">
        <v>0.3</v>
      </c>
      <c r="Q50" s="165">
        <v>11</v>
      </c>
      <c r="R50" s="164" t="s">
        <v>740</v>
      </c>
      <c r="S50" s="164" t="s">
        <v>741</v>
      </c>
      <c r="T50" s="165">
        <v>194</v>
      </c>
      <c r="U50" s="164" t="s">
        <v>2788</v>
      </c>
      <c r="V50" s="164" t="s">
        <v>2786</v>
      </c>
      <c r="W50" s="165">
        <v>44</v>
      </c>
      <c r="X50" s="165">
        <v>2</v>
      </c>
      <c r="Y50" s="164" t="s">
        <v>194</v>
      </c>
      <c r="Z50" s="164" t="s">
        <v>195</v>
      </c>
      <c r="AA50" s="164" t="s">
        <v>196</v>
      </c>
      <c r="AB50" s="164" t="s">
        <v>187</v>
      </c>
      <c r="AC50" s="164" t="s">
        <v>209</v>
      </c>
      <c r="AD50" s="165">
        <v>1</v>
      </c>
      <c r="AE50" s="164" t="s">
        <v>209</v>
      </c>
      <c r="AF50" s="165">
        <v>13.834384</v>
      </c>
      <c r="AG50" s="166">
        <v>100.53428700000001</v>
      </c>
      <c r="AI50" s="133">
        <f t="shared" si="4"/>
        <v>1</v>
      </c>
      <c r="AJ50" s="134" t="str">
        <v>South Asia Tribal - Tangsa</v>
      </c>
      <c r="AK50" s="135">
        <f t="shared" si="5"/>
        <v>68000</v>
      </c>
      <c r="AM50" s="133" t="str" cm="1">
        <f t="array" ref="AM50">IF(ROWS($AN$2:$AN49)&lt;=$AN$2,INDEX($V$3:$V$3000,_xlfn.AGGREGATE(15,3,($B$3:$B$3000=$AM$2)/($B$3:$B$3000=$AM$2)*(ROW($B$3:$B$3000)-ROW($B$2)),ROWS($AN$2:$AN49))),"")</f>
        <v/>
      </c>
      <c r="AN50" s="134" t="str" cm="1">
        <f t="array" ref="AN50">IF(ROWS($AN$2:$AN49)&lt;=$AN$2,INDEX($F$3:$F$3000,_xlfn.AGGREGATE(15,3,($B$3:$B$3000=$AM$2)/($B$3:$B$3000=$AM$2)*(ROW($B$3:$B$3000)-ROW($B$2)),ROWS($AN$2:$AN49))),"")</f>
        <v/>
      </c>
      <c r="AO50" s="135" t="str" cm="1">
        <f t="array" ref="AO50">IF(ROWS($AN$2:$AN49)&lt;=$AN$2,INDEX($G$3:$G$3000,_xlfn.AGGREGATE(15,3,($B$3:$B$3000=$AM$2)/($B$3:$B$3000=$AM$2)*(ROW($B$3:$B$3000)-ROW($B$2)),ROWS($AN$2:$AN49))),"")</f>
        <v/>
      </c>
      <c r="AP50" s="121"/>
      <c r="AQ50" s="133"/>
      <c r="AR50" s="136">
        <f>IF('Planning Template'!$F$43="",SUMIFS($G$3:$G$3001,$V$3:$V$3001,$AQ50,$B$3:$B$3001,$AM$2),SUMIFS($G$3:$G$3001,$V$3:$V$3001,$AQ50,$B$3:$B$3001,$AM$2,$N$3:$N$3001,'Planning Template'!$F$301))</f>
        <v>0</v>
      </c>
      <c r="AS50" s="136"/>
      <c r="AT50" s="137" t="str">
        <f t="shared" si="2"/>
        <v xml:space="preserve"> (0)</v>
      </c>
      <c r="AV50" s="133" t="str" cm="1">
        <f t="array" ref="AV50">IF(ROWS($AW$2:$AW49)&lt;=$AW$2,INDEX($AM$3:$AM$792,_xlfn.AGGREGATE(15,3,($AM$3:$AM$792='Planning Template'!$F$45)/($AM$3:$AM$792='Planning Template'!$F$45)*(ROW($AM$3:$AM$792)-ROW($AM$2)),ROWS($AW$2:$AW49))),"")</f>
        <v/>
      </c>
      <c r="AW50" s="134" t="str" cm="1">
        <f t="array" ref="AW50">IF(ROWS($AU$3:$AU50)&lt;=$AW$2,INDEX($AN$3:$AN$792,_xlfn.AGGREGATE(15,3,($AM$3:$AM$792='Planning Template'!$F$45)/($AM$3:$AM$792='Planning Template'!$F$45)*(ROW($AM$3:$AM$792)-ROW($AM$2)),ROWS($AU$3:$AU50))),"")</f>
        <v/>
      </c>
      <c r="AX50" s="135" t="str">
        <f>IF(AW50="","",SUMIFS(TableSSDPeopleGroups[Population], TableSSDPeopleGroups[Ctry],'Planning Template'!$F$30,TableSSDPeopleGroups[PrimaryReligion],'Planning Template'!$F$301,TableSSDPeopleGroups[PeopleCluster],'Planning Template'!$F$45,TableSSDPeopleGroups[PeopNameInCountry],$AW50))</f>
        <v/>
      </c>
      <c r="AY50" s="234" t="str">
        <f t="shared" si="3"/>
        <v/>
      </c>
    </row>
    <row r="51" spans="1:51" s="110" customFormat="1" ht="20" customHeight="1">
      <c r="A51" s="125" t="s">
        <v>480</v>
      </c>
      <c r="B51" s="126" t="s">
        <v>63</v>
      </c>
      <c r="C51" s="127">
        <v>12322</v>
      </c>
      <c r="D51" s="163">
        <v>104189</v>
      </c>
      <c r="E51" s="164" t="s">
        <v>2786</v>
      </c>
      <c r="F51" s="164" t="s">
        <v>2786</v>
      </c>
      <c r="G51" s="165">
        <v>9500</v>
      </c>
      <c r="H51" s="165">
        <v>1</v>
      </c>
      <c r="I51" s="164" t="s">
        <v>187</v>
      </c>
      <c r="J51" s="164" t="s">
        <v>2787</v>
      </c>
      <c r="K51" s="164" t="s">
        <v>2786</v>
      </c>
      <c r="L51" s="165">
        <v>5</v>
      </c>
      <c r="M51" s="165">
        <v>2</v>
      </c>
      <c r="N51" s="164" t="s">
        <v>1718</v>
      </c>
      <c r="O51" s="165">
        <v>1.5</v>
      </c>
      <c r="P51" s="165">
        <v>0.5</v>
      </c>
      <c r="Q51" s="165">
        <v>11</v>
      </c>
      <c r="R51" s="164" t="s">
        <v>740</v>
      </c>
      <c r="S51" s="164" t="s">
        <v>741</v>
      </c>
      <c r="T51" s="165">
        <v>194</v>
      </c>
      <c r="U51" s="164" t="s">
        <v>2788</v>
      </c>
      <c r="V51" s="164" t="s">
        <v>2786</v>
      </c>
      <c r="W51" s="165">
        <v>44</v>
      </c>
      <c r="X51" s="165">
        <v>2</v>
      </c>
      <c r="Y51" s="164" t="s">
        <v>194</v>
      </c>
      <c r="Z51" s="164" t="s">
        <v>195</v>
      </c>
      <c r="AA51" s="164" t="s">
        <v>196</v>
      </c>
      <c r="AB51" s="164" t="s">
        <v>187</v>
      </c>
      <c r="AC51" s="164" t="s">
        <v>209</v>
      </c>
      <c r="AD51" s="165">
        <v>1</v>
      </c>
      <c r="AE51" s="164" t="s">
        <v>209</v>
      </c>
      <c r="AF51" s="165">
        <v>21.010119</v>
      </c>
      <c r="AG51" s="166">
        <v>105.81397800000001</v>
      </c>
      <c r="AI51" s="133">
        <f t="shared" si="4"/>
        <v>16</v>
      </c>
      <c r="AJ51" s="134" t="str">
        <v>Southeast Asian, other</v>
      </c>
      <c r="AK51" s="135">
        <f t="shared" si="5"/>
        <v>758800</v>
      </c>
      <c r="AM51" s="133" t="str" cm="1">
        <f t="array" ref="AM51">IF(ROWS($AN$2:$AN50)&lt;=$AN$2,INDEX($V$3:$V$3000,_xlfn.AGGREGATE(15,3,($B$3:$B$3000=$AM$2)/($B$3:$B$3000=$AM$2)*(ROW($B$3:$B$3000)-ROW($B$2)),ROWS($AN$2:$AN50))),"")</f>
        <v/>
      </c>
      <c r="AN51" s="134" t="str" cm="1">
        <f t="array" ref="AN51">IF(ROWS($AN$2:$AN50)&lt;=$AN$2,INDEX($F$3:$F$3000,_xlfn.AGGREGATE(15,3,($B$3:$B$3000=$AM$2)/($B$3:$B$3000=$AM$2)*(ROW($B$3:$B$3000)-ROW($B$2)),ROWS($AN$2:$AN50))),"")</f>
        <v/>
      </c>
      <c r="AO51" s="135" t="str" cm="1">
        <f t="array" ref="AO51">IF(ROWS($AN$2:$AN50)&lt;=$AN$2,INDEX($G$3:$G$3000,_xlfn.AGGREGATE(15,3,($B$3:$B$3000=$AM$2)/($B$3:$B$3000=$AM$2)*(ROW($B$3:$B$3000)-ROW($B$2)),ROWS($AN$2:$AN50))),"")</f>
        <v/>
      </c>
      <c r="AP51" s="121"/>
      <c r="AQ51" s="139"/>
      <c r="AR51" s="140"/>
      <c r="AS51" s="140"/>
      <c r="AT51" s="141"/>
      <c r="AV51" s="133" t="str" cm="1">
        <f t="array" ref="AV51">IF(ROWS($AW$2:$AW50)&lt;=$AW$2,INDEX($AM$3:$AM$792,_xlfn.AGGREGATE(15,3,($AM$3:$AM$792='Planning Template'!$F$45)/($AM$3:$AM$792='Planning Template'!$F$45)*(ROW($AM$3:$AM$792)-ROW($AM$2)),ROWS($AW$2:$AW50))),"")</f>
        <v/>
      </c>
      <c r="AW51" s="134" t="str" cm="1">
        <f t="array" ref="AW51">IF(ROWS($AU$3:$AU51)&lt;=$AW$2,INDEX($AN$3:$AN$792,_xlfn.AGGREGATE(15,3,($AM$3:$AM$792='Planning Template'!$F$45)/($AM$3:$AM$792='Planning Template'!$F$45)*(ROW($AM$3:$AM$792)-ROW($AM$2)),ROWS($AU$3:$AU51))),"")</f>
        <v/>
      </c>
      <c r="AX51" s="135" t="str">
        <f>IF(AW51="","",SUMIFS(TableSSDPeopleGroups[Population], TableSSDPeopleGroups[Ctry],'Planning Template'!$F$30,TableSSDPeopleGroups[PrimaryReligion],'Planning Template'!$F$301,TableSSDPeopleGroups[PeopleCluster],'Planning Template'!$F$45,TableSSDPeopleGroups[PeopNameInCountry],$AW51))</f>
        <v/>
      </c>
      <c r="AY51" s="234" t="str">
        <f t="shared" si="3"/>
        <v/>
      </c>
    </row>
    <row r="52" spans="1:51" s="110" customFormat="1" ht="20" customHeight="1">
      <c r="A52" s="125" t="s">
        <v>1620</v>
      </c>
      <c r="B52" s="126" t="s">
        <v>61</v>
      </c>
      <c r="C52" s="127">
        <v>10892</v>
      </c>
      <c r="D52" s="163">
        <v>101515</v>
      </c>
      <c r="E52" s="164" t="s">
        <v>2231</v>
      </c>
      <c r="F52" s="164" t="s">
        <v>2231</v>
      </c>
      <c r="G52" s="165">
        <v>858000</v>
      </c>
      <c r="H52" s="165">
        <v>1</v>
      </c>
      <c r="I52" s="164" t="s">
        <v>187</v>
      </c>
      <c r="J52" s="164" t="s">
        <v>2232</v>
      </c>
      <c r="K52" s="164" t="s">
        <v>2233</v>
      </c>
      <c r="L52" s="165">
        <v>4</v>
      </c>
      <c r="M52" s="165">
        <v>2</v>
      </c>
      <c r="N52" s="164" t="s">
        <v>1718</v>
      </c>
      <c r="O52" s="165">
        <v>1.7</v>
      </c>
      <c r="P52" s="165">
        <v>0.3</v>
      </c>
      <c r="Q52" s="165">
        <v>23</v>
      </c>
      <c r="R52" s="164" t="s">
        <v>1623</v>
      </c>
      <c r="S52" s="164" t="s">
        <v>1624</v>
      </c>
      <c r="T52" s="165">
        <v>200</v>
      </c>
      <c r="U52" s="164" t="s">
        <v>2234</v>
      </c>
      <c r="V52" s="164" t="s">
        <v>2235</v>
      </c>
      <c r="W52" s="165">
        <v>2</v>
      </c>
      <c r="X52" s="165">
        <v>2</v>
      </c>
      <c r="Y52" s="164" t="s">
        <v>194</v>
      </c>
      <c r="Z52" s="164" t="s">
        <v>195</v>
      </c>
      <c r="AA52" s="164" t="s">
        <v>196</v>
      </c>
      <c r="AB52" s="164" t="s">
        <v>187</v>
      </c>
      <c r="AC52" s="164" t="s">
        <v>187</v>
      </c>
      <c r="AD52" s="165">
        <v>17</v>
      </c>
      <c r="AE52" s="164" t="s">
        <v>209</v>
      </c>
      <c r="AF52" s="165">
        <v>20.679900000384698</v>
      </c>
      <c r="AG52" s="166">
        <v>97.128149999822597</v>
      </c>
      <c r="AI52" s="133">
        <f t="shared" si="4"/>
        <v>38</v>
      </c>
      <c r="AJ52" s="134" t="str">
        <v>Timor</v>
      </c>
      <c r="AK52" s="135">
        <f t="shared" si="5"/>
        <v>2822260</v>
      </c>
      <c r="AM52" s="133" t="str" cm="1">
        <f t="array" ref="AM52">IF(ROWS($AN$2:$AN51)&lt;=$AN$2,INDEX($V$3:$V$3000,_xlfn.AGGREGATE(15,3,($B$3:$B$3000=$AM$2)/($B$3:$B$3000=$AM$2)*(ROW($B$3:$B$3000)-ROW($B$2)),ROWS($AN$2:$AN51))),"")</f>
        <v/>
      </c>
      <c r="AN52" s="134" t="str" cm="1">
        <f t="array" ref="AN52">IF(ROWS($AN$2:$AN51)&lt;=$AN$2,INDEX($F$3:$F$3000,_xlfn.AGGREGATE(15,3,($B$3:$B$3000=$AM$2)/($B$3:$B$3000=$AM$2)*(ROW($B$3:$B$3000)-ROW($B$2)),ROWS($AN$2:$AN51))),"")</f>
        <v/>
      </c>
      <c r="AO52" s="135" t="str" cm="1">
        <f t="array" ref="AO52">IF(ROWS($AN$2:$AN51)&lt;=$AN$2,INDEX($G$3:$G$3000,_xlfn.AGGREGATE(15,3,($B$3:$B$3000=$AM$2)/($B$3:$B$3000=$AM$2)*(ROW($B$3:$B$3000)-ROW($B$2)),ROWS($AN$2:$AN51))),"")</f>
        <v/>
      </c>
      <c r="AP52" s="121"/>
      <c r="AR52" s="121" t="str">
        <f>IF((SUMIFS($G$3:$G$3001,$V$3:$V$3001,$AQ52,$B$3:$B$3001,$AM$2))=0,"",SUMIFS($G$3:$G$3001,$V$3:$V$3001,$AQ52,$B$3:$B$3001,$AM$2))</f>
        <v/>
      </c>
      <c r="AS52" s="121"/>
      <c r="AT52" s="142"/>
      <c r="AV52" s="133" t="str" cm="1">
        <f t="array" ref="AV52">IF(ROWS($AW$2:$AW51)&lt;=$AW$2,INDEX($AM$3:$AM$792,_xlfn.AGGREGATE(15,3,($AM$3:$AM$792='Planning Template'!$F$45)/($AM$3:$AM$792='Planning Template'!$F$45)*(ROW($AM$3:$AM$792)-ROW($AM$2)),ROWS($AW$2:$AW51))),"")</f>
        <v/>
      </c>
      <c r="AW52" s="134" t="str" cm="1">
        <f t="array" ref="AW52">IF(ROWS($AU$3:$AU52)&lt;=$AW$2,INDEX($AN$3:$AN$792,_xlfn.AGGREGATE(15,3,($AM$3:$AM$792='Planning Template'!$F$45)/($AM$3:$AM$792='Planning Template'!$F$45)*(ROW($AM$3:$AM$792)-ROW($AM$2)),ROWS($AU$3:$AU52))),"")</f>
        <v/>
      </c>
      <c r="AX52" s="135" t="str">
        <f>IF(AW52="","",SUMIFS(TableSSDPeopleGroups[Population], TableSSDPeopleGroups[Ctry],'Planning Template'!$F$30,TableSSDPeopleGroups[PrimaryReligion],'Planning Template'!$F$301,TableSSDPeopleGroups[PeopleCluster],'Planning Template'!$F$45,TableSSDPeopleGroups[PeopNameInCountry],$AW52))</f>
        <v/>
      </c>
      <c r="AY52" s="234" t="str">
        <f t="shared" si="3"/>
        <v/>
      </c>
    </row>
    <row r="53" spans="1:51" s="110" customFormat="1" ht="20" customHeight="1">
      <c r="A53" s="125" t="s">
        <v>1620</v>
      </c>
      <c r="B53" s="126" t="s">
        <v>61</v>
      </c>
      <c r="C53" s="127">
        <v>16042</v>
      </c>
      <c r="D53" s="163">
        <v>111073</v>
      </c>
      <c r="E53" s="164" t="s">
        <v>3705</v>
      </c>
      <c r="F53" s="164" t="s">
        <v>3705</v>
      </c>
      <c r="G53" s="165">
        <v>11000</v>
      </c>
      <c r="H53" s="165">
        <v>1</v>
      </c>
      <c r="I53" s="164" t="s">
        <v>187</v>
      </c>
      <c r="J53" s="164" t="s">
        <v>3706</v>
      </c>
      <c r="K53" s="164" t="s">
        <v>3707</v>
      </c>
      <c r="L53" s="165">
        <v>2</v>
      </c>
      <c r="M53" s="165">
        <v>2</v>
      </c>
      <c r="N53" s="164" t="s">
        <v>1718</v>
      </c>
      <c r="O53" s="165">
        <v>0.01</v>
      </c>
      <c r="P53" s="165">
        <v>0</v>
      </c>
      <c r="Q53" s="165">
        <v>23</v>
      </c>
      <c r="R53" s="164" t="s">
        <v>1623</v>
      </c>
      <c r="S53" s="164" t="s">
        <v>1624</v>
      </c>
      <c r="T53" s="165">
        <v>200</v>
      </c>
      <c r="U53" s="164" t="s">
        <v>2234</v>
      </c>
      <c r="V53" s="164" t="s">
        <v>2235</v>
      </c>
      <c r="W53" s="165">
        <v>1</v>
      </c>
      <c r="X53" s="165">
        <v>2</v>
      </c>
      <c r="Y53" s="164" t="s">
        <v>194</v>
      </c>
      <c r="Z53" s="164" t="s">
        <v>195</v>
      </c>
      <c r="AA53" s="164" t="s">
        <v>196</v>
      </c>
      <c r="AB53" s="164" t="s">
        <v>187</v>
      </c>
      <c r="AC53" s="164" t="s">
        <v>187</v>
      </c>
      <c r="AD53" s="165">
        <v>1</v>
      </c>
      <c r="AE53" s="164" t="s">
        <v>187</v>
      </c>
      <c r="AF53" s="165">
        <v>18.90174</v>
      </c>
      <c r="AG53" s="166">
        <v>97.341629999999995</v>
      </c>
      <c r="AI53" s="133">
        <f t="shared" si="4"/>
        <v>14</v>
      </c>
      <c r="AJ53" s="134" t="str">
        <v>Toraja of Sulawesi</v>
      </c>
      <c r="AK53" s="135">
        <f t="shared" si="5"/>
        <v>1663200</v>
      </c>
      <c r="AM53" s="133" t="str" cm="1">
        <f t="array" ref="AM53">IF(ROWS($AN$2:$AN52)&lt;=$AN$2,INDEX($V$3:$V$3000,_xlfn.AGGREGATE(15,3,($B$3:$B$3000=$AM$2)/($B$3:$B$3000=$AM$2)*(ROW($B$3:$B$3000)-ROW($B$2)),ROWS($AN$2:$AN52))),"")</f>
        <v/>
      </c>
      <c r="AN53" s="134" t="str" cm="1">
        <f t="array" ref="AN53">IF(ROWS($AN$2:$AN52)&lt;=$AN$2,INDEX($F$3:$F$3000,_xlfn.AGGREGATE(15,3,($B$3:$B$3000=$AM$2)/($B$3:$B$3000=$AM$2)*(ROW($B$3:$B$3000)-ROW($B$2)),ROWS($AN$2:$AN52))),"")</f>
        <v/>
      </c>
      <c r="AO53" s="135" t="str" cm="1">
        <f t="array" ref="AO53">IF(ROWS($AN$2:$AN52)&lt;=$AN$2,INDEX($G$3:$G$3000,_xlfn.AGGREGATE(15,3,($B$3:$B$3000=$AM$2)/($B$3:$B$3000=$AM$2)*(ROW($B$3:$B$3000)-ROW($B$2)),ROWS($AN$2:$AN52))),"")</f>
        <v/>
      </c>
      <c r="AP53" s="121"/>
      <c r="AT53" s="111"/>
      <c r="AV53" s="133" t="str" cm="1">
        <f t="array" ref="AV53">IF(ROWS($AW$2:$AW52)&lt;=$AW$2,INDEX($AM$3:$AM$792,_xlfn.AGGREGATE(15,3,($AM$3:$AM$792='Planning Template'!$F$45)/($AM$3:$AM$792='Planning Template'!$F$45)*(ROW($AM$3:$AM$792)-ROW($AM$2)),ROWS($AW$2:$AW52))),"")</f>
        <v/>
      </c>
      <c r="AW53" s="134" t="str" cm="1">
        <f t="array" ref="AW53">IF(ROWS($AU$3:$AU53)&lt;=$AW$2,INDEX($AN$3:$AN$792,_xlfn.AGGREGATE(15,3,($AM$3:$AM$792='Planning Template'!$F$45)/($AM$3:$AM$792='Planning Template'!$F$45)*(ROW($AM$3:$AM$792)-ROW($AM$2)),ROWS($AU$3:$AU53))),"")</f>
        <v/>
      </c>
      <c r="AX53" s="135" t="str">
        <f>IF(AW53="","",SUMIFS(TableSSDPeopleGroups[Population], TableSSDPeopleGroups[Ctry],'Planning Template'!$F$30,TableSSDPeopleGroups[PrimaryReligion],'Planning Template'!$F$301,TableSSDPeopleGroups[PeopleCluster],'Planning Template'!$F$45,TableSSDPeopleGroups[PeopNameInCountry],$AW53))</f>
        <v/>
      </c>
      <c r="AY53" s="234" t="str">
        <f t="shared" si="3"/>
        <v/>
      </c>
    </row>
    <row r="54" spans="1:51" s="110" customFormat="1" ht="20" customHeight="1">
      <c r="A54" s="125" t="s">
        <v>1620</v>
      </c>
      <c r="B54" s="126" t="s">
        <v>61</v>
      </c>
      <c r="C54" s="127">
        <v>15395</v>
      </c>
      <c r="D54" s="145">
        <v>104659</v>
      </c>
      <c r="E54" s="146" t="s">
        <v>4446</v>
      </c>
      <c r="F54" s="146" t="s">
        <v>4446</v>
      </c>
      <c r="G54" s="147">
        <v>1161000</v>
      </c>
      <c r="H54" s="147">
        <v>4</v>
      </c>
      <c r="I54" s="146" t="s">
        <v>209</v>
      </c>
      <c r="J54" s="146" t="s">
        <v>4447</v>
      </c>
      <c r="K54" s="146" t="s">
        <v>4446</v>
      </c>
      <c r="L54" s="147">
        <v>5</v>
      </c>
      <c r="M54" s="147">
        <v>2</v>
      </c>
      <c r="N54" s="146" t="s">
        <v>1718</v>
      </c>
      <c r="O54" s="147">
        <v>30</v>
      </c>
      <c r="P54" s="147">
        <v>5.8810000000000002</v>
      </c>
      <c r="Q54" s="147">
        <v>23</v>
      </c>
      <c r="R54" s="146" t="s">
        <v>1623</v>
      </c>
      <c r="S54" s="146" t="s">
        <v>1624</v>
      </c>
      <c r="T54" s="147">
        <v>200</v>
      </c>
      <c r="U54" s="146" t="s">
        <v>2234</v>
      </c>
      <c r="V54" s="146" t="s">
        <v>2235</v>
      </c>
      <c r="W54" s="147">
        <v>2</v>
      </c>
      <c r="X54" s="147">
        <v>2</v>
      </c>
      <c r="Y54" s="146" t="s">
        <v>194</v>
      </c>
      <c r="Z54" s="146" t="s">
        <v>195</v>
      </c>
      <c r="AA54" s="146" t="s">
        <v>196</v>
      </c>
      <c r="AB54" s="146" t="s">
        <v>187</v>
      </c>
      <c r="AC54" s="146" t="s">
        <v>187</v>
      </c>
      <c r="AD54" s="148"/>
      <c r="AE54" s="146" t="s">
        <v>209</v>
      </c>
      <c r="AF54" s="147">
        <v>16.253</v>
      </c>
      <c r="AG54" s="149">
        <v>97.748000000000005</v>
      </c>
      <c r="AI54" s="133">
        <f t="shared" si="4"/>
        <v>10</v>
      </c>
      <c r="AJ54" s="134" t="str">
        <v>Banjar of Kalimantan</v>
      </c>
      <c r="AK54" s="135">
        <f t="shared" si="5"/>
        <v>5551100</v>
      </c>
      <c r="AM54" s="133" t="str" cm="1">
        <f t="array" ref="AM54">IF(ROWS($AN$2:$AN53)&lt;=$AN$2,INDEX($V$3:$V$3000,_xlfn.AGGREGATE(15,3,($B$3:$B$3000=$AM$2)/($B$3:$B$3000=$AM$2)*(ROW($B$3:$B$3000)-ROW($B$2)),ROWS($AN$2:$AN53))),"")</f>
        <v/>
      </c>
      <c r="AN54" s="134" t="str" cm="1">
        <f t="array" ref="AN54">IF(ROWS($AN$2:$AN53)&lt;=$AN$2,INDEX($F$3:$F$3000,_xlfn.AGGREGATE(15,3,($B$3:$B$3000=$AM$2)/($B$3:$B$3000=$AM$2)*(ROW($B$3:$B$3000)-ROW($B$2)),ROWS($AN$2:$AN53))),"")</f>
        <v/>
      </c>
      <c r="AO54" s="135" t="str" cm="1">
        <f t="array" ref="AO54">IF(ROWS($AN$2:$AN53)&lt;=$AN$2,INDEX($G$3:$G$3000,_xlfn.AGGREGATE(15,3,($B$3:$B$3000=$AM$2)/($B$3:$B$3000=$AM$2)*(ROW($B$3:$B$3000)-ROW($B$2)),ROWS($AN$2:$AN53))),"")</f>
        <v/>
      </c>
      <c r="AP54" s="121"/>
      <c r="AT54" s="111"/>
      <c r="AV54" s="133" t="str" cm="1">
        <f t="array" ref="AV54">IF(ROWS($AW$2:$AW53)&lt;=$AW$2,INDEX($AM$3:$AM$792,_xlfn.AGGREGATE(15,3,($AM$3:$AM$792='Planning Template'!$F$45)/($AM$3:$AM$792='Planning Template'!$F$45)*(ROW($AM$3:$AM$792)-ROW($AM$2)),ROWS($AW$2:$AW53))),"")</f>
        <v/>
      </c>
      <c r="AW54" s="134" t="str" cm="1">
        <f t="array" ref="AW54">IF(ROWS($AU$3:$AU54)&lt;=$AW$2,INDEX($AN$3:$AN$792,_xlfn.AGGREGATE(15,3,($AM$3:$AM$792='Planning Template'!$F$45)/($AM$3:$AM$792='Planning Template'!$F$45)*(ROW($AM$3:$AM$792)-ROW($AM$2)),ROWS($AU$3:$AU54))),"")</f>
        <v/>
      </c>
      <c r="AX54" s="135" t="str">
        <f>IF(AW54="","",SUMIFS(TableSSDPeopleGroups[Population], TableSSDPeopleGroups[Ctry],'Planning Template'!$F$30,TableSSDPeopleGroups[PrimaryReligion],'Planning Template'!$F$301,TableSSDPeopleGroups[PeopleCluster],'Planning Template'!$F$45,TableSSDPeopleGroups[PeopNameInCountry],$AW54))</f>
        <v/>
      </c>
      <c r="AY54" s="234" t="str">
        <f t="shared" si="3"/>
        <v/>
      </c>
    </row>
    <row r="55" spans="1:51" s="110" customFormat="1" ht="20" customHeight="1">
      <c r="A55" s="125" t="s">
        <v>1620</v>
      </c>
      <c r="B55" s="126" t="s">
        <v>61</v>
      </c>
      <c r="C55" s="127">
        <v>12948</v>
      </c>
      <c r="D55" s="145">
        <v>105575</v>
      </c>
      <c r="E55" s="146" t="s">
        <v>3699</v>
      </c>
      <c r="F55" s="146" t="s">
        <v>3699</v>
      </c>
      <c r="G55" s="147">
        <v>11000</v>
      </c>
      <c r="H55" s="147">
        <v>4</v>
      </c>
      <c r="I55" s="146" t="s">
        <v>209</v>
      </c>
      <c r="J55" s="146" t="s">
        <v>3700</v>
      </c>
      <c r="K55" s="146" t="s">
        <v>3701</v>
      </c>
      <c r="L55" s="147">
        <v>1</v>
      </c>
      <c r="M55" s="147">
        <v>2</v>
      </c>
      <c r="N55" s="146" t="s">
        <v>1718</v>
      </c>
      <c r="O55" s="147">
        <v>18</v>
      </c>
      <c r="P55" s="147">
        <v>9</v>
      </c>
      <c r="Q55" s="147">
        <v>23</v>
      </c>
      <c r="R55" s="146" t="s">
        <v>1623</v>
      </c>
      <c r="S55" s="146" t="s">
        <v>1624</v>
      </c>
      <c r="T55" s="147">
        <v>200</v>
      </c>
      <c r="U55" s="146" t="s">
        <v>2234</v>
      </c>
      <c r="V55" s="146" t="s">
        <v>2235</v>
      </c>
      <c r="W55" s="147">
        <v>1</v>
      </c>
      <c r="X55" s="147">
        <v>2</v>
      </c>
      <c r="Y55" s="146" t="s">
        <v>194</v>
      </c>
      <c r="Z55" s="146" t="s">
        <v>195</v>
      </c>
      <c r="AA55" s="146" t="s">
        <v>196</v>
      </c>
      <c r="AB55" s="146" t="s">
        <v>187</v>
      </c>
      <c r="AC55" s="146" t="s">
        <v>187</v>
      </c>
      <c r="AD55" s="148"/>
      <c r="AE55" s="146" t="s">
        <v>209</v>
      </c>
      <c r="AF55" s="147">
        <v>20.179680000000001</v>
      </c>
      <c r="AG55" s="149">
        <v>97.379059999999996</v>
      </c>
      <c r="AI55" s="133">
        <f t="shared" si="4"/>
        <v>9</v>
      </c>
      <c r="AJ55" s="134" t="str">
        <v>Barito of Kalimantan</v>
      </c>
      <c r="AK55" s="135">
        <f t="shared" si="5"/>
        <v>405900</v>
      </c>
      <c r="AM55" s="133" t="str" cm="1">
        <f t="array" ref="AM55">IF(ROWS($AN$2:$AN54)&lt;=$AN$2,INDEX($V$3:$V$3000,_xlfn.AGGREGATE(15,3,($B$3:$B$3000=$AM$2)/($B$3:$B$3000=$AM$2)*(ROW($B$3:$B$3000)-ROW($B$2)),ROWS($AN$2:$AN54))),"")</f>
        <v/>
      </c>
      <c r="AN55" s="134" t="str" cm="1">
        <f t="array" ref="AN55">IF(ROWS($AN$2:$AN54)&lt;=$AN$2,INDEX($F$3:$F$3000,_xlfn.AGGREGATE(15,3,($B$3:$B$3000=$AM$2)/($B$3:$B$3000=$AM$2)*(ROW($B$3:$B$3000)-ROW($B$2)),ROWS($AN$2:$AN54))),"")</f>
        <v/>
      </c>
      <c r="AO55" s="135" t="str" cm="1">
        <f t="array" ref="AO55">IF(ROWS($AN$2:$AN54)&lt;=$AN$2,INDEX($G$3:$G$3000,_xlfn.AGGREGATE(15,3,($B$3:$B$3000=$AM$2)/($B$3:$B$3000=$AM$2)*(ROW($B$3:$B$3000)-ROW($B$2)),ROWS($AN$2:$AN54))),"")</f>
        <v/>
      </c>
      <c r="AP55" s="121"/>
      <c r="AT55" s="111"/>
      <c r="AV55" s="133" t="str" cm="1">
        <f t="array" ref="AV55">IF(ROWS($AW$2:$AW54)&lt;=$AW$2,INDEX($AM$3:$AM$792,_xlfn.AGGREGATE(15,3,($AM$3:$AM$792='Planning Template'!$F$45)/($AM$3:$AM$792='Planning Template'!$F$45)*(ROW($AM$3:$AM$792)-ROW($AM$2)),ROWS($AW$2:$AW54))),"")</f>
        <v/>
      </c>
      <c r="AW55" s="134" t="str" cm="1">
        <f t="array" ref="AW55">IF(ROWS($AU$3:$AU55)&lt;=$AW$2,INDEX($AN$3:$AN$792,_xlfn.AGGREGATE(15,3,($AM$3:$AM$792='Planning Template'!$F$45)/($AM$3:$AM$792='Planning Template'!$F$45)*(ROW($AM$3:$AM$792)-ROW($AM$2)),ROWS($AU$3:$AU55))),"")</f>
        <v/>
      </c>
      <c r="AX55" s="135" t="str">
        <f>IF(AW55="","",SUMIFS(TableSSDPeopleGroups[Population], TableSSDPeopleGroups[Ctry],'Planning Template'!$F$30,TableSSDPeopleGroups[PrimaryReligion],'Planning Template'!$F$301,TableSSDPeopleGroups[PeopleCluster],'Planning Template'!$F$45,TableSSDPeopleGroups[PeopNameInCountry],$AW55))</f>
        <v/>
      </c>
      <c r="AY55" s="234" t="str">
        <f t="shared" si="3"/>
        <v/>
      </c>
    </row>
    <row r="56" spans="1:51" s="110" customFormat="1" ht="20" customHeight="1">
      <c r="A56" s="125" t="s">
        <v>1620</v>
      </c>
      <c r="B56" s="126" t="s">
        <v>61</v>
      </c>
      <c r="C56" s="127">
        <v>12587</v>
      </c>
      <c r="D56" s="128">
        <v>104775</v>
      </c>
      <c r="E56" s="129" t="s">
        <v>4094</v>
      </c>
      <c r="F56" s="129" t="s">
        <v>4094</v>
      </c>
      <c r="G56" s="130">
        <v>160000</v>
      </c>
      <c r="H56" s="130">
        <v>5</v>
      </c>
      <c r="I56" s="129" t="s">
        <v>209</v>
      </c>
      <c r="J56" s="129" t="s">
        <v>4095</v>
      </c>
      <c r="K56" s="129" t="s">
        <v>4096</v>
      </c>
      <c r="L56" s="130">
        <v>4</v>
      </c>
      <c r="M56" s="130">
        <v>2</v>
      </c>
      <c r="N56" s="129" t="s">
        <v>1718</v>
      </c>
      <c r="O56" s="130">
        <v>28</v>
      </c>
      <c r="P56" s="130">
        <v>20</v>
      </c>
      <c r="Q56" s="130">
        <v>23</v>
      </c>
      <c r="R56" s="129" t="s">
        <v>1623</v>
      </c>
      <c r="S56" s="129" t="s">
        <v>1624</v>
      </c>
      <c r="T56" s="130">
        <v>200</v>
      </c>
      <c r="U56" s="129" t="s">
        <v>2234</v>
      </c>
      <c r="V56" s="129" t="s">
        <v>2235</v>
      </c>
      <c r="W56" s="130">
        <v>2</v>
      </c>
      <c r="X56" s="130">
        <v>2</v>
      </c>
      <c r="Y56" s="129" t="s">
        <v>194</v>
      </c>
      <c r="Z56" s="129" t="s">
        <v>195</v>
      </c>
      <c r="AA56" s="129" t="s">
        <v>196</v>
      </c>
      <c r="AB56" s="129" t="s">
        <v>187</v>
      </c>
      <c r="AC56" s="129" t="s">
        <v>187</v>
      </c>
      <c r="AD56" s="131"/>
      <c r="AE56" s="129" t="s">
        <v>209</v>
      </c>
      <c r="AF56" s="130">
        <v>18.687039999995999</v>
      </c>
      <c r="AG56" s="132">
        <v>97.487699999755094</v>
      </c>
      <c r="AI56" s="133">
        <f t="shared" si="4"/>
        <v>2</v>
      </c>
      <c r="AJ56" s="134" t="str">
        <v>Bouyei</v>
      </c>
      <c r="AK56" s="135">
        <f t="shared" si="5"/>
        <v>71200</v>
      </c>
      <c r="AM56" s="133" t="str" cm="1">
        <f t="array" ref="AM56">IF(ROWS($AN$2:$AN55)&lt;=$AN$2,INDEX($V$3:$V$3000,_xlfn.AGGREGATE(15,3,($B$3:$B$3000=$AM$2)/($B$3:$B$3000=$AM$2)*(ROW($B$3:$B$3000)-ROW($B$2)),ROWS($AN$2:$AN55))),"")</f>
        <v/>
      </c>
      <c r="AN56" s="134" t="str" cm="1">
        <f t="array" ref="AN56">IF(ROWS($AN$2:$AN55)&lt;=$AN$2,INDEX($F$3:$F$3000,_xlfn.AGGREGATE(15,3,($B$3:$B$3000=$AM$2)/($B$3:$B$3000=$AM$2)*(ROW($B$3:$B$3000)-ROW($B$2)),ROWS($AN$2:$AN55))),"")</f>
        <v/>
      </c>
      <c r="AO56" s="135" t="str" cm="1">
        <f t="array" ref="AO56">IF(ROWS($AN$2:$AN55)&lt;=$AN$2,INDEX($G$3:$G$3000,_xlfn.AGGREGATE(15,3,($B$3:$B$3000=$AM$2)/($B$3:$B$3000=$AM$2)*(ROW($B$3:$B$3000)-ROW($B$2)),ROWS($AN$2:$AN55))),"")</f>
        <v/>
      </c>
      <c r="AP56" s="121"/>
      <c r="AT56" s="111"/>
      <c r="AV56" s="133" t="str" cm="1">
        <f t="array" ref="AV56">IF(ROWS($AW$2:$AW55)&lt;=$AW$2,INDEX($AM$3:$AM$792,_xlfn.AGGREGATE(15,3,($AM$3:$AM$792='Planning Template'!$F$45)/($AM$3:$AM$792='Planning Template'!$F$45)*(ROW($AM$3:$AM$792)-ROW($AM$2)),ROWS($AW$2:$AW55))),"")</f>
        <v/>
      </c>
      <c r="AW56" s="134" t="str" cm="1">
        <f t="array" ref="AW56">IF(ROWS($AU$3:$AU56)&lt;=$AW$2,INDEX($AN$3:$AN$792,_xlfn.AGGREGATE(15,3,($AM$3:$AM$792='Planning Template'!$F$45)/($AM$3:$AM$792='Planning Template'!$F$45)*(ROW($AM$3:$AM$792)-ROW($AM$2)),ROWS($AU$3:$AU56))),"")</f>
        <v/>
      </c>
      <c r="AX56" s="135" t="str">
        <f>IF(AW56="","",SUMIFS(TableSSDPeopleGroups[Population], TableSSDPeopleGroups[Ctry],'Planning Template'!$F$30,TableSSDPeopleGroups[PrimaryReligion],'Planning Template'!$F$301,TableSSDPeopleGroups[PeopleCluster],'Planning Template'!$F$45,TableSSDPeopleGroups[PeopNameInCountry],$AW56))</f>
        <v/>
      </c>
      <c r="AY56" s="234" t="str">
        <f t="shared" si="3"/>
        <v/>
      </c>
    </row>
    <row r="57" spans="1:51" s="110" customFormat="1" ht="20" customHeight="1">
      <c r="A57" s="125" t="s">
        <v>1620</v>
      </c>
      <c r="B57" s="126" t="s">
        <v>61</v>
      </c>
      <c r="C57" s="127">
        <v>16040</v>
      </c>
      <c r="D57" s="128">
        <v>111068</v>
      </c>
      <c r="E57" s="129" t="s">
        <v>3575</v>
      </c>
      <c r="F57" s="129" t="s">
        <v>3575</v>
      </c>
      <c r="G57" s="130">
        <v>9200</v>
      </c>
      <c r="H57" s="130">
        <v>5</v>
      </c>
      <c r="I57" s="129" t="s">
        <v>209</v>
      </c>
      <c r="J57" s="129" t="s">
        <v>3576</v>
      </c>
      <c r="K57" s="129" t="s">
        <v>3577</v>
      </c>
      <c r="L57" s="130">
        <v>0</v>
      </c>
      <c r="M57" s="130">
        <v>2</v>
      </c>
      <c r="N57" s="129" t="s">
        <v>1718</v>
      </c>
      <c r="O57" s="130">
        <v>32</v>
      </c>
      <c r="P57" s="130">
        <v>25</v>
      </c>
      <c r="Q57" s="130">
        <v>23</v>
      </c>
      <c r="R57" s="129" t="s">
        <v>1623</v>
      </c>
      <c r="S57" s="129" t="s">
        <v>1624</v>
      </c>
      <c r="T57" s="130">
        <v>200</v>
      </c>
      <c r="U57" s="129" t="s">
        <v>2234</v>
      </c>
      <c r="V57" s="129" t="s">
        <v>2235</v>
      </c>
      <c r="W57" s="130">
        <v>1</v>
      </c>
      <c r="X57" s="130">
        <v>2</v>
      </c>
      <c r="Y57" s="129" t="s">
        <v>194</v>
      </c>
      <c r="Z57" s="129" t="s">
        <v>195</v>
      </c>
      <c r="AA57" s="129" t="s">
        <v>196</v>
      </c>
      <c r="AB57" s="129" t="s">
        <v>187</v>
      </c>
      <c r="AC57" s="129" t="s">
        <v>187</v>
      </c>
      <c r="AD57" s="131"/>
      <c r="AE57" s="129" t="s">
        <v>209</v>
      </c>
      <c r="AF57" s="130">
        <v>19.046050000000001</v>
      </c>
      <c r="AG57" s="132">
        <v>97.213579999999993</v>
      </c>
      <c r="AI57" s="133">
        <f t="shared" si="4"/>
        <v>22</v>
      </c>
      <c r="AJ57" s="134" t="str">
        <v>Filipino, Muslim</v>
      </c>
      <c r="AK57" s="135">
        <f t="shared" si="5"/>
        <v>5416500</v>
      </c>
      <c r="AM57" s="133" t="str" cm="1">
        <f t="array" ref="AM57">IF(ROWS($AN$2:$AN56)&lt;=$AN$2,INDEX($V$3:$V$3000,_xlfn.AGGREGATE(15,3,($B$3:$B$3000=$AM$2)/($B$3:$B$3000=$AM$2)*(ROW($B$3:$B$3000)-ROW($B$2)),ROWS($AN$2:$AN56))),"")</f>
        <v/>
      </c>
      <c r="AN57" s="134" t="str" cm="1">
        <f t="array" ref="AN57">IF(ROWS($AN$2:$AN56)&lt;=$AN$2,INDEX($F$3:$F$3000,_xlfn.AGGREGATE(15,3,($B$3:$B$3000=$AM$2)/($B$3:$B$3000=$AM$2)*(ROW($B$3:$B$3000)-ROW($B$2)),ROWS($AN$2:$AN56))),"")</f>
        <v/>
      </c>
      <c r="AO57" s="135" t="str" cm="1">
        <f t="array" ref="AO57">IF(ROWS($AN$2:$AN56)&lt;=$AN$2,INDEX($G$3:$G$3000,_xlfn.AGGREGATE(15,3,($B$3:$B$3000=$AM$2)/($B$3:$B$3000=$AM$2)*(ROW($B$3:$B$3000)-ROW($B$2)),ROWS($AN$2:$AN56))),"")</f>
        <v/>
      </c>
      <c r="AP57" s="121"/>
      <c r="AT57" s="111"/>
      <c r="AV57" s="133" t="str" cm="1">
        <f t="array" ref="AV57">IF(ROWS($AW$2:$AW56)&lt;=$AW$2,INDEX($AM$3:$AM$792,_xlfn.AGGREGATE(15,3,($AM$3:$AM$792='Planning Template'!$F$45)/($AM$3:$AM$792='Planning Template'!$F$45)*(ROW($AM$3:$AM$792)-ROW($AM$2)),ROWS($AW$2:$AW56))),"")</f>
        <v/>
      </c>
      <c r="AW57" s="134" t="str" cm="1">
        <f t="array" ref="AW57">IF(ROWS($AU$3:$AU57)&lt;=$AW$2,INDEX($AN$3:$AN$792,_xlfn.AGGREGATE(15,3,($AM$3:$AM$792='Planning Template'!$F$45)/($AM$3:$AM$792='Planning Template'!$F$45)*(ROW($AM$3:$AM$792)-ROW($AM$2)),ROWS($AU$3:$AU57))),"")</f>
        <v/>
      </c>
      <c r="AX57" s="135" t="str">
        <f>IF(AW57="","",SUMIFS(TableSSDPeopleGroups[Population], TableSSDPeopleGroups[Ctry],'Planning Template'!$F$30,TableSSDPeopleGroups[PrimaryReligion],'Planning Template'!$F$301,TableSSDPeopleGroups[PeopleCluster],'Planning Template'!$F$45,TableSSDPeopleGroups[PeopNameInCountry],$AW57))</f>
        <v/>
      </c>
      <c r="AY57" s="234" t="str">
        <f t="shared" si="3"/>
        <v/>
      </c>
    </row>
    <row r="58" spans="1:51" s="110" customFormat="1" ht="20" customHeight="1">
      <c r="A58" s="125" t="s">
        <v>1620</v>
      </c>
      <c r="B58" s="126" t="s">
        <v>61</v>
      </c>
      <c r="C58" s="127">
        <v>14532</v>
      </c>
      <c r="D58" s="128">
        <v>108337</v>
      </c>
      <c r="E58" s="129" t="s">
        <v>3543</v>
      </c>
      <c r="F58" s="129" t="s">
        <v>3543</v>
      </c>
      <c r="G58" s="130">
        <v>8900</v>
      </c>
      <c r="H58" s="130">
        <v>5</v>
      </c>
      <c r="I58" s="129" t="s">
        <v>209</v>
      </c>
      <c r="J58" s="129" t="s">
        <v>3544</v>
      </c>
      <c r="K58" s="129" t="s">
        <v>3545</v>
      </c>
      <c r="L58" s="130">
        <v>4</v>
      </c>
      <c r="M58" s="130">
        <v>2</v>
      </c>
      <c r="N58" s="129" t="s">
        <v>1718</v>
      </c>
      <c r="O58" s="130">
        <v>20</v>
      </c>
      <c r="P58" s="130">
        <v>14</v>
      </c>
      <c r="Q58" s="130">
        <v>23</v>
      </c>
      <c r="R58" s="129" t="s">
        <v>1623</v>
      </c>
      <c r="S58" s="129" t="s">
        <v>1624</v>
      </c>
      <c r="T58" s="130">
        <v>200</v>
      </c>
      <c r="U58" s="129" t="s">
        <v>2234</v>
      </c>
      <c r="V58" s="129" t="s">
        <v>2235</v>
      </c>
      <c r="W58" s="130">
        <v>2</v>
      </c>
      <c r="X58" s="130">
        <v>2</v>
      </c>
      <c r="Y58" s="129" t="s">
        <v>194</v>
      </c>
      <c r="Z58" s="129" t="s">
        <v>195</v>
      </c>
      <c r="AA58" s="129" t="s">
        <v>196</v>
      </c>
      <c r="AB58" s="129" t="s">
        <v>187</v>
      </c>
      <c r="AC58" s="129" t="s">
        <v>187</v>
      </c>
      <c r="AD58" s="131"/>
      <c r="AE58" s="129" t="s">
        <v>209</v>
      </c>
      <c r="AF58" s="130">
        <v>20.907</v>
      </c>
      <c r="AG58" s="132">
        <v>98.921000000000006</v>
      </c>
      <c r="AI58" s="133">
        <f t="shared" si="4"/>
        <v>4</v>
      </c>
      <c r="AJ58" s="134" t="str">
        <v>Jews</v>
      </c>
      <c r="AK58" s="135">
        <f t="shared" si="5"/>
        <v>1400</v>
      </c>
      <c r="AM58" s="133" t="str" cm="1">
        <f t="array" ref="AM58">IF(ROWS($AN$2:$AN57)&lt;=$AN$2,INDEX($V$3:$V$3000,_xlfn.AGGREGATE(15,3,($B$3:$B$3000=$AM$2)/($B$3:$B$3000=$AM$2)*(ROW($B$3:$B$3000)-ROW($B$2)),ROWS($AN$2:$AN57))),"")</f>
        <v/>
      </c>
      <c r="AN58" s="134" t="str" cm="1">
        <f t="array" ref="AN58">IF(ROWS($AN$2:$AN57)&lt;=$AN$2,INDEX($F$3:$F$3000,_xlfn.AGGREGATE(15,3,($B$3:$B$3000=$AM$2)/($B$3:$B$3000=$AM$2)*(ROW($B$3:$B$3000)-ROW($B$2)),ROWS($AN$2:$AN57))),"")</f>
        <v/>
      </c>
      <c r="AO58" s="135" t="str" cm="1">
        <f t="array" ref="AO58">IF(ROWS($AN$2:$AN57)&lt;=$AN$2,INDEX($G$3:$G$3000,_xlfn.AGGREGATE(15,3,($B$3:$B$3000=$AM$2)/($B$3:$B$3000=$AM$2)*(ROW($B$3:$B$3000)-ROW($B$2)),ROWS($AN$2:$AN57))),"")</f>
        <v/>
      </c>
      <c r="AP58" s="121"/>
      <c r="AT58" s="111"/>
      <c r="AV58" s="133" t="str" cm="1">
        <f t="array" ref="AV58">IF(ROWS($AW$2:$AW57)&lt;=$AW$2,INDEX($AM$3:$AM$792,_xlfn.AGGREGATE(15,3,($AM$3:$AM$792='Planning Template'!$F$45)/($AM$3:$AM$792='Planning Template'!$F$45)*(ROW($AM$3:$AM$792)-ROW($AM$2)),ROWS($AW$2:$AW57))),"")</f>
        <v/>
      </c>
      <c r="AW58" s="134" t="str" cm="1">
        <f t="array" ref="AW58">IF(ROWS($AU$3:$AU58)&lt;=$AW$2,INDEX($AN$3:$AN$792,_xlfn.AGGREGATE(15,3,($AM$3:$AM$792='Planning Template'!$F$45)/($AM$3:$AM$792='Planning Template'!$F$45)*(ROW($AM$3:$AM$792)-ROW($AM$2)),ROWS($AU$3:$AU58))),"")</f>
        <v/>
      </c>
      <c r="AX58" s="135" t="str">
        <f>IF(AW58="","",SUMIFS(TableSSDPeopleGroups[Population], TableSSDPeopleGroups[Ctry],'Planning Template'!$F$30,TableSSDPeopleGroups[PrimaryReligion],'Planning Template'!$F$301,TableSSDPeopleGroups[PeopleCluster],'Planning Template'!$F$45,TableSSDPeopleGroups[PeopNameInCountry],$AW58))</f>
        <v/>
      </c>
      <c r="AY58" s="234" t="str">
        <f t="shared" si="3"/>
        <v/>
      </c>
    </row>
    <row r="59" spans="1:51" s="110" customFormat="1" ht="20" customHeight="1">
      <c r="A59" s="125" t="s">
        <v>478</v>
      </c>
      <c r="B59" s="126" t="s">
        <v>56</v>
      </c>
      <c r="C59" s="127">
        <v>12587</v>
      </c>
      <c r="D59" s="157">
        <v>104775</v>
      </c>
      <c r="E59" s="158" t="s">
        <v>4094</v>
      </c>
      <c r="F59" s="158" t="s">
        <v>4094</v>
      </c>
      <c r="G59" s="159">
        <v>22000</v>
      </c>
      <c r="H59" s="159">
        <v>2</v>
      </c>
      <c r="I59" s="158" t="s">
        <v>209</v>
      </c>
      <c r="J59" s="158" t="s">
        <v>4095</v>
      </c>
      <c r="K59" s="158" t="s">
        <v>4096</v>
      </c>
      <c r="L59" s="159">
        <v>4</v>
      </c>
      <c r="M59" s="159">
        <v>2</v>
      </c>
      <c r="N59" s="158" t="s">
        <v>1718</v>
      </c>
      <c r="O59" s="159">
        <v>28</v>
      </c>
      <c r="P59" s="159">
        <v>2</v>
      </c>
      <c r="Q59" s="159">
        <v>23</v>
      </c>
      <c r="R59" s="158" t="s">
        <v>1623</v>
      </c>
      <c r="S59" s="158" t="s">
        <v>1624</v>
      </c>
      <c r="T59" s="159">
        <v>200</v>
      </c>
      <c r="U59" s="158" t="s">
        <v>2234</v>
      </c>
      <c r="V59" s="158" t="s">
        <v>2235</v>
      </c>
      <c r="W59" s="159">
        <v>2</v>
      </c>
      <c r="X59" s="159">
        <v>2</v>
      </c>
      <c r="Y59" s="158" t="s">
        <v>194</v>
      </c>
      <c r="Z59" s="158" t="s">
        <v>195</v>
      </c>
      <c r="AA59" s="158" t="s">
        <v>196</v>
      </c>
      <c r="AB59" s="158" t="s">
        <v>187</v>
      </c>
      <c r="AC59" s="158" t="s">
        <v>209</v>
      </c>
      <c r="AD59" s="160"/>
      <c r="AE59" s="158" t="s">
        <v>209</v>
      </c>
      <c r="AF59" s="159">
        <v>19.184007999999999</v>
      </c>
      <c r="AG59" s="161">
        <v>97.877619999999993</v>
      </c>
      <c r="AI59" s="133">
        <f t="shared" si="4"/>
        <v>7</v>
      </c>
      <c r="AJ59" s="134" t="str">
        <v>Kadai</v>
      </c>
      <c r="AK59" s="135">
        <f t="shared" si="5"/>
        <v>23100</v>
      </c>
      <c r="AM59" s="133" t="str" cm="1">
        <f t="array" ref="AM59">IF(ROWS($AN$2:$AN58)&lt;=$AN$2,INDEX($V$3:$V$3000,_xlfn.AGGREGATE(15,3,($B$3:$B$3000=$AM$2)/($B$3:$B$3000=$AM$2)*(ROW($B$3:$B$3000)-ROW($B$2)),ROWS($AN$2:$AN58))),"")</f>
        <v/>
      </c>
      <c r="AN59" s="134" t="str" cm="1">
        <f t="array" ref="AN59">IF(ROWS($AN$2:$AN58)&lt;=$AN$2,INDEX($F$3:$F$3000,_xlfn.AGGREGATE(15,3,($B$3:$B$3000=$AM$2)/($B$3:$B$3000=$AM$2)*(ROW($B$3:$B$3000)-ROW($B$2)),ROWS($AN$2:$AN58))),"")</f>
        <v/>
      </c>
      <c r="AO59" s="135" t="str" cm="1">
        <f t="array" ref="AO59">IF(ROWS($AN$2:$AN58)&lt;=$AN$2,INDEX($G$3:$G$3000,_xlfn.AGGREGATE(15,3,($B$3:$B$3000=$AM$2)/($B$3:$B$3000=$AM$2)*(ROW($B$3:$B$3000)-ROW($B$2)),ROWS($AN$2:$AN58))),"")</f>
        <v/>
      </c>
      <c r="AP59" s="121"/>
      <c r="AT59" s="111"/>
      <c r="AV59" s="133" t="str" cm="1">
        <f t="array" ref="AV59">IF(ROWS($AW$2:$AW58)&lt;=$AW$2,INDEX($AM$3:$AM$792,_xlfn.AGGREGATE(15,3,($AM$3:$AM$792='Planning Template'!$F$45)/($AM$3:$AM$792='Planning Template'!$F$45)*(ROW($AM$3:$AM$792)-ROW($AM$2)),ROWS($AW$2:$AW58))),"")</f>
        <v/>
      </c>
      <c r="AW59" s="134" t="str" cm="1">
        <f t="array" ref="AW59">IF(ROWS($AU$3:$AU59)&lt;=$AW$2,INDEX($AN$3:$AN$792,_xlfn.AGGREGATE(15,3,($AM$3:$AM$792='Planning Template'!$F$45)/($AM$3:$AM$792='Planning Template'!$F$45)*(ROW($AM$3:$AM$792)-ROW($AM$2)),ROWS($AU$3:$AU59))),"")</f>
        <v/>
      </c>
      <c r="AX59" s="135" t="str">
        <f>IF(AW59="","",SUMIFS(TableSSDPeopleGroups[Population], TableSSDPeopleGroups[Ctry],'Planning Template'!$F$30,TableSSDPeopleGroups[PrimaryReligion],'Planning Template'!$F$301,TableSSDPeopleGroups[PeopleCluster],'Planning Template'!$F$45,TableSSDPeopleGroups[PeopNameInCountry],$AW59))</f>
        <v/>
      </c>
      <c r="AY59" s="234" t="str">
        <f t="shared" si="3"/>
        <v/>
      </c>
    </row>
    <row r="60" spans="1:51" s="110" customFormat="1" ht="20" customHeight="1">
      <c r="A60" s="125" t="s">
        <v>478</v>
      </c>
      <c r="B60" s="126" t="s">
        <v>56</v>
      </c>
      <c r="C60" s="127">
        <v>10892</v>
      </c>
      <c r="D60" s="157">
        <v>101515</v>
      </c>
      <c r="E60" s="158" t="s">
        <v>2231</v>
      </c>
      <c r="F60" s="158" t="s">
        <v>2231</v>
      </c>
      <c r="G60" s="159">
        <v>800</v>
      </c>
      <c r="H60" s="159">
        <v>2</v>
      </c>
      <c r="I60" s="158" t="s">
        <v>209</v>
      </c>
      <c r="J60" s="158" t="s">
        <v>2232</v>
      </c>
      <c r="K60" s="158" t="s">
        <v>2233</v>
      </c>
      <c r="L60" s="159">
        <v>4</v>
      </c>
      <c r="M60" s="159">
        <v>2</v>
      </c>
      <c r="N60" s="158" t="s">
        <v>1718</v>
      </c>
      <c r="O60" s="159">
        <v>25</v>
      </c>
      <c r="P60" s="159">
        <v>1</v>
      </c>
      <c r="Q60" s="159">
        <v>23</v>
      </c>
      <c r="R60" s="158" t="s">
        <v>1623</v>
      </c>
      <c r="S60" s="158" t="s">
        <v>1624</v>
      </c>
      <c r="T60" s="159">
        <v>200</v>
      </c>
      <c r="U60" s="158" t="s">
        <v>2234</v>
      </c>
      <c r="V60" s="158" t="s">
        <v>2235</v>
      </c>
      <c r="W60" s="159">
        <v>2</v>
      </c>
      <c r="X60" s="159">
        <v>2</v>
      </c>
      <c r="Y60" s="158" t="s">
        <v>194</v>
      </c>
      <c r="Z60" s="158" t="s">
        <v>195</v>
      </c>
      <c r="AA60" s="158" t="s">
        <v>196</v>
      </c>
      <c r="AB60" s="158" t="s">
        <v>187</v>
      </c>
      <c r="AC60" s="158" t="s">
        <v>187</v>
      </c>
      <c r="AD60" s="160"/>
      <c r="AE60" s="158" t="s">
        <v>209</v>
      </c>
      <c r="AF60" s="159">
        <v>19.740770000000001</v>
      </c>
      <c r="AG60" s="161">
        <v>98.062240000000003</v>
      </c>
      <c r="AI60" s="133">
        <f t="shared" si="4"/>
        <v>16</v>
      </c>
      <c r="AJ60" s="134" t="str">
        <v>Melayu of Sumatra</v>
      </c>
      <c r="AK60" s="135">
        <f t="shared" si="5"/>
        <v>6137660</v>
      </c>
      <c r="AM60" s="133" t="str" cm="1">
        <f t="array" ref="AM60">IF(ROWS($AN$2:$AN59)&lt;=$AN$2,INDEX($V$3:$V$3000,_xlfn.AGGREGATE(15,3,($B$3:$B$3000=$AM$2)/($B$3:$B$3000=$AM$2)*(ROW($B$3:$B$3000)-ROW($B$2)),ROWS($AN$2:$AN59))),"")</f>
        <v/>
      </c>
      <c r="AN60" s="134" t="str" cm="1">
        <f t="array" ref="AN60">IF(ROWS($AN$2:$AN59)&lt;=$AN$2,INDEX($F$3:$F$3000,_xlfn.AGGREGATE(15,3,($B$3:$B$3000=$AM$2)/($B$3:$B$3000=$AM$2)*(ROW($B$3:$B$3000)-ROW($B$2)),ROWS($AN$2:$AN59))),"")</f>
        <v/>
      </c>
      <c r="AO60" s="135" t="str" cm="1">
        <f t="array" ref="AO60">IF(ROWS($AN$2:$AN59)&lt;=$AN$2,INDEX($G$3:$G$3000,_xlfn.AGGREGATE(15,3,($B$3:$B$3000=$AM$2)/($B$3:$B$3000=$AM$2)*(ROW($B$3:$B$3000)-ROW($B$2)),ROWS($AN$2:$AN59))),"")</f>
        <v/>
      </c>
      <c r="AP60" s="121"/>
      <c r="AT60" s="111"/>
      <c r="AV60" s="133" t="str" cm="1">
        <f t="array" ref="AV60">IF(ROWS($AW$2:$AW59)&lt;=$AW$2,INDEX($AM$3:$AM$792,_xlfn.AGGREGATE(15,3,($AM$3:$AM$792='Planning Template'!$F$45)/($AM$3:$AM$792='Planning Template'!$F$45)*(ROW($AM$3:$AM$792)-ROW($AM$2)),ROWS($AW$2:$AW59))),"")</f>
        <v/>
      </c>
      <c r="AW60" s="134" t="str" cm="1">
        <f t="array" ref="AW60">IF(ROWS($AU$3:$AU60)&lt;=$AW$2,INDEX($AN$3:$AN$792,_xlfn.AGGREGATE(15,3,($AM$3:$AM$792='Planning Template'!$F$45)/($AM$3:$AM$792='Planning Template'!$F$45)*(ROW($AM$3:$AM$792)-ROW($AM$2)),ROWS($AU$3:$AU60))),"")</f>
        <v/>
      </c>
      <c r="AX60" s="135" t="str">
        <f>IF(AW60="","",SUMIFS(TableSSDPeopleGroups[Population], TableSSDPeopleGroups[Ctry],'Planning Template'!$F$30,TableSSDPeopleGroups[PrimaryReligion],'Planning Template'!$F$301,TableSSDPeopleGroups[PeopleCluster],'Planning Template'!$F$45,TableSSDPeopleGroups[PeopNameInCountry],$AW60))</f>
        <v/>
      </c>
      <c r="AY60" s="234" t="str">
        <f t="shared" si="3"/>
        <v/>
      </c>
    </row>
    <row r="61" spans="1:51" s="110" customFormat="1" ht="20" customHeight="1">
      <c r="A61" s="125" t="s">
        <v>478</v>
      </c>
      <c r="B61" s="126" t="s">
        <v>56</v>
      </c>
      <c r="C61" s="127">
        <v>15395</v>
      </c>
      <c r="D61" s="145">
        <v>104659</v>
      </c>
      <c r="E61" s="146" t="s">
        <v>4446</v>
      </c>
      <c r="F61" s="146" t="s">
        <v>4446</v>
      </c>
      <c r="G61" s="147">
        <v>56000</v>
      </c>
      <c r="H61" s="147">
        <v>4</v>
      </c>
      <c r="I61" s="146" t="s">
        <v>209</v>
      </c>
      <c r="J61" s="146" t="s">
        <v>4447</v>
      </c>
      <c r="K61" s="146" t="s">
        <v>4446</v>
      </c>
      <c r="L61" s="147">
        <v>5</v>
      </c>
      <c r="M61" s="147">
        <v>2</v>
      </c>
      <c r="N61" s="146" t="s">
        <v>1718</v>
      </c>
      <c r="O61" s="147">
        <v>35</v>
      </c>
      <c r="P61" s="147">
        <v>4</v>
      </c>
      <c r="Q61" s="147">
        <v>23</v>
      </c>
      <c r="R61" s="146" t="s">
        <v>1623</v>
      </c>
      <c r="S61" s="146" t="s">
        <v>1624</v>
      </c>
      <c r="T61" s="147">
        <v>200</v>
      </c>
      <c r="U61" s="146" t="s">
        <v>2234</v>
      </c>
      <c r="V61" s="146" t="s">
        <v>2235</v>
      </c>
      <c r="W61" s="147">
        <v>2</v>
      </c>
      <c r="X61" s="147">
        <v>2</v>
      </c>
      <c r="Y61" s="146" t="s">
        <v>194</v>
      </c>
      <c r="Z61" s="146" t="s">
        <v>195</v>
      </c>
      <c r="AA61" s="146" t="s">
        <v>196</v>
      </c>
      <c r="AB61" s="146" t="s">
        <v>187</v>
      </c>
      <c r="AC61" s="146" t="s">
        <v>187</v>
      </c>
      <c r="AD61" s="148"/>
      <c r="AE61" s="146" t="s">
        <v>209</v>
      </c>
      <c r="AF61" s="147">
        <v>15.191470000000001</v>
      </c>
      <c r="AG61" s="149">
        <v>98.735510000000005</v>
      </c>
      <c r="AI61" s="133">
        <f t="shared" si="4"/>
        <v>27</v>
      </c>
      <c r="AJ61" s="134" t="str">
        <v>West Malaysia Indigenous</v>
      </c>
      <c r="AK61" s="135">
        <f t="shared" si="5"/>
        <v>180700</v>
      </c>
      <c r="AM61" s="133" t="str" cm="1">
        <f t="array" ref="AM61">IF(ROWS($AN$2:$AN60)&lt;=$AN$2,INDEX($V$3:$V$3000,_xlfn.AGGREGATE(15,3,($B$3:$B$3000=$AM$2)/($B$3:$B$3000=$AM$2)*(ROW($B$3:$B$3000)-ROW($B$2)),ROWS($AN$2:$AN60))),"")</f>
        <v/>
      </c>
      <c r="AN61" s="134" t="str" cm="1">
        <f t="array" ref="AN61">IF(ROWS($AN$2:$AN60)&lt;=$AN$2,INDEX($F$3:$F$3000,_xlfn.AGGREGATE(15,3,($B$3:$B$3000=$AM$2)/($B$3:$B$3000=$AM$2)*(ROW($B$3:$B$3000)-ROW($B$2)),ROWS($AN$2:$AN60))),"")</f>
        <v/>
      </c>
      <c r="AO61" s="135" t="str" cm="1">
        <f t="array" ref="AO61">IF(ROWS($AN$2:$AN60)&lt;=$AN$2,INDEX($G$3:$G$3000,_xlfn.AGGREGATE(15,3,($B$3:$B$3000=$AM$2)/($B$3:$B$3000=$AM$2)*(ROW($B$3:$B$3000)-ROW($B$2)),ROWS($AN$2:$AN60))),"")</f>
        <v/>
      </c>
      <c r="AP61" s="121"/>
      <c r="AT61" s="111"/>
      <c r="AV61" s="133" t="str" cm="1">
        <f t="array" ref="AV61">IF(ROWS($AW$2:$AW60)&lt;=$AW$2,INDEX($AM$3:$AM$792,_xlfn.AGGREGATE(15,3,($AM$3:$AM$792='Planning Template'!$F$45)/($AM$3:$AM$792='Planning Template'!$F$45)*(ROW($AM$3:$AM$792)-ROW($AM$2)),ROWS($AW$2:$AW60))),"")</f>
        <v/>
      </c>
      <c r="AW61" s="134" t="str" cm="1">
        <f t="array" ref="AW61">IF(ROWS($AU$3:$AU61)&lt;=$AW$2,INDEX($AN$3:$AN$792,_xlfn.AGGREGATE(15,3,($AM$3:$AM$792='Planning Template'!$F$45)/($AM$3:$AM$792='Planning Template'!$F$45)*(ROW($AM$3:$AM$792)-ROW($AM$2)),ROWS($AU$3:$AU61))),"")</f>
        <v/>
      </c>
      <c r="AX61" s="135" t="str">
        <f>IF(AW61="","",SUMIFS(TableSSDPeopleGroups[Population], TableSSDPeopleGroups[Ctry],'Planning Template'!$F$30,TableSSDPeopleGroups[PrimaryReligion],'Planning Template'!$F$301,TableSSDPeopleGroups[PeopleCluster],'Planning Template'!$F$45,TableSSDPeopleGroups[PeopNameInCountry],$AW61))</f>
        <v/>
      </c>
      <c r="AY61" s="234" t="str">
        <f t="shared" si="3"/>
        <v/>
      </c>
    </row>
    <row r="62" spans="1:51" s="110" customFormat="1" ht="20" customHeight="1">
      <c r="A62" s="125" t="s">
        <v>478</v>
      </c>
      <c r="B62" s="126" t="s">
        <v>56</v>
      </c>
      <c r="C62" s="127">
        <v>14532</v>
      </c>
      <c r="D62" s="145">
        <v>108337</v>
      </c>
      <c r="E62" s="146" t="s">
        <v>3543</v>
      </c>
      <c r="F62" s="146" t="s">
        <v>3543</v>
      </c>
      <c r="G62" s="147">
        <v>19000</v>
      </c>
      <c r="H62" s="147">
        <v>4</v>
      </c>
      <c r="I62" s="146" t="s">
        <v>209</v>
      </c>
      <c r="J62" s="146" t="s">
        <v>3544</v>
      </c>
      <c r="K62" s="146" t="s">
        <v>3545</v>
      </c>
      <c r="L62" s="147">
        <v>4</v>
      </c>
      <c r="M62" s="147">
        <v>2</v>
      </c>
      <c r="N62" s="146" t="s">
        <v>1718</v>
      </c>
      <c r="O62" s="147">
        <v>18</v>
      </c>
      <c r="P62" s="147">
        <v>4</v>
      </c>
      <c r="Q62" s="147">
        <v>23</v>
      </c>
      <c r="R62" s="146" t="s">
        <v>1623</v>
      </c>
      <c r="S62" s="146" t="s">
        <v>1624</v>
      </c>
      <c r="T62" s="147">
        <v>200</v>
      </c>
      <c r="U62" s="146" t="s">
        <v>2234</v>
      </c>
      <c r="V62" s="146" t="s">
        <v>2235</v>
      </c>
      <c r="W62" s="147">
        <v>2</v>
      </c>
      <c r="X62" s="147">
        <v>2</v>
      </c>
      <c r="Y62" s="146" t="s">
        <v>194</v>
      </c>
      <c r="Z62" s="146" t="s">
        <v>195</v>
      </c>
      <c r="AA62" s="146" t="s">
        <v>196</v>
      </c>
      <c r="AB62" s="146" t="s">
        <v>187</v>
      </c>
      <c r="AC62" s="146" t="s">
        <v>187</v>
      </c>
      <c r="AD62" s="148"/>
      <c r="AE62" s="146" t="s">
        <v>209</v>
      </c>
      <c r="AF62" s="147">
        <v>18.789259999999999</v>
      </c>
      <c r="AG62" s="149">
        <v>97.771709999999999</v>
      </c>
      <c r="AI62" s="133">
        <f t="shared" si="4"/>
        <v>8</v>
      </c>
      <c r="AJ62" s="134" t="str">
        <v>Yao-Mien</v>
      </c>
      <c r="AK62" s="135">
        <f t="shared" si="5"/>
        <v>735000</v>
      </c>
      <c r="AM62" s="133" t="str" cm="1">
        <f t="array" ref="AM62">IF(ROWS($AN$2:$AN61)&lt;=$AN$2,INDEX($V$3:$V$3000,_xlfn.AGGREGATE(15,3,($B$3:$B$3000=$AM$2)/($B$3:$B$3000=$AM$2)*(ROW($B$3:$B$3000)-ROW($B$2)),ROWS($AN$2:$AN61))),"")</f>
        <v/>
      </c>
      <c r="AN62" s="134" t="str" cm="1">
        <f t="array" ref="AN62">IF(ROWS($AN$2:$AN61)&lt;=$AN$2,INDEX($F$3:$F$3000,_xlfn.AGGREGATE(15,3,($B$3:$B$3000=$AM$2)/($B$3:$B$3000=$AM$2)*(ROW($B$3:$B$3000)-ROW($B$2)),ROWS($AN$2:$AN61))),"")</f>
        <v/>
      </c>
      <c r="AO62" s="135" t="str" cm="1">
        <f t="array" ref="AO62">IF(ROWS($AN$2:$AN61)&lt;=$AN$2,INDEX($G$3:$G$3000,_xlfn.AGGREGATE(15,3,($B$3:$B$3000=$AM$2)/($B$3:$B$3000=$AM$2)*(ROW($B$3:$B$3000)-ROW($B$2)),ROWS($AN$2:$AN61))),"")</f>
        <v/>
      </c>
      <c r="AP62" s="121"/>
      <c r="AT62" s="111"/>
      <c r="AV62" s="133" t="str" cm="1">
        <f t="array" ref="AV62">IF(ROWS($AW$2:$AW61)&lt;=$AW$2,INDEX($AM$3:$AM$792,_xlfn.AGGREGATE(15,3,($AM$3:$AM$792='Planning Template'!$F$45)/($AM$3:$AM$792='Planning Template'!$F$45)*(ROW($AM$3:$AM$792)-ROW($AM$2)),ROWS($AW$2:$AW61))),"")</f>
        <v/>
      </c>
      <c r="AW62" s="134" t="str" cm="1">
        <f t="array" ref="AW62">IF(ROWS($AU$3:$AU62)&lt;=$AW$2,INDEX($AN$3:$AN$792,_xlfn.AGGREGATE(15,3,($AM$3:$AM$792='Planning Template'!$F$45)/($AM$3:$AM$792='Planning Template'!$F$45)*(ROW($AM$3:$AM$792)-ROW($AM$2)),ROWS($AU$3:$AU62))),"")</f>
        <v/>
      </c>
      <c r="AX62" s="135" t="str">
        <f>IF(AW62="","",SUMIFS(TableSSDPeopleGroups[Population], TableSSDPeopleGroups[Ctry],'Planning Template'!$F$30,TableSSDPeopleGroups[PrimaryReligion],'Planning Template'!$F$301,TableSSDPeopleGroups[PeopleCluster],'Planning Template'!$F$45,TableSSDPeopleGroups[PeopNameInCountry],$AW62))</f>
        <v/>
      </c>
      <c r="AY62" s="234" t="str">
        <f t="shared" si="3"/>
        <v/>
      </c>
    </row>
    <row r="63" spans="1:51" s="110" customFormat="1" ht="20" customHeight="1">
      <c r="A63" s="125" t="s">
        <v>478</v>
      </c>
      <c r="B63" s="126" t="s">
        <v>56</v>
      </c>
      <c r="C63" s="127">
        <v>12795</v>
      </c>
      <c r="D63" s="128">
        <v>105225</v>
      </c>
      <c r="E63" s="129" t="s">
        <v>2011</v>
      </c>
      <c r="F63" s="129" t="s">
        <v>2011</v>
      </c>
      <c r="G63" s="130">
        <v>7300</v>
      </c>
      <c r="H63" s="130">
        <v>5</v>
      </c>
      <c r="I63" s="129" t="s">
        <v>209</v>
      </c>
      <c r="J63" s="129" t="s">
        <v>2012</v>
      </c>
      <c r="K63" s="129" t="s">
        <v>2011</v>
      </c>
      <c r="L63" s="130">
        <v>5</v>
      </c>
      <c r="M63" s="130">
        <v>2</v>
      </c>
      <c r="N63" s="129" t="s">
        <v>1718</v>
      </c>
      <c r="O63" s="130">
        <v>24</v>
      </c>
      <c r="P63" s="130">
        <v>16</v>
      </c>
      <c r="Q63" s="130">
        <v>11</v>
      </c>
      <c r="R63" s="129" t="s">
        <v>740</v>
      </c>
      <c r="S63" s="129" t="s">
        <v>741</v>
      </c>
      <c r="T63" s="130">
        <v>205</v>
      </c>
      <c r="U63" s="129" t="s">
        <v>2013</v>
      </c>
      <c r="V63" s="129" t="s">
        <v>2011</v>
      </c>
      <c r="W63" s="130">
        <v>49</v>
      </c>
      <c r="X63" s="130">
        <v>2</v>
      </c>
      <c r="Y63" s="129" t="s">
        <v>194</v>
      </c>
      <c r="Z63" s="129" t="s">
        <v>195</v>
      </c>
      <c r="AA63" s="129" t="s">
        <v>196</v>
      </c>
      <c r="AB63" s="129" t="s">
        <v>187</v>
      </c>
      <c r="AC63" s="129" t="s">
        <v>209</v>
      </c>
      <c r="AD63" s="131"/>
      <c r="AE63" s="129" t="s">
        <v>209</v>
      </c>
      <c r="AF63" s="130">
        <v>13.749000000000001</v>
      </c>
      <c r="AG63" s="132">
        <v>100.515</v>
      </c>
      <c r="AI63" s="133">
        <f t="shared" si="4"/>
        <v>6</v>
      </c>
      <c r="AJ63" s="134" t="str">
        <v>Zhuang</v>
      </c>
      <c r="AK63" s="135">
        <f t="shared" si="5"/>
        <v>3341400</v>
      </c>
      <c r="AM63" s="133" t="str" cm="1">
        <f t="array" ref="AM63">IF(ROWS($AN$2:$AN62)&lt;=$AN$2,INDEX($V$3:$V$3000,_xlfn.AGGREGATE(15,3,($B$3:$B$3000=$AM$2)/($B$3:$B$3000=$AM$2)*(ROW($B$3:$B$3000)-ROW($B$2)),ROWS($AN$2:$AN62))),"")</f>
        <v/>
      </c>
      <c r="AN63" s="134" t="str" cm="1">
        <f t="array" ref="AN63">IF(ROWS($AN$2:$AN62)&lt;=$AN$2,INDEX($F$3:$F$3000,_xlfn.AGGREGATE(15,3,($B$3:$B$3000=$AM$2)/($B$3:$B$3000=$AM$2)*(ROW($B$3:$B$3000)-ROW($B$2)),ROWS($AN$2:$AN62))),"")</f>
        <v/>
      </c>
      <c r="AO63" s="135" t="str" cm="1">
        <f t="array" ref="AO63">IF(ROWS($AN$2:$AN62)&lt;=$AN$2,INDEX($G$3:$G$3000,_xlfn.AGGREGATE(15,3,($B$3:$B$3000=$AM$2)/($B$3:$B$3000=$AM$2)*(ROW($B$3:$B$3000)-ROW($B$2)),ROWS($AN$2:$AN62))),"")</f>
        <v/>
      </c>
      <c r="AP63" s="121"/>
      <c r="AT63" s="111"/>
      <c r="AV63" s="133" t="str" cm="1">
        <f t="array" ref="AV63">IF(ROWS($AW$2:$AW62)&lt;=$AW$2,INDEX($AM$3:$AM$792,_xlfn.AGGREGATE(15,3,($AM$3:$AM$792='Planning Template'!$F$45)/($AM$3:$AM$792='Planning Template'!$F$45)*(ROW($AM$3:$AM$792)-ROW($AM$2)),ROWS($AW$2:$AW62))),"")</f>
        <v/>
      </c>
      <c r="AW63" s="134" t="str" cm="1">
        <f t="array" ref="AW63">IF(ROWS($AU$3:$AU63)&lt;=$AW$2,INDEX($AN$3:$AN$792,_xlfn.AGGREGATE(15,3,($AM$3:$AM$792='Planning Template'!$F$45)/($AM$3:$AM$792='Planning Template'!$F$45)*(ROW($AM$3:$AM$792)-ROW($AM$2)),ROWS($AU$3:$AU63))),"")</f>
        <v/>
      </c>
      <c r="AX63" s="135" t="str">
        <f>IF(AW63="","",SUMIFS(TableSSDPeopleGroups[Population], TableSSDPeopleGroups[Ctry],'Planning Template'!$F$30,TableSSDPeopleGroups[PrimaryReligion],'Planning Template'!$F$301,TableSSDPeopleGroups[PeopleCluster],'Planning Template'!$F$45,TableSSDPeopleGroups[PeopNameInCountry],$AW63))</f>
        <v/>
      </c>
      <c r="AY63" s="234" t="str">
        <f t="shared" si="3"/>
        <v/>
      </c>
    </row>
    <row r="64" spans="1:51" s="110" customFormat="1" ht="20" customHeight="1">
      <c r="A64" s="125" t="s">
        <v>486</v>
      </c>
      <c r="B64" s="126" t="s">
        <v>57</v>
      </c>
      <c r="C64" s="127">
        <v>21767</v>
      </c>
      <c r="D64" s="162"/>
      <c r="E64" s="158" t="s">
        <v>2611</v>
      </c>
      <c r="F64" s="158" t="s">
        <v>2611</v>
      </c>
      <c r="G64" s="159">
        <v>1700</v>
      </c>
      <c r="H64" s="159">
        <v>2</v>
      </c>
      <c r="I64" s="158" t="s">
        <v>209</v>
      </c>
      <c r="J64" s="158" t="s">
        <v>2612</v>
      </c>
      <c r="K64" s="158" t="s">
        <v>2613</v>
      </c>
      <c r="L64" s="159">
        <v>5</v>
      </c>
      <c r="M64" s="159">
        <v>2</v>
      </c>
      <c r="N64" s="158" t="s">
        <v>1718</v>
      </c>
      <c r="O64" s="159">
        <v>6.6660000000000004</v>
      </c>
      <c r="P64" s="160"/>
      <c r="Q64" s="159">
        <v>23</v>
      </c>
      <c r="R64" s="158" t="s">
        <v>1623</v>
      </c>
      <c r="S64" s="158" t="s">
        <v>1624</v>
      </c>
      <c r="T64" s="159">
        <v>207</v>
      </c>
      <c r="U64" s="158" t="s">
        <v>1625</v>
      </c>
      <c r="V64" s="158" t="s">
        <v>1626</v>
      </c>
      <c r="W64" s="159">
        <v>1</v>
      </c>
      <c r="X64" s="159">
        <v>4</v>
      </c>
      <c r="Y64" s="158" t="s">
        <v>203</v>
      </c>
      <c r="Z64" s="158" t="s">
        <v>195</v>
      </c>
      <c r="AA64" s="158" t="s">
        <v>196</v>
      </c>
      <c r="AB64" s="158" t="s">
        <v>187</v>
      </c>
      <c r="AC64" s="158" t="s">
        <v>187</v>
      </c>
      <c r="AD64" s="160"/>
      <c r="AE64" s="158" t="s">
        <v>209</v>
      </c>
      <c r="AF64" s="159">
        <v>22.827300000000001</v>
      </c>
      <c r="AG64" s="161">
        <v>92.285929999999993</v>
      </c>
      <c r="AI64" s="133">
        <f t="shared" si="4"/>
        <v>7</v>
      </c>
      <c r="AJ64" s="134" t="str">
        <v>Bali-Sasak</v>
      </c>
      <c r="AK64" s="135">
        <f t="shared" si="5"/>
        <v>8768900</v>
      </c>
      <c r="AM64" s="133" t="str" cm="1">
        <f t="array" ref="AM64">IF(ROWS($AN$2:$AN63)&lt;=$AN$2,INDEX($V$3:$V$3000,_xlfn.AGGREGATE(15,3,($B$3:$B$3000=$AM$2)/($B$3:$B$3000=$AM$2)*(ROW($B$3:$B$3000)-ROW($B$2)),ROWS($AN$2:$AN63))),"")</f>
        <v/>
      </c>
      <c r="AN64" s="134" t="str" cm="1">
        <f t="array" ref="AN64">IF(ROWS($AN$2:$AN63)&lt;=$AN$2,INDEX($F$3:$F$3000,_xlfn.AGGREGATE(15,3,($B$3:$B$3000=$AM$2)/($B$3:$B$3000=$AM$2)*(ROW($B$3:$B$3000)-ROW($B$2)),ROWS($AN$2:$AN63))),"")</f>
        <v/>
      </c>
      <c r="AO64" s="135" t="str" cm="1">
        <f t="array" ref="AO64">IF(ROWS($AN$2:$AN63)&lt;=$AN$2,INDEX($G$3:$G$3000,_xlfn.AGGREGATE(15,3,($B$3:$B$3000=$AM$2)/($B$3:$B$3000=$AM$2)*(ROW($B$3:$B$3000)-ROW($B$2)),ROWS($AN$2:$AN63))),"")</f>
        <v/>
      </c>
      <c r="AP64" s="121"/>
      <c r="AT64" s="111"/>
      <c r="AV64" s="133" t="str" cm="1">
        <f t="array" ref="AV64">IF(ROWS($AW$2:$AW63)&lt;=$AW$2,INDEX($AM$3:$AM$792,_xlfn.AGGREGATE(15,3,($AM$3:$AM$792='Planning Template'!$F$45)/($AM$3:$AM$792='Planning Template'!$F$45)*(ROW($AM$3:$AM$792)-ROW($AM$2)),ROWS($AW$2:$AW63))),"")</f>
        <v/>
      </c>
      <c r="AW64" s="134" t="str" cm="1">
        <f t="array" ref="AW64">IF(ROWS($AU$3:$AU64)&lt;=$AW$2,INDEX($AN$3:$AN$792,_xlfn.AGGREGATE(15,3,($AM$3:$AM$792='Planning Template'!$F$45)/($AM$3:$AM$792='Planning Template'!$F$45)*(ROW($AM$3:$AM$792)-ROW($AM$2)),ROWS($AU$3:$AU64))),"")</f>
        <v/>
      </c>
      <c r="AX64" s="135" t="str">
        <f>IF(AW64="","",SUMIFS(TableSSDPeopleGroups[Population], TableSSDPeopleGroups[Ctry],'Planning Template'!$F$30,TableSSDPeopleGroups[PrimaryReligion],'Planning Template'!$F$301,TableSSDPeopleGroups[PeopleCluster],'Planning Template'!$F$45,TableSSDPeopleGroups[PeopNameInCountry],$AW64))</f>
        <v/>
      </c>
      <c r="AY64" s="234" t="str">
        <f t="shared" si="3"/>
        <v/>
      </c>
    </row>
    <row r="65" spans="1:51" s="110" customFormat="1" ht="20" customHeight="1">
      <c r="A65" s="125" t="s">
        <v>1620</v>
      </c>
      <c r="B65" s="126" t="s">
        <v>61</v>
      </c>
      <c r="C65" s="127">
        <v>20945</v>
      </c>
      <c r="D65" s="163">
        <v>117612</v>
      </c>
      <c r="E65" s="164" t="s">
        <v>4049</v>
      </c>
      <c r="F65" s="164" t="s">
        <v>4049</v>
      </c>
      <c r="G65" s="165">
        <v>20000</v>
      </c>
      <c r="H65" s="165">
        <v>1</v>
      </c>
      <c r="I65" s="164" t="s">
        <v>187</v>
      </c>
      <c r="J65" s="164" t="s">
        <v>4050</v>
      </c>
      <c r="K65" s="164" t="s">
        <v>4051</v>
      </c>
      <c r="L65" s="165">
        <v>1</v>
      </c>
      <c r="M65" s="165">
        <v>2</v>
      </c>
      <c r="N65" s="164" t="s">
        <v>1718</v>
      </c>
      <c r="O65" s="165">
        <v>0</v>
      </c>
      <c r="P65" s="165">
        <v>0</v>
      </c>
      <c r="Q65" s="165">
        <v>23</v>
      </c>
      <c r="R65" s="164" t="s">
        <v>1623</v>
      </c>
      <c r="S65" s="164" t="s">
        <v>1624</v>
      </c>
      <c r="T65" s="165">
        <v>207</v>
      </c>
      <c r="U65" s="164" t="s">
        <v>1625</v>
      </c>
      <c r="V65" s="164" t="s">
        <v>1626</v>
      </c>
      <c r="W65" s="165">
        <v>1</v>
      </c>
      <c r="X65" s="165">
        <v>2</v>
      </c>
      <c r="Y65" s="164" t="s">
        <v>194</v>
      </c>
      <c r="Z65" s="164" t="s">
        <v>195</v>
      </c>
      <c r="AA65" s="164" t="s">
        <v>196</v>
      </c>
      <c r="AB65" s="164" t="s">
        <v>187</v>
      </c>
      <c r="AC65" s="164" t="s">
        <v>187</v>
      </c>
      <c r="AD65" s="165">
        <v>1</v>
      </c>
      <c r="AE65" s="164" t="s">
        <v>187</v>
      </c>
      <c r="AF65" s="165">
        <v>21.315100000000001</v>
      </c>
      <c r="AG65" s="166">
        <v>93.238900000000001</v>
      </c>
      <c r="AI65" s="133">
        <f t="shared" si="4"/>
        <v>13</v>
      </c>
      <c r="AJ65" s="134" t="str">
        <v>Java</v>
      </c>
      <c r="AK65" s="135">
        <f t="shared" si="5"/>
        <v>114641400</v>
      </c>
      <c r="AM65" s="133" t="str" cm="1">
        <f t="array" ref="AM65">IF(ROWS($AN$2:$AN64)&lt;=$AN$2,INDEX($V$3:$V$3000,_xlfn.AGGREGATE(15,3,($B$3:$B$3000=$AM$2)/($B$3:$B$3000=$AM$2)*(ROW($B$3:$B$3000)-ROW($B$2)),ROWS($AN$2:$AN64))),"")</f>
        <v/>
      </c>
      <c r="AN65" s="134" t="str" cm="1">
        <f t="array" ref="AN65">IF(ROWS($AN$2:$AN64)&lt;=$AN$2,INDEX($F$3:$F$3000,_xlfn.AGGREGATE(15,3,($B$3:$B$3000=$AM$2)/($B$3:$B$3000=$AM$2)*(ROW($B$3:$B$3000)-ROW($B$2)),ROWS($AN$2:$AN64))),"")</f>
        <v/>
      </c>
      <c r="AO65" s="135" t="str" cm="1">
        <f t="array" ref="AO65">IF(ROWS($AN$2:$AN64)&lt;=$AN$2,INDEX($G$3:$G$3000,_xlfn.AGGREGATE(15,3,($B$3:$B$3000=$AM$2)/($B$3:$B$3000=$AM$2)*(ROW($B$3:$B$3000)-ROW($B$2)),ROWS($AN$2:$AN64))),"")</f>
        <v/>
      </c>
      <c r="AP65" s="121"/>
      <c r="AT65" s="111"/>
      <c r="AV65" s="133" t="str" cm="1">
        <f t="array" ref="AV65">IF(ROWS($AW$2:$AW64)&lt;=$AW$2,INDEX($AM$3:$AM$792,_xlfn.AGGREGATE(15,3,($AM$3:$AM$792='Planning Template'!$F$45)/($AM$3:$AM$792='Planning Template'!$F$45)*(ROW($AM$3:$AM$792)-ROW($AM$2)),ROWS($AW$2:$AW64))),"")</f>
        <v/>
      </c>
      <c r="AW65" s="134" t="str" cm="1">
        <f t="array" ref="AW65">IF(ROWS($AU$3:$AU65)&lt;=$AW$2,INDEX($AN$3:$AN$792,_xlfn.AGGREGATE(15,3,($AM$3:$AM$792='Planning Template'!$F$45)/($AM$3:$AM$792='Planning Template'!$F$45)*(ROW($AM$3:$AM$792)-ROW($AM$2)),ROWS($AU$3:$AU65))),"")</f>
        <v/>
      </c>
      <c r="AX65" s="135" t="str">
        <f>IF(AW65="","",SUMIFS(TableSSDPeopleGroups[Population], TableSSDPeopleGroups[Ctry],'Planning Template'!$F$30,TableSSDPeopleGroups[PrimaryReligion],'Planning Template'!$F$301,TableSSDPeopleGroups[PeopleCluster],'Planning Template'!$F$45,TableSSDPeopleGroups[PeopNameInCountry],$AW65))</f>
        <v/>
      </c>
      <c r="AY65" s="234" t="str">
        <f t="shared" si="3"/>
        <v/>
      </c>
    </row>
    <row r="66" spans="1:51" s="110" customFormat="1" ht="20" customHeight="1">
      <c r="A66" s="125" t="s">
        <v>1620</v>
      </c>
      <c r="B66" s="126" t="s">
        <v>61</v>
      </c>
      <c r="C66" s="127">
        <v>20561</v>
      </c>
      <c r="D66" s="157">
        <v>116851</v>
      </c>
      <c r="E66" s="158" t="s">
        <v>3474</v>
      </c>
      <c r="F66" s="158" t="s">
        <v>3474</v>
      </c>
      <c r="G66" s="159">
        <v>8100</v>
      </c>
      <c r="H66" s="159">
        <v>2</v>
      </c>
      <c r="I66" s="158" t="s">
        <v>209</v>
      </c>
      <c r="J66" s="158" t="s">
        <v>3475</v>
      </c>
      <c r="K66" s="158" t="s">
        <v>3474</v>
      </c>
      <c r="L66" s="159">
        <v>1</v>
      </c>
      <c r="M66" s="159">
        <v>2</v>
      </c>
      <c r="N66" s="158" t="s">
        <v>1718</v>
      </c>
      <c r="O66" s="159">
        <v>10</v>
      </c>
      <c r="P66" s="159">
        <v>2</v>
      </c>
      <c r="Q66" s="159">
        <v>23</v>
      </c>
      <c r="R66" s="158" t="s">
        <v>1623</v>
      </c>
      <c r="S66" s="158" t="s">
        <v>1624</v>
      </c>
      <c r="T66" s="159">
        <v>207</v>
      </c>
      <c r="U66" s="158" t="s">
        <v>1625</v>
      </c>
      <c r="V66" s="158" t="s">
        <v>1626</v>
      </c>
      <c r="W66" s="159">
        <v>1</v>
      </c>
      <c r="X66" s="159">
        <v>2</v>
      </c>
      <c r="Y66" s="158" t="s">
        <v>194</v>
      </c>
      <c r="Z66" s="158" t="s">
        <v>195</v>
      </c>
      <c r="AA66" s="158" t="s">
        <v>196</v>
      </c>
      <c r="AB66" s="158" t="s">
        <v>187</v>
      </c>
      <c r="AC66" s="158" t="s">
        <v>187</v>
      </c>
      <c r="AD66" s="160"/>
      <c r="AE66" s="158" t="s">
        <v>209</v>
      </c>
      <c r="AF66" s="159">
        <v>21.301901999999998</v>
      </c>
      <c r="AG66" s="161">
        <v>92.855322000000001</v>
      </c>
      <c r="AI66" s="133">
        <f t="shared" si="4"/>
        <v>29</v>
      </c>
      <c r="AJ66" s="134" t="str">
        <v>South Asia - other</v>
      </c>
      <c r="AK66" s="135">
        <f t="shared" si="5"/>
        <v>803000</v>
      </c>
      <c r="AM66" s="133" t="str" cm="1">
        <f t="array" ref="AM66">IF(ROWS($AN$2:$AN65)&lt;=$AN$2,INDEX($V$3:$V$3000,_xlfn.AGGREGATE(15,3,($B$3:$B$3000=$AM$2)/($B$3:$B$3000=$AM$2)*(ROW($B$3:$B$3000)-ROW($B$2)),ROWS($AN$2:$AN65))),"")</f>
        <v/>
      </c>
      <c r="AN66" s="134" t="str" cm="1">
        <f t="array" ref="AN66">IF(ROWS($AN$2:$AN65)&lt;=$AN$2,INDEX($F$3:$F$3000,_xlfn.AGGREGATE(15,3,($B$3:$B$3000=$AM$2)/($B$3:$B$3000=$AM$2)*(ROW($B$3:$B$3000)-ROW($B$2)),ROWS($AN$2:$AN65))),"")</f>
        <v/>
      </c>
      <c r="AO66" s="135" t="str" cm="1">
        <f t="array" ref="AO66">IF(ROWS($AN$2:$AN65)&lt;=$AN$2,INDEX($G$3:$G$3000,_xlfn.AGGREGATE(15,3,($B$3:$B$3000=$AM$2)/($B$3:$B$3000=$AM$2)*(ROW($B$3:$B$3000)-ROW($B$2)),ROWS($AN$2:$AN65))),"")</f>
        <v/>
      </c>
      <c r="AP66" s="121"/>
      <c r="AT66" s="111"/>
      <c r="AV66" s="133" t="str" cm="1">
        <f t="array" ref="AV66">IF(ROWS($AW$2:$AW65)&lt;=$AW$2,INDEX($AM$3:$AM$792,_xlfn.AGGREGATE(15,3,($AM$3:$AM$792='Planning Template'!$F$45)/($AM$3:$AM$792='Planning Template'!$F$45)*(ROW($AM$3:$AM$792)-ROW($AM$2)),ROWS($AW$2:$AW65))),"")</f>
        <v/>
      </c>
      <c r="AW66" s="134" t="str" cm="1">
        <f t="array" ref="AW66">IF(ROWS($AU$3:$AU66)&lt;=$AW$2,INDEX($AN$3:$AN$792,_xlfn.AGGREGATE(15,3,($AM$3:$AM$792='Planning Template'!$F$45)/($AM$3:$AM$792='Planning Template'!$F$45)*(ROW($AM$3:$AM$792)-ROW($AM$2)),ROWS($AU$3:$AU66))),"")</f>
        <v/>
      </c>
      <c r="AX66" s="135" t="str">
        <f>IF(AW66="","",SUMIFS(TableSSDPeopleGroups[Population], TableSSDPeopleGroups[Ctry],'Planning Template'!$F$30,TableSSDPeopleGroups[PrimaryReligion],'Planning Template'!$F$301,TableSSDPeopleGroups[PeopleCluster],'Planning Template'!$F$45,TableSSDPeopleGroups[PeopNameInCountry],$AW66))</f>
        <v/>
      </c>
      <c r="AY66" s="234" t="str">
        <f t="shared" si="3"/>
        <v/>
      </c>
    </row>
    <row r="67" spans="1:51" s="110" customFormat="1" ht="20" customHeight="1">
      <c r="A67" s="125" t="s">
        <v>1620</v>
      </c>
      <c r="B67" s="126" t="s">
        <v>61</v>
      </c>
      <c r="C67" s="127">
        <v>19390</v>
      </c>
      <c r="D67" s="145">
        <v>115065</v>
      </c>
      <c r="E67" s="146" t="s">
        <v>4740</v>
      </c>
      <c r="F67" s="146" t="s">
        <v>4740</v>
      </c>
      <c r="G67" s="147">
        <v>200000</v>
      </c>
      <c r="H67" s="147">
        <v>4</v>
      </c>
      <c r="I67" s="146" t="s">
        <v>209</v>
      </c>
      <c r="J67" s="146" t="s">
        <v>4741</v>
      </c>
      <c r="K67" s="146" t="s">
        <v>4740</v>
      </c>
      <c r="L67" s="147">
        <v>4</v>
      </c>
      <c r="M67" s="147">
        <v>2</v>
      </c>
      <c r="N67" s="146" t="s">
        <v>1718</v>
      </c>
      <c r="O67" s="147">
        <v>7.4</v>
      </c>
      <c r="P67" s="147">
        <v>5</v>
      </c>
      <c r="Q67" s="147">
        <v>23</v>
      </c>
      <c r="R67" s="146" t="s">
        <v>1623</v>
      </c>
      <c r="S67" s="146" t="s">
        <v>1624</v>
      </c>
      <c r="T67" s="147">
        <v>207</v>
      </c>
      <c r="U67" s="146" t="s">
        <v>1625</v>
      </c>
      <c r="V67" s="146" t="s">
        <v>1626</v>
      </c>
      <c r="W67" s="147">
        <v>1</v>
      </c>
      <c r="X67" s="147">
        <v>2</v>
      </c>
      <c r="Y67" s="146" t="s">
        <v>194</v>
      </c>
      <c r="Z67" s="146" t="s">
        <v>195</v>
      </c>
      <c r="AA67" s="146" t="s">
        <v>196</v>
      </c>
      <c r="AB67" s="146" t="s">
        <v>187</v>
      </c>
      <c r="AC67" s="146" t="s">
        <v>187</v>
      </c>
      <c r="AD67" s="148"/>
      <c r="AE67" s="146" t="s">
        <v>209</v>
      </c>
      <c r="AF67" s="147">
        <v>19.71</v>
      </c>
      <c r="AG67" s="149">
        <v>93.995000000000005</v>
      </c>
      <c r="AI67" s="133">
        <f t="shared" ref="AI67:AI98" si="6">COUNTIF($V$3:$V$3000,$AJ67)</f>
        <v>2</v>
      </c>
      <c r="AJ67" s="134" t="str">
        <v>South Asia Dalit - Dusadh</v>
      </c>
      <c r="AK67" s="135">
        <f t="shared" ref="AK67:AK98" si="7">SUMIF($V$3:$V$3001,$AJ67, $G$3:$G$3001)</f>
        <v>18100</v>
      </c>
      <c r="AM67" s="133" t="str" cm="1">
        <f t="array" ref="AM67">IF(ROWS($AN$2:$AN66)&lt;=$AN$2,INDEX($V$3:$V$3000,_xlfn.AGGREGATE(15,3,($B$3:$B$3000=$AM$2)/($B$3:$B$3000=$AM$2)*(ROW($B$3:$B$3000)-ROW($B$2)),ROWS($AN$2:$AN66))),"")</f>
        <v/>
      </c>
      <c r="AN67" s="134" t="str" cm="1">
        <f t="array" ref="AN67">IF(ROWS($AN$2:$AN66)&lt;=$AN$2,INDEX($F$3:$F$3000,_xlfn.AGGREGATE(15,3,($B$3:$B$3000=$AM$2)/($B$3:$B$3000=$AM$2)*(ROW($B$3:$B$3000)-ROW($B$2)),ROWS($AN$2:$AN66))),"")</f>
        <v/>
      </c>
      <c r="AO67" s="135" t="str" cm="1">
        <f t="array" ref="AO67">IF(ROWS($AN$2:$AN66)&lt;=$AN$2,INDEX($G$3:$G$3000,_xlfn.AGGREGATE(15,3,($B$3:$B$3000=$AM$2)/($B$3:$B$3000=$AM$2)*(ROW($B$3:$B$3000)-ROW($B$2)),ROWS($AN$2:$AN66))),"")</f>
        <v/>
      </c>
      <c r="AP67" s="121"/>
      <c r="AT67" s="111"/>
      <c r="AV67" s="133" t="str" cm="1">
        <f t="array" ref="AV67">IF(ROWS($AW$2:$AW66)&lt;=$AW$2,INDEX($AM$3:$AM$792,_xlfn.AGGREGATE(15,3,($AM$3:$AM$792='Planning Template'!$F$45)/($AM$3:$AM$792='Planning Template'!$F$45)*(ROW($AM$3:$AM$792)-ROW($AM$2)),ROWS($AW$2:$AW66))),"")</f>
        <v/>
      </c>
      <c r="AW67" s="134" t="str" cm="1">
        <f t="array" ref="AW67">IF(ROWS($AU$3:$AU67)&lt;=$AW$2,INDEX($AN$3:$AN$792,_xlfn.AGGREGATE(15,3,($AM$3:$AM$792='Planning Template'!$F$45)/($AM$3:$AM$792='Planning Template'!$F$45)*(ROW($AM$3:$AM$792)-ROW($AM$2)),ROWS($AU$3:$AU67))),"")</f>
        <v/>
      </c>
      <c r="AX67" s="135" t="str">
        <f>IF(AW67="","",SUMIFS(TableSSDPeopleGroups[Population], TableSSDPeopleGroups[Ctry],'Planning Template'!$F$30,TableSSDPeopleGroups[PrimaryReligion],'Planning Template'!$F$301,TableSSDPeopleGroups[PeopleCluster],'Planning Template'!$F$45,TableSSDPeopleGroups[PeopNameInCountry],$AW67))</f>
        <v/>
      </c>
      <c r="AY67" s="234" t="str">
        <f t="shared" si="3"/>
        <v/>
      </c>
    </row>
    <row r="68" spans="1:51" s="110" customFormat="1" ht="20" customHeight="1">
      <c r="A68" s="125" t="s">
        <v>1620</v>
      </c>
      <c r="B68" s="126" t="s">
        <v>61</v>
      </c>
      <c r="C68" s="127">
        <v>20558</v>
      </c>
      <c r="D68" s="145">
        <v>116849</v>
      </c>
      <c r="E68" s="146" t="s">
        <v>3957</v>
      </c>
      <c r="F68" s="146" t="s">
        <v>3957</v>
      </c>
      <c r="G68" s="147">
        <v>17000</v>
      </c>
      <c r="H68" s="147">
        <v>4</v>
      </c>
      <c r="I68" s="146" t="s">
        <v>209</v>
      </c>
      <c r="J68" s="146" t="s">
        <v>3958</v>
      </c>
      <c r="K68" s="146" t="s">
        <v>3957</v>
      </c>
      <c r="L68" s="147">
        <v>1</v>
      </c>
      <c r="M68" s="147">
        <v>2</v>
      </c>
      <c r="N68" s="146" t="s">
        <v>1718</v>
      </c>
      <c r="O68" s="147">
        <v>25</v>
      </c>
      <c r="P68" s="147">
        <v>3</v>
      </c>
      <c r="Q68" s="147">
        <v>23</v>
      </c>
      <c r="R68" s="146" t="s">
        <v>1623</v>
      </c>
      <c r="S68" s="146" t="s">
        <v>1624</v>
      </c>
      <c r="T68" s="147">
        <v>207</v>
      </c>
      <c r="U68" s="146" t="s">
        <v>1625</v>
      </c>
      <c r="V68" s="146" t="s">
        <v>1626</v>
      </c>
      <c r="W68" s="147">
        <v>1</v>
      </c>
      <c r="X68" s="147">
        <v>2</v>
      </c>
      <c r="Y68" s="146" t="s">
        <v>194</v>
      </c>
      <c r="Z68" s="146" t="s">
        <v>195</v>
      </c>
      <c r="AA68" s="146" t="s">
        <v>196</v>
      </c>
      <c r="AB68" s="146" t="s">
        <v>187</v>
      </c>
      <c r="AC68" s="146" t="s">
        <v>187</v>
      </c>
      <c r="AD68" s="148"/>
      <c r="AE68" s="146" t="s">
        <v>209</v>
      </c>
      <c r="AF68" s="147">
        <v>20.366648000000001</v>
      </c>
      <c r="AG68" s="149">
        <v>93.271353000000005</v>
      </c>
      <c r="AI68" s="133">
        <f t="shared" si="6"/>
        <v>3</v>
      </c>
      <c r="AJ68" s="134" t="str">
        <v>South Asia Dalit - Namassej</v>
      </c>
      <c r="AK68" s="135">
        <f t="shared" si="7"/>
        <v>6129500</v>
      </c>
      <c r="AM68" s="133" t="str" cm="1">
        <f t="array" ref="AM68">IF(ROWS($AN$2:$AN67)&lt;=$AN$2,INDEX($V$3:$V$3000,_xlfn.AGGREGATE(15,3,($B$3:$B$3000=$AM$2)/($B$3:$B$3000=$AM$2)*(ROW($B$3:$B$3000)-ROW($B$2)),ROWS($AN$2:$AN67))),"")</f>
        <v/>
      </c>
      <c r="AN68" s="134" t="str" cm="1">
        <f t="array" ref="AN68">IF(ROWS($AN$2:$AN67)&lt;=$AN$2,INDEX($F$3:$F$3000,_xlfn.AGGREGATE(15,3,($B$3:$B$3000=$AM$2)/($B$3:$B$3000=$AM$2)*(ROW($B$3:$B$3000)-ROW($B$2)),ROWS($AN$2:$AN67))),"")</f>
        <v/>
      </c>
      <c r="AO68" s="135" t="str" cm="1">
        <f t="array" ref="AO68">IF(ROWS($AN$2:$AN67)&lt;=$AN$2,INDEX($G$3:$G$3000,_xlfn.AGGREGATE(15,3,($B$3:$B$3000=$AM$2)/($B$3:$B$3000=$AM$2)*(ROW($B$3:$B$3000)-ROW($B$2)),ROWS($AN$2:$AN67))),"")</f>
        <v/>
      </c>
      <c r="AP68" s="121"/>
      <c r="AT68" s="111"/>
      <c r="AV68" s="133" t="str" cm="1">
        <f t="array" ref="AV68">IF(ROWS($AW$2:$AW67)&lt;=$AW$2,INDEX($AM$3:$AM$792,_xlfn.AGGREGATE(15,3,($AM$3:$AM$792='Planning Template'!$F$45)/($AM$3:$AM$792='Planning Template'!$F$45)*(ROW($AM$3:$AM$792)-ROW($AM$2)),ROWS($AW$2:$AW67))),"")</f>
        <v/>
      </c>
      <c r="AW68" s="134" t="str" cm="1">
        <f t="array" ref="AW68">IF(ROWS($AU$3:$AU68)&lt;=$AW$2,INDEX($AN$3:$AN$792,_xlfn.AGGREGATE(15,3,($AM$3:$AM$792='Planning Template'!$F$45)/($AM$3:$AM$792='Planning Template'!$F$45)*(ROW($AM$3:$AM$792)-ROW($AM$2)),ROWS($AU$3:$AU68))),"")</f>
        <v/>
      </c>
      <c r="AX68" s="135" t="str">
        <f>IF(AW68="","",SUMIFS(TableSSDPeopleGroups[Population], TableSSDPeopleGroups[Ctry],'Planning Template'!$F$30,TableSSDPeopleGroups[PrimaryReligion],'Planning Template'!$F$301,TableSSDPeopleGroups[PeopleCluster],'Planning Template'!$F$45,TableSSDPeopleGroups[PeopNameInCountry],$AW68))</f>
        <v/>
      </c>
      <c r="AY68" s="234" t="str">
        <f t="shared" ref="AY68:AY131" si="8">IF(AW68="","",AW68&amp;" ("&amp;FIXED(AX68,0)&amp;")")</f>
        <v/>
      </c>
    </row>
    <row r="69" spans="1:51" s="110" customFormat="1" ht="20" customHeight="1">
      <c r="A69" s="125" t="s">
        <v>1620</v>
      </c>
      <c r="B69" s="126" t="s">
        <v>61</v>
      </c>
      <c r="C69" s="127">
        <v>18962</v>
      </c>
      <c r="D69" s="145">
        <v>115318</v>
      </c>
      <c r="E69" s="146" t="s">
        <v>3516</v>
      </c>
      <c r="F69" s="146" t="s">
        <v>3516</v>
      </c>
      <c r="G69" s="147">
        <v>8600</v>
      </c>
      <c r="H69" s="147">
        <v>4</v>
      </c>
      <c r="I69" s="146" t="s">
        <v>209</v>
      </c>
      <c r="J69" s="146" t="s">
        <v>3517</v>
      </c>
      <c r="K69" s="146" t="s">
        <v>3518</v>
      </c>
      <c r="L69" s="147">
        <v>3</v>
      </c>
      <c r="M69" s="147">
        <v>2</v>
      </c>
      <c r="N69" s="146" t="s">
        <v>1718</v>
      </c>
      <c r="O69" s="147">
        <v>25</v>
      </c>
      <c r="P69" s="147">
        <v>4</v>
      </c>
      <c r="Q69" s="147">
        <v>23</v>
      </c>
      <c r="R69" s="146" t="s">
        <v>1623</v>
      </c>
      <c r="S69" s="146" t="s">
        <v>1624</v>
      </c>
      <c r="T69" s="147">
        <v>207</v>
      </c>
      <c r="U69" s="146" t="s">
        <v>1625</v>
      </c>
      <c r="V69" s="146" t="s">
        <v>1626</v>
      </c>
      <c r="W69" s="147">
        <v>1</v>
      </c>
      <c r="X69" s="147">
        <v>2</v>
      </c>
      <c r="Y69" s="146" t="s">
        <v>194</v>
      </c>
      <c r="Z69" s="146" t="s">
        <v>195</v>
      </c>
      <c r="AA69" s="146" t="s">
        <v>196</v>
      </c>
      <c r="AB69" s="146" t="s">
        <v>187</v>
      </c>
      <c r="AC69" s="146" t="s">
        <v>187</v>
      </c>
      <c r="AD69" s="148"/>
      <c r="AE69" s="146" t="s">
        <v>209</v>
      </c>
      <c r="AF69" s="147">
        <v>26.331659999999999</v>
      </c>
      <c r="AG69" s="149">
        <v>95.439880000000002</v>
      </c>
      <c r="AI69" s="133">
        <f t="shared" si="6"/>
        <v>52</v>
      </c>
      <c r="AJ69" s="134" t="str">
        <v>South Asia Dalit - other</v>
      </c>
      <c r="AK69" s="135">
        <f t="shared" si="7"/>
        <v>1942700</v>
      </c>
      <c r="AM69" s="133" t="str" cm="1">
        <f t="array" ref="AM69">IF(ROWS($AN$2:$AN68)&lt;=$AN$2,INDEX($V$3:$V$3000,_xlfn.AGGREGATE(15,3,($B$3:$B$3000=$AM$2)/($B$3:$B$3000=$AM$2)*(ROW($B$3:$B$3000)-ROW($B$2)),ROWS($AN$2:$AN68))),"")</f>
        <v/>
      </c>
      <c r="AN69" s="134" t="str" cm="1">
        <f t="array" ref="AN69">IF(ROWS($AN$2:$AN68)&lt;=$AN$2,INDEX($F$3:$F$3000,_xlfn.AGGREGATE(15,3,($B$3:$B$3000=$AM$2)/($B$3:$B$3000=$AM$2)*(ROW($B$3:$B$3000)-ROW($B$2)),ROWS($AN$2:$AN68))),"")</f>
        <v/>
      </c>
      <c r="AO69" s="135" t="str" cm="1">
        <f t="array" ref="AO69">IF(ROWS($AN$2:$AN68)&lt;=$AN$2,INDEX($G$3:$G$3000,_xlfn.AGGREGATE(15,3,($B$3:$B$3000=$AM$2)/($B$3:$B$3000=$AM$2)*(ROW($B$3:$B$3000)-ROW($B$2)),ROWS($AN$2:$AN68))),"")</f>
        <v/>
      </c>
      <c r="AP69" s="121"/>
      <c r="AT69" s="111"/>
      <c r="AV69" s="133" t="str" cm="1">
        <f t="array" ref="AV69">IF(ROWS($AW$2:$AW68)&lt;=$AW$2,INDEX($AM$3:$AM$792,_xlfn.AGGREGATE(15,3,($AM$3:$AM$792='Planning Template'!$F$45)/($AM$3:$AM$792='Planning Template'!$F$45)*(ROW($AM$3:$AM$792)-ROW($AM$2)),ROWS($AW$2:$AW68))),"")</f>
        <v/>
      </c>
      <c r="AW69" s="134" t="str" cm="1">
        <f t="array" ref="AW69">IF(ROWS($AU$3:$AU69)&lt;=$AW$2,INDEX($AN$3:$AN$792,_xlfn.AGGREGATE(15,3,($AM$3:$AM$792='Planning Template'!$F$45)/($AM$3:$AM$792='Planning Template'!$F$45)*(ROW($AM$3:$AM$792)-ROW($AM$2)),ROWS($AU$3:$AU69))),"")</f>
        <v/>
      </c>
      <c r="AX69" s="135" t="str">
        <f>IF(AW69="","",SUMIFS(TableSSDPeopleGroups[Population], TableSSDPeopleGroups[Ctry],'Planning Template'!$F$30,TableSSDPeopleGroups[PrimaryReligion],'Planning Template'!$F$301,TableSSDPeopleGroups[PeopleCluster],'Planning Template'!$F$45,TableSSDPeopleGroups[PeopNameInCountry],$AW69))</f>
        <v/>
      </c>
      <c r="AY69" s="234" t="str">
        <f t="shared" si="8"/>
        <v/>
      </c>
    </row>
    <row r="70" spans="1:51" s="110" customFormat="1" ht="20" customHeight="1">
      <c r="A70" s="125" t="s">
        <v>1620</v>
      </c>
      <c r="B70" s="126" t="s">
        <v>61</v>
      </c>
      <c r="C70" s="127">
        <v>21577</v>
      </c>
      <c r="D70" s="150"/>
      <c r="E70" s="146" t="s">
        <v>3302</v>
      </c>
      <c r="F70" s="146" t="s">
        <v>3302</v>
      </c>
      <c r="G70" s="147">
        <v>6000</v>
      </c>
      <c r="H70" s="147">
        <v>4</v>
      </c>
      <c r="I70" s="146" t="s">
        <v>209</v>
      </c>
      <c r="J70" s="146" t="s">
        <v>3303</v>
      </c>
      <c r="K70" s="146" t="s">
        <v>3304</v>
      </c>
      <c r="L70" s="147">
        <v>2</v>
      </c>
      <c r="M70" s="147">
        <v>2</v>
      </c>
      <c r="N70" s="146" t="s">
        <v>1718</v>
      </c>
      <c r="O70" s="147">
        <v>3</v>
      </c>
      <c r="P70" s="147">
        <v>3</v>
      </c>
      <c r="Q70" s="147">
        <v>23</v>
      </c>
      <c r="R70" s="146" t="s">
        <v>1623</v>
      </c>
      <c r="S70" s="146" t="s">
        <v>1624</v>
      </c>
      <c r="T70" s="147">
        <v>207</v>
      </c>
      <c r="U70" s="146" t="s">
        <v>1625</v>
      </c>
      <c r="V70" s="146" t="s">
        <v>1626</v>
      </c>
      <c r="W70" s="147">
        <v>1</v>
      </c>
      <c r="X70" s="147">
        <v>2</v>
      </c>
      <c r="Y70" s="146" t="s">
        <v>194</v>
      </c>
      <c r="Z70" s="146" t="s">
        <v>195</v>
      </c>
      <c r="AA70" s="146" t="s">
        <v>196</v>
      </c>
      <c r="AB70" s="146" t="s">
        <v>187</v>
      </c>
      <c r="AC70" s="146" t="s">
        <v>187</v>
      </c>
      <c r="AD70" s="148"/>
      <c r="AE70" s="146" t="s">
        <v>209</v>
      </c>
      <c r="AF70" s="147">
        <v>20.078610999999999</v>
      </c>
      <c r="AG70" s="149">
        <v>93.868711000000005</v>
      </c>
      <c r="AI70" s="133">
        <f t="shared" si="6"/>
        <v>2</v>
      </c>
      <c r="AJ70" s="134" t="str">
        <v>South Asia Dalit - Pasi</v>
      </c>
      <c r="AK70" s="135">
        <f t="shared" si="7"/>
        <v>5500</v>
      </c>
      <c r="AM70" s="133" t="str" cm="1">
        <f t="array" ref="AM70">IF(ROWS($AN$2:$AN69)&lt;=$AN$2,INDEX($V$3:$V$3000,_xlfn.AGGREGATE(15,3,($B$3:$B$3000=$AM$2)/($B$3:$B$3000=$AM$2)*(ROW($B$3:$B$3000)-ROW($B$2)),ROWS($AN$2:$AN69))),"")</f>
        <v/>
      </c>
      <c r="AN70" s="134" t="str" cm="1">
        <f t="array" ref="AN70">IF(ROWS($AN$2:$AN69)&lt;=$AN$2,INDEX($F$3:$F$3000,_xlfn.AGGREGATE(15,3,($B$3:$B$3000=$AM$2)/($B$3:$B$3000=$AM$2)*(ROW($B$3:$B$3000)-ROW($B$2)),ROWS($AN$2:$AN69))),"")</f>
        <v/>
      </c>
      <c r="AO70" s="135" t="str" cm="1">
        <f t="array" ref="AO70">IF(ROWS($AN$2:$AN69)&lt;=$AN$2,INDEX($G$3:$G$3000,_xlfn.AGGREGATE(15,3,($B$3:$B$3000=$AM$2)/($B$3:$B$3000=$AM$2)*(ROW($B$3:$B$3000)-ROW($B$2)),ROWS($AN$2:$AN69))),"")</f>
        <v/>
      </c>
      <c r="AP70" s="121"/>
      <c r="AT70" s="111"/>
      <c r="AV70" s="133" t="str" cm="1">
        <f t="array" ref="AV70">IF(ROWS($AW$2:$AW69)&lt;=$AW$2,INDEX($AM$3:$AM$792,_xlfn.AGGREGATE(15,3,($AM$3:$AM$792='Planning Template'!$F$45)/($AM$3:$AM$792='Planning Template'!$F$45)*(ROW($AM$3:$AM$792)-ROW($AM$2)),ROWS($AW$2:$AW69))),"")</f>
        <v/>
      </c>
      <c r="AW70" s="134" t="str" cm="1">
        <f t="array" ref="AW70">IF(ROWS($AU$3:$AU70)&lt;=$AW$2,INDEX($AN$3:$AN$792,_xlfn.AGGREGATE(15,3,($AM$3:$AM$792='Planning Template'!$F$45)/($AM$3:$AM$792='Planning Template'!$F$45)*(ROW($AM$3:$AM$792)-ROW($AM$2)),ROWS($AU$3:$AU70))),"")</f>
        <v/>
      </c>
      <c r="AX70" s="135" t="str">
        <f>IF(AW70="","",SUMIFS(TableSSDPeopleGroups[Population], TableSSDPeopleGroups[Ctry],'Planning Template'!$F$30,TableSSDPeopleGroups[PrimaryReligion],'Planning Template'!$F$301,TableSSDPeopleGroups[PeopleCluster],'Planning Template'!$F$45,TableSSDPeopleGroups[PeopNameInCountry],$AW70))</f>
        <v/>
      </c>
      <c r="AY70" s="234" t="str">
        <f t="shared" si="8"/>
        <v/>
      </c>
    </row>
    <row r="71" spans="1:51" s="110" customFormat="1" ht="20" customHeight="1">
      <c r="A71" s="125" t="s">
        <v>483</v>
      </c>
      <c r="B71" s="126" t="s">
        <v>55</v>
      </c>
      <c r="C71" s="127">
        <v>12989</v>
      </c>
      <c r="D71" s="163">
        <v>105643</v>
      </c>
      <c r="E71" s="164" t="s">
        <v>1610</v>
      </c>
      <c r="F71" s="164" t="s">
        <v>1610</v>
      </c>
      <c r="G71" s="165">
        <v>23000</v>
      </c>
      <c r="H71" s="165">
        <v>1</v>
      </c>
      <c r="I71" s="164" t="s">
        <v>187</v>
      </c>
      <c r="J71" s="164" t="s">
        <v>1887</v>
      </c>
      <c r="K71" s="164" t="s">
        <v>1610</v>
      </c>
      <c r="L71" s="165">
        <v>5</v>
      </c>
      <c r="M71" s="165">
        <v>2</v>
      </c>
      <c r="N71" s="164" t="s">
        <v>1718</v>
      </c>
      <c r="O71" s="165">
        <v>1.399</v>
      </c>
      <c r="P71" s="165">
        <v>0.3</v>
      </c>
      <c r="Q71" s="165">
        <v>20</v>
      </c>
      <c r="R71" s="164" t="s">
        <v>574</v>
      </c>
      <c r="S71" s="164" t="s">
        <v>575</v>
      </c>
      <c r="T71" s="165">
        <v>210</v>
      </c>
      <c r="U71" s="164" t="s">
        <v>1609</v>
      </c>
      <c r="V71" s="164" t="s">
        <v>1610</v>
      </c>
      <c r="W71" s="165">
        <v>11</v>
      </c>
      <c r="X71" s="165">
        <v>2</v>
      </c>
      <c r="Y71" s="164" t="s">
        <v>194</v>
      </c>
      <c r="Z71" s="164" t="s">
        <v>195</v>
      </c>
      <c r="AA71" s="164" t="s">
        <v>196</v>
      </c>
      <c r="AB71" s="164" t="s">
        <v>187</v>
      </c>
      <c r="AC71" s="164" t="s">
        <v>187</v>
      </c>
      <c r="AD71" s="165">
        <v>1</v>
      </c>
      <c r="AE71" s="164" t="s">
        <v>209</v>
      </c>
      <c r="AF71" s="165">
        <v>13.91577</v>
      </c>
      <c r="AG71" s="166">
        <v>106.25559</v>
      </c>
      <c r="AI71" s="133">
        <f t="shared" si="6"/>
        <v>3</v>
      </c>
      <c r="AJ71" s="134" t="str">
        <v>South Asia Dalit - Rajbansi</v>
      </c>
      <c r="AK71" s="135">
        <f t="shared" si="7"/>
        <v>1858000</v>
      </c>
      <c r="AM71" s="133" t="str" cm="1">
        <f t="array" ref="AM71">IF(ROWS($AN$2:$AN70)&lt;=$AN$2,INDEX($V$3:$V$3000,_xlfn.AGGREGATE(15,3,($B$3:$B$3000=$AM$2)/($B$3:$B$3000=$AM$2)*(ROW($B$3:$B$3000)-ROW($B$2)),ROWS($AN$2:$AN70))),"")</f>
        <v/>
      </c>
      <c r="AN71" s="134" t="str" cm="1">
        <f t="array" ref="AN71">IF(ROWS($AN$2:$AN70)&lt;=$AN$2,INDEX($F$3:$F$3000,_xlfn.AGGREGATE(15,3,($B$3:$B$3000=$AM$2)/($B$3:$B$3000=$AM$2)*(ROW($B$3:$B$3000)-ROW($B$2)),ROWS($AN$2:$AN70))),"")</f>
        <v/>
      </c>
      <c r="AO71" s="135" t="str" cm="1">
        <f t="array" ref="AO71">IF(ROWS($AN$2:$AN70)&lt;=$AN$2,INDEX($G$3:$G$3000,_xlfn.AGGREGATE(15,3,($B$3:$B$3000=$AM$2)/($B$3:$B$3000=$AM$2)*(ROW($B$3:$B$3000)-ROW($B$2)),ROWS($AN$2:$AN70))),"")</f>
        <v/>
      </c>
      <c r="AP71" s="121"/>
      <c r="AT71" s="111"/>
      <c r="AV71" s="133" t="str" cm="1">
        <f t="array" ref="AV71">IF(ROWS($AW$2:$AW70)&lt;=$AW$2,INDEX($AM$3:$AM$792,_xlfn.AGGREGATE(15,3,($AM$3:$AM$792='Planning Template'!$F$45)/($AM$3:$AM$792='Planning Template'!$F$45)*(ROW($AM$3:$AM$792)-ROW($AM$2)),ROWS($AW$2:$AW70))),"")</f>
        <v/>
      </c>
      <c r="AW71" s="134" t="str" cm="1">
        <f t="array" ref="AW71">IF(ROWS($AU$3:$AU71)&lt;=$AW$2,INDEX($AN$3:$AN$792,_xlfn.AGGREGATE(15,3,($AM$3:$AM$792='Planning Template'!$F$45)/($AM$3:$AM$792='Planning Template'!$F$45)*(ROW($AM$3:$AM$792)-ROW($AM$2)),ROWS($AU$3:$AU71))),"")</f>
        <v/>
      </c>
      <c r="AX71" s="135" t="str">
        <f>IF(AW71="","",SUMIFS(TableSSDPeopleGroups[Population], TableSSDPeopleGroups[Ctry],'Planning Template'!$F$30,TableSSDPeopleGroups[PrimaryReligion],'Planning Template'!$F$301,TableSSDPeopleGroups[PeopleCluster],'Planning Template'!$F$45,TableSSDPeopleGroups[PeopNameInCountry],$AW71))</f>
        <v/>
      </c>
      <c r="AY71" s="234" t="str">
        <f t="shared" si="8"/>
        <v/>
      </c>
    </row>
    <row r="72" spans="1:51" s="110" customFormat="1" ht="20" customHeight="1">
      <c r="A72" s="125" t="s">
        <v>471</v>
      </c>
      <c r="B72" s="126" t="s">
        <v>65</v>
      </c>
      <c r="C72" s="127">
        <v>12989</v>
      </c>
      <c r="D72" s="163">
        <v>105643</v>
      </c>
      <c r="E72" s="164" t="s">
        <v>1610</v>
      </c>
      <c r="F72" s="164" t="s">
        <v>1610</v>
      </c>
      <c r="G72" s="165">
        <v>3348000</v>
      </c>
      <c r="H72" s="165">
        <v>1</v>
      </c>
      <c r="I72" s="164" t="s">
        <v>187</v>
      </c>
      <c r="J72" s="164" t="s">
        <v>1887</v>
      </c>
      <c r="K72" s="164" t="s">
        <v>1610</v>
      </c>
      <c r="L72" s="165">
        <v>5</v>
      </c>
      <c r="M72" s="165">
        <v>2</v>
      </c>
      <c r="N72" s="164" t="s">
        <v>1718</v>
      </c>
      <c r="O72" s="165">
        <v>3.5</v>
      </c>
      <c r="P72" s="165">
        <v>2</v>
      </c>
      <c r="Q72" s="165">
        <v>20</v>
      </c>
      <c r="R72" s="164" t="s">
        <v>574</v>
      </c>
      <c r="S72" s="164" t="s">
        <v>575</v>
      </c>
      <c r="T72" s="165">
        <v>210</v>
      </c>
      <c r="U72" s="164" t="s">
        <v>1609</v>
      </c>
      <c r="V72" s="164" t="s">
        <v>1610</v>
      </c>
      <c r="W72" s="165">
        <v>11</v>
      </c>
      <c r="X72" s="165">
        <v>2</v>
      </c>
      <c r="Y72" s="164" t="s">
        <v>194</v>
      </c>
      <c r="Z72" s="164" t="s">
        <v>195</v>
      </c>
      <c r="AA72" s="164" t="s">
        <v>196</v>
      </c>
      <c r="AB72" s="164" t="s">
        <v>187</v>
      </c>
      <c r="AC72" s="164" t="s">
        <v>187</v>
      </c>
      <c r="AD72" s="165">
        <v>67</v>
      </c>
      <c r="AE72" s="164" t="s">
        <v>209</v>
      </c>
      <c r="AF72" s="165">
        <v>15.29486</v>
      </c>
      <c r="AG72" s="166">
        <v>105.76143999999999</v>
      </c>
      <c r="AI72" s="133">
        <f t="shared" si="6"/>
        <v>1</v>
      </c>
      <c r="AJ72" s="134" t="str">
        <v>South Asia Dalit - Valmiki</v>
      </c>
      <c r="AK72" s="135">
        <f t="shared" si="7"/>
        <v>2000</v>
      </c>
      <c r="AM72" s="133" t="str" cm="1">
        <f t="array" ref="AM72">IF(ROWS($AN$2:$AN71)&lt;=$AN$2,INDEX($V$3:$V$3000,_xlfn.AGGREGATE(15,3,($B$3:$B$3000=$AM$2)/($B$3:$B$3000=$AM$2)*(ROW($B$3:$B$3000)-ROW($B$2)),ROWS($AN$2:$AN71))),"")</f>
        <v/>
      </c>
      <c r="AN72" s="134" t="str" cm="1">
        <f t="array" ref="AN72">IF(ROWS($AN$2:$AN71)&lt;=$AN$2,INDEX($F$3:$F$3000,_xlfn.AGGREGATE(15,3,($B$3:$B$3000=$AM$2)/($B$3:$B$3000=$AM$2)*(ROW($B$3:$B$3000)-ROW($B$2)),ROWS($AN$2:$AN71))),"")</f>
        <v/>
      </c>
      <c r="AO72" s="135" t="str" cm="1">
        <f t="array" ref="AO72">IF(ROWS($AN$2:$AN71)&lt;=$AN$2,INDEX($G$3:$G$3000,_xlfn.AGGREGATE(15,3,($B$3:$B$3000=$AM$2)/($B$3:$B$3000=$AM$2)*(ROW($B$3:$B$3000)-ROW($B$2)),ROWS($AN$2:$AN71))),"")</f>
        <v/>
      </c>
      <c r="AP72" s="121"/>
      <c r="AT72" s="111"/>
      <c r="AV72" s="133" t="str" cm="1">
        <f t="array" ref="AV72">IF(ROWS($AW$2:$AW71)&lt;=$AW$2,INDEX($AM$3:$AM$792,_xlfn.AGGREGATE(15,3,($AM$3:$AM$792='Planning Template'!$F$45)/($AM$3:$AM$792='Planning Template'!$F$45)*(ROW($AM$3:$AM$792)-ROW($AM$2)),ROWS($AW$2:$AW71))),"")</f>
        <v/>
      </c>
      <c r="AW72" s="134" t="str" cm="1">
        <f t="array" ref="AW72">IF(ROWS($AU$3:$AU72)&lt;=$AW$2,INDEX($AN$3:$AN$792,_xlfn.AGGREGATE(15,3,($AM$3:$AM$792='Planning Template'!$F$45)/($AM$3:$AM$792='Planning Template'!$F$45)*(ROW($AM$3:$AM$792)-ROW($AM$2)),ROWS($AU$3:$AU72))),"")</f>
        <v/>
      </c>
      <c r="AX72" s="135" t="str">
        <f>IF(AW72="","",SUMIFS(TableSSDPeopleGroups[Population], TableSSDPeopleGroups[Ctry],'Planning Template'!$F$30,TableSSDPeopleGroups[PrimaryReligion],'Planning Template'!$F$301,TableSSDPeopleGroups[PeopleCluster],'Planning Template'!$F$45,TableSSDPeopleGroups[PeopNameInCountry],$AW72))</f>
        <v/>
      </c>
      <c r="AY72" s="234" t="str">
        <f t="shared" si="8"/>
        <v/>
      </c>
    </row>
    <row r="73" spans="1:51" s="110" customFormat="1" ht="20" customHeight="1">
      <c r="A73" s="125" t="s">
        <v>1620</v>
      </c>
      <c r="B73" s="126" t="s">
        <v>61</v>
      </c>
      <c r="C73" s="127">
        <v>12989</v>
      </c>
      <c r="D73" s="163">
        <v>105643</v>
      </c>
      <c r="E73" s="164" t="s">
        <v>1610</v>
      </c>
      <c r="F73" s="164" t="s">
        <v>1610</v>
      </c>
      <c r="G73" s="165">
        <v>25000</v>
      </c>
      <c r="H73" s="165">
        <v>1</v>
      </c>
      <c r="I73" s="164" t="s">
        <v>187</v>
      </c>
      <c r="J73" s="164" t="s">
        <v>1887</v>
      </c>
      <c r="K73" s="164" t="s">
        <v>1610</v>
      </c>
      <c r="L73" s="165">
        <v>5</v>
      </c>
      <c r="M73" s="165">
        <v>2</v>
      </c>
      <c r="N73" s="164" t="s">
        <v>1718</v>
      </c>
      <c r="O73" s="165">
        <v>3</v>
      </c>
      <c r="P73" s="165">
        <v>0.9</v>
      </c>
      <c r="Q73" s="165">
        <v>20</v>
      </c>
      <c r="R73" s="164" t="s">
        <v>574</v>
      </c>
      <c r="S73" s="164" t="s">
        <v>575</v>
      </c>
      <c r="T73" s="165">
        <v>210</v>
      </c>
      <c r="U73" s="164" t="s">
        <v>1609</v>
      </c>
      <c r="V73" s="164" t="s">
        <v>1610</v>
      </c>
      <c r="W73" s="165">
        <v>11</v>
      </c>
      <c r="X73" s="165">
        <v>2</v>
      </c>
      <c r="Y73" s="164" t="s">
        <v>194</v>
      </c>
      <c r="Z73" s="164" t="s">
        <v>195</v>
      </c>
      <c r="AA73" s="164" t="s">
        <v>196</v>
      </c>
      <c r="AB73" s="164" t="s">
        <v>187</v>
      </c>
      <c r="AC73" s="164" t="s">
        <v>209</v>
      </c>
      <c r="AD73" s="165">
        <v>1</v>
      </c>
      <c r="AE73" s="164" t="s">
        <v>209</v>
      </c>
      <c r="AF73" s="165">
        <v>20.454070095658398</v>
      </c>
      <c r="AG73" s="166">
        <v>99.897757303156993</v>
      </c>
      <c r="AI73" s="133">
        <f t="shared" si="6"/>
        <v>14</v>
      </c>
      <c r="AJ73" s="134" t="str">
        <v>South Asia Forward Caste - Bania</v>
      </c>
      <c r="AK73" s="135">
        <f t="shared" si="7"/>
        <v>128400</v>
      </c>
      <c r="AM73" s="133" t="str" cm="1">
        <f t="array" ref="AM73">IF(ROWS($AN$2:$AN72)&lt;=$AN$2,INDEX($V$3:$V$3000,_xlfn.AGGREGATE(15,3,($B$3:$B$3000=$AM$2)/($B$3:$B$3000=$AM$2)*(ROW($B$3:$B$3000)-ROW($B$2)),ROWS($AN$2:$AN72))),"")</f>
        <v/>
      </c>
      <c r="AN73" s="134" t="str" cm="1">
        <f t="array" ref="AN73">IF(ROWS($AN$2:$AN72)&lt;=$AN$2,INDEX($F$3:$F$3000,_xlfn.AGGREGATE(15,3,($B$3:$B$3000=$AM$2)/($B$3:$B$3000=$AM$2)*(ROW($B$3:$B$3000)-ROW($B$2)),ROWS($AN$2:$AN72))),"")</f>
        <v/>
      </c>
      <c r="AO73" s="135" t="str" cm="1">
        <f t="array" ref="AO73">IF(ROWS($AN$2:$AN72)&lt;=$AN$2,INDEX($G$3:$G$3000,_xlfn.AGGREGATE(15,3,($B$3:$B$3000=$AM$2)/($B$3:$B$3000=$AM$2)*(ROW($B$3:$B$3000)-ROW($B$2)),ROWS($AN$2:$AN72))),"")</f>
        <v/>
      </c>
      <c r="AP73" s="121"/>
      <c r="AT73" s="111"/>
      <c r="AV73" s="133" t="str" cm="1">
        <f t="array" ref="AV73">IF(ROWS($AW$2:$AW72)&lt;=$AW$2,INDEX($AM$3:$AM$792,_xlfn.AGGREGATE(15,3,($AM$3:$AM$792='Planning Template'!$F$45)/($AM$3:$AM$792='Planning Template'!$F$45)*(ROW($AM$3:$AM$792)-ROW($AM$2)),ROWS($AW$2:$AW72))),"")</f>
        <v/>
      </c>
      <c r="AW73" s="134" t="str" cm="1">
        <f t="array" ref="AW73">IF(ROWS($AU$3:$AU73)&lt;=$AW$2,INDEX($AN$3:$AN$792,_xlfn.AGGREGATE(15,3,($AM$3:$AM$792='Planning Template'!$F$45)/($AM$3:$AM$792='Planning Template'!$F$45)*(ROW($AM$3:$AM$792)-ROW($AM$2)),ROWS($AU$3:$AU73))),"")</f>
        <v/>
      </c>
      <c r="AX73" s="135" t="str">
        <f>IF(AW73="","",SUMIFS(TableSSDPeopleGroups[Population], TableSSDPeopleGroups[Ctry],'Planning Template'!$F$30,TableSSDPeopleGroups[PrimaryReligion],'Planning Template'!$F$301,TableSSDPeopleGroups[PeopleCluster],'Planning Template'!$F$45,TableSSDPeopleGroups[PeopNameInCountry],$AW73))</f>
        <v/>
      </c>
      <c r="AY73" s="234" t="str">
        <f t="shared" si="8"/>
        <v/>
      </c>
    </row>
    <row r="74" spans="1:51" s="110" customFormat="1" ht="20" customHeight="1">
      <c r="A74" s="125" t="s">
        <v>478</v>
      </c>
      <c r="B74" s="126" t="s">
        <v>56</v>
      </c>
      <c r="C74" s="127">
        <v>12989</v>
      </c>
      <c r="D74" s="163">
        <v>105643</v>
      </c>
      <c r="E74" s="164" t="s">
        <v>1610</v>
      </c>
      <c r="F74" s="164" t="s">
        <v>1610</v>
      </c>
      <c r="G74" s="165">
        <v>60000</v>
      </c>
      <c r="H74" s="165">
        <v>1</v>
      </c>
      <c r="I74" s="164" t="s">
        <v>187</v>
      </c>
      <c r="J74" s="164" t="s">
        <v>1887</v>
      </c>
      <c r="K74" s="164" t="s">
        <v>1610</v>
      </c>
      <c r="L74" s="165">
        <v>5</v>
      </c>
      <c r="M74" s="165">
        <v>2</v>
      </c>
      <c r="N74" s="164" t="s">
        <v>1718</v>
      </c>
      <c r="O74" s="165">
        <v>3</v>
      </c>
      <c r="P74" s="165">
        <v>2</v>
      </c>
      <c r="Q74" s="165">
        <v>20</v>
      </c>
      <c r="R74" s="164" t="s">
        <v>574</v>
      </c>
      <c r="S74" s="164" t="s">
        <v>575</v>
      </c>
      <c r="T74" s="165">
        <v>210</v>
      </c>
      <c r="U74" s="164" t="s">
        <v>1609</v>
      </c>
      <c r="V74" s="164" t="s">
        <v>1610</v>
      </c>
      <c r="W74" s="165">
        <v>11</v>
      </c>
      <c r="X74" s="165">
        <v>2</v>
      </c>
      <c r="Y74" s="164" t="s">
        <v>194</v>
      </c>
      <c r="Z74" s="164" t="s">
        <v>195</v>
      </c>
      <c r="AA74" s="164" t="s">
        <v>196</v>
      </c>
      <c r="AB74" s="164" t="s">
        <v>187</v>
      </c>
      <c r="AC74" s="164" t="s">
        <v>209</v>
      </c>
      <c r="AD74" s="165">
        <v>1</v>
      </c>
      <c r="AE74" s="164" t="s">
        <v>209</v>
      </c>
      <c r="AF74" s="165">
        <v>13.82</v>
      </c>
      <c r="AG74" s="166">
        <v>100.59</v>
      </c>
      <c r="AI74" s="133">
        <f t="shared" si="6"/>
        <v>1</v>
      </c>
      <c r="AJ74" s="134" t="str">
        <v>South Asia Forward Caste - Nair</v>
      </c>
      <c r="AK74" s="135">
        <f t="shared" si="7"/>
        <v>4000</v>
      </c>
      <c r="AM74" s="133" t="str" cm="1">
        <f t="array" ref="AM74">IF(ROWS($AN$2:$AN73)&lt;=$AN$2,INDEX($V$3:$V$3000,_xlfn.AGGREGATE(15,3,($B$3:$B$3000=$AM$2)/($B$3:$B$3000=$AM$2)*(ROW($B$3:$B$3000)-ROW($B$2)),ROWS($AN$2:$AN73))),"")</f>
        <v/>
      </c>
      <c r="AN74" s="134" t="str" cm="1">
        <f t="array" ref="AN74">IF(ROWS($AN$2:$AN73)&lt;=$AN$2,INDEX($F$3:$F$3000,_xlfn.AGGREGATE(15,3,($B$3:$B$3000=$AM$2)/($B$3:$B$3000=$AM$2)*(ROW($B$3:$B$3000)-ROW($B$2)),ROWS($AN$2:$AN73))),"")</f>
        <v/>
      </c>
      <c r="AO74" s="135" t="str" cm="1">
        <f t="array" ref="AO74">IF(ROWS($AN$2:$AN73)&lt;=$AN$2,INDEX($G$3:$G$3000,_xlfn.AGGREGATE(15,3,($B$3:$B$3000=$AM$2)/($B$3:$B$3000=$AM$2)*(ROW($B$3:$B$3000)-ROW($B$2)),ROWS($AN$2:$AN73))),"")</f>
        <v/>
      </c>
      <c r="AP74" s="121"/>
      <c r="AT74" s="111"/>
      <c r="AV74" s="133" t="str" cm="1">
        <f t="array" ref="AV74">IF(ROWS($AW$2:$AW73)&lt;=$AW$2,INDEX($AM$3:$AM$792,_xlfn.AGGREGATE(15,3,($AM$3:$AM$792='Planning Template'!$F$45)/($AM$3:$AM$792='Planning Template'!$F$45)*(ROW($AM$3:$AM$792)-ROW($AM$2)),ROWS($AW$2:$AW73))),"")</f>
        <v/>
      </c>
      <c r="AW74" s="134" t="str" cm="1">
        <f t="array" ref="AW74">IF(ROWS($AU$3:$AU74)&lt;=$AW$2,INDEX($AN$3:$AN$792,_xlfn.AGGREGATE(15,3,($AM$3:$AM$792='Planning Template'!$F$45)/($AM$3:$AM$792='Planning Template'!$F$45)*(ROW($AM$3:$AM$792)-ROW($AM$2)),ROWS($AU$3:$AU74))),"")</f>
        <v/>
      </c>
      <c r="AX74" s="135" t="str">
        <f>IF(AW74="","",SUMIFS(TableSSDPeopleGroups[Population], TableSSDPeopleGroups[Ctry],'Planning Template'!$F$30,TableSSDPeopleGroups[PrimaryReligion],'Planning Template'!$F$301,TableSSDPeopleGroups[PeopleCluster],'Planning Template'!$F$45,TableSSDPeopleGroups[PeopNameInCountry],$AW74))</f>
        <v/>
      </c>
      <c r="AY74" s="234" t="str">
        <f t="shared" si="8"/>
        <v/>
      </c>
    </row>
    <row r="75" spans="1:51" s="110" customFormat="1" ht="20" customHeight="1">
      <c r="A75" s="125" t="s">
        <v>478</v>
      </c>
      <c r="B75" s="126" t="s">
        <v>56</v>
      </c>
      <c r="C75" s="127">
        <v>19260</v>
      </c>
      <c r="D75" s="163">
        <v>115535</v>
      </c>
      <c r="E75" s="164" t="s">
        <v>4458</v>
      </c>
      <c r="F75" s="164" t="s">
        <v>4458</v>
      </c>
      <c r="G75" s="165">
        <v>58000</v>
      </c>
      <c r="H75" s="165">
        <v>1</v>
      </c>
      <c r="I75" s="164" t="s">
        <v>187</v>
      </c>
      <c r="J75" s="164" t="s">
        <v>634</v>
      </c>
      <c r="K75" s="164" t="s">
        <v>635</v>
      </c>
      <c r="L75" s="165">
        <v>0</v>
      </c>
      <c r="M75" s="165">
        <v>2</v>
      </c>
      <c r="N75" s="164" t="s">
        <v>1718</v>
      </c>
      <c r="O75" s="165">
        <v>0</v>
      </c>
      <c r="P75" s="165">
        <v>0</v>
      </c>
      <c r="Q75" s="165">
        <v>20</v>
      </c>
      <c r="R75" s="164" t="s">
        <v>574</v>
      </c>
      <c r="S75" s="164" t="s">
        <v>575</v>
      </c>
      <c r="T75" s="165">
        <v>210</v>
      </c>
      <c r="U75" s="164" t="s">
        <v>1609</v>
      </c>
      <c r="V75" s="164" t="s">
        <v>1610</v>
      </c>
      <c r="W75" s="165">
        <v>1</v>
      </c>
      <c r="X75" s="165">
        <v>2</v>
      </c>
      <c r="Y75" s="164" t="s">
        <v>194</v>
      </c>
      <c r="Z75" s="164" t="s">
        <v>195</v>
      </c>
      <c r="AA75" s="164" t="s">
        <v>196</v>
      </c>
      <c r="AB75" s="164" t="s">
        <v>187</v>
      </c>
      <c r="AC75" s="164" t="s">
        <v>187</v>
      </c>
      <c r="AD75" s="165">
        <v>1</v>
      </c>
      <c r="AE75" s="164" t="s">
        <v>187</v>
      </c>
      <c r="AF75" s="165">
        <v>16.187201999999999</v>
      </c>
      <c r="AG75" s="166">
        <v>100.34979</v>
      </c>
      <c r="AI75" s="133">
        <f t="shared" si="6"/>
        <v>4</v>
      </c>
      <c r="AJ75" s="134" t="str">
        <v>South Asia Forward Caste - other</v>
      </c>
      <c r="AK75" s="135">
        <f t="shared" si="7"/>
        <v>135000</v>
      </c>
      <c r="AM75" s="133" t="str" cm="1">
        <f t="array" ref="AM75">IF(ROWS($AN$2:$AN74)&lt;=$AN$2,INDEX($V$3:$V$3000,_xlfn.AGGREGATE(15,3,($B$3:$B$3000=$AM$2)/($B$3:$B$3000=$AM$2)*(ROW($B$3:$B$3000)-ROW($B$2)),ROWS($AN$2:$AN74))),"")</f>
        <v/>
      </c>
      <c r="AN75" s="134" t="str" cm="1">
        <f t="array" ref="AN75">IF(ROWS($AN$2:$AN74)&lt;=$AN$2,INDEX($F$3:$F$3000,_xlfn.AGGREGATE(15,3,($B$3:$B$3000=$AM$2)/($B$3:$B$3000=$AM$2)*(ROW($B$3:$B$3000)-ROW($B$2)),ROWS($AN$2:$AN74))),"")</f>
        <v/>
      </c>
      <c r="AO75" s="135" t="str" cm="1">
        <f t="array" ref="AO75">IF(ROWS($AN$2:$AN74)&lt;=$AN$2,INDEX($G$3:$G$3000,_xlfn.AGGREGATE(15,3,($B$3:$B$3000=$AM$2)/($B$3:$B$3000=$AM$2)*(ROW($B$3:$B$3000)-ROW($B$2)),ROWS($AN$2:$AN74))),"")</f>
        <v/>
      </c>
      <c r="AP75" s="121"/>
      <c r="AT75" s="111"/>
      <c r="AV75" s="133" t="str" cm="1">
        <f t="array" ref="AV75">IF(ROWS($AW$2:$AW74)&lt;=$AW$2,INDEX($AM$3:$AM$792,_xlfn.AGGREGATE(15,3,($AM$3:$AM$792='Planning Template'!$F$45)/($AM$3:$AM$792='Planning Template'!$F$45)*(ROW($AM$3:$AM$792)-ROW($AM$2)),ROWS($AW$2:$AW74))),"")</f>
        <v/>
      </c>
      <c r="AW75" s="134" t="str" cm="1">
        <f t="array" ref="AW75">IF(ROWS($AU$3:$AU75)&lt;=$AW$2,INDEX($AN$3:$AN$792,_xlfn.AGGREGATE(15,3,($AM$3:$AM$792='Planning Template'!$F$45)/($AM$3:$AM$792='Planning Template'!$F$45)*(ROW($AM$3:$AM$792)-ROW($AM$2)),ROWS($AU$3:$AU75))),"")</f>
        <v/>
      </c>
      <c r="AX75" s="135" t="str">
        <f>IF(AW75="","",SUMIFS(TableSSDPeopleGroups[Population], TableSSDPeopleGroups[Ctry],'Planning Template'!$F$30,TableSSDPeopleGroups[PrimaryReligion],'Planning Template'!$F$301,TableSSDPeopleGroups[PeopleCluster],'Planning Template'!$F$45,TableSSDPeopleGroups[PeopNameInCountry],$AW75))</f>
        <v/>
      </c>
      <c r="AY75" s="234" t="str">
        <f t="shared" si="8"/>
        <v/>
      </c>
    </row>
    <row r="76" spans="1:51" s="110" customFormat="1" ht="20" customHeight="1">
      <c r="A76" s="125" t="s">
        <v>478</v>
      </c>
      <c r="B76" s="126" t="s">
        <v>56</v>
      </c>
      <c r="C76" s="127">
        <v>19272</v>
      </c>
      <c r="D76" s="163">
        <v>115541</v>
      </c>
      <c r="E76" s="164" t="s">
        <v>4450</v>
      </c>
      <c r="F76" s="164" t="s">
        <v>4450</v>
      </c>
      <c r="G76" s="165">
        <v>57000</v>
      </c>
      <c r="H76" s="165">
        <v>1</v>
      </c>
      <c r="I76" s="164" t="s">
        <v>187</v>
      </c>
      <c r="J76" s="164" t="s">
        <v>634</v>
      </c>
      <c r="K76" s="164" t="s">
        <v>635</v>
      </c>
      <c r="L76" s="165">
        <v>0</v>
      </c>
      <c r="M76" s="165">
        <v>2</v>
      </c>
      <c r="N76" s="164" t="s">
        <v>1718</v>
      </c>
      <c r="O76" s="165">
        <v>0.6</v>
      </c>
      <c r="P76" s="165">
        <v>0.6</v>
      </c>
      <c r="Q76" s="165">
        <v>20</v>
      </c>
      <c r="R76" s="164" t="s">
        <v>574</v>
      </c>
      <c r="S76" s="164" t="s">
        <v>575</v>
      </c>
      <c r="T76" s="165">
        <v>210</v>
      </c>
      <c r="U76" s="164" t="s">
        <v>1609</v>
      </c>
      <c r="V76" s="164" t="s">
        <v>1610</v>
      </c>
      <c r="W76" s="165">
        <v>1</v>
      </c>
      <c r="X76" s="165">
        <v>2</v>
      </c>
      <c r="Y76" s="164" t="s">
        <v>194</v>
      </c>
      <c r="Z76" s="164" t="s">
        <v>195</v>
      </c>
      <c r="AA76" s="164" t="s">
        <v>196</v>
      </c>
      <c r="AB76" s="164" t="s">
        <v>187</v>
      </c>
      <c r="AC76" s="164" t="s">
        <v>187</v>
      </c>
      <c r="AD76" s="165">
        <v>1</v>
      </c>
      <c r="AE76" s="164" t="s">
        <v>209</v>
      </c>
      <c r="AF76" s="165">
        <v>14.269245</v>
      </c>
      <c r="AG76" s="166">
        <v>101.604067</v>
      </c>
      <c r="AI76" s="133">
        <f t="shared" si="6"/>
        <v>3</v>
      </c>
      <c r="AJ76" s="134" t="str">
        <v>South Asia Forward Caste - Rajput</v>
      </c>
      <c r="AK76" s="135">
        <f t="shared" si="7"/>
        <v>43200</v>
      </c>
      <c r="AM76" s="133" t="str" cm="1">
        <f t="array" ref="AM76">IF(ROWS($AN$2:$AN75)&lt;=$AN$2,INDEX($V$3:$V$3000,_xlfn.AGGREGATE(15,3,($B$3:$B$3000=$AM$2)/($B$3:$B$3000=$AM$2)*(ROW($B$3:$B$3000)-ROW($B$2)),ROWS($AN$2:$AN75))),"")</f>
        <v/>
      </c>
      <c r="AN76" s="134" t="str" cm="1">
        <f t="array" ref="AN76">IF(ROWS($AN$2:$AN75)&lt;=$AN$2,INDEX($F$3:$F$3000,_xlfn.AGGREGATE(15,3,($B$3:$B$3000=$AM$2)/($B$3:$B$3000=$AM$2)*(ROW($B$3:$B$3000)-ROW($B$2)),ROWS($AN$2:$AN75))),"")</f>
        <v/>
      </c>
      <c r="AO76" s="135" t="str" cm="1">
        <f t="array" ref="AO76">IF(ROWS($AN$2:$AN75)&lt;=$AN$2,INDEX($G$3:$G$3000,_xlfn.AGGREGATE(15,3,($B$3:$B$3000=$AM$2)/($B$3:$B$3000=$AM$2)*(ROW($B$3:$B$3000)-ROW($B$2)),ROWS($AN$2:$AN75))),"")</f>
        <v/>
      </c>
      <c r="AP76" s="121"/>
      <c r="AT76" s="111"/>
      <c r="AV76" s="133" t="str" cm="1">
        <f t="array" ref="AV76">IF(ROWS($AW$2:$AW75)&lt;=$AW$2,INDEX($AM$3:$AM$792,_xlfn.AGGREGATE(15,3,($AM$3:$AM$792='Planning Template'!$F$45)/($AM$3:$AM$792='Planning Template'!$F$45)*(ROW($AM$3:$AM$792)-ROW($AM$2)),ROWS($AW$2:$AW75))),"")</f>
        <v/>
      </c>
      <c r="AW76" s="134" t="str" cm="1">
        <f t="array" ref="AW76">IF(ROWS($AU$3:$AU76)&lt;=$AW$2,INDEX($AN$3:$AN$792,_xlfn.AGGREGATE(15,3,($AM$3:$AM$792='Planning Template'!$F$45)/($AM$3:$AM$792='Planning Template'!$F$45)*(ROW($AM$3:$AM$792)-ROW($AM$2)),ROWS($AU$3:$AU76))),"")</f>
        <v/>
      </c>
      <c r="AX76" s="135" t="str">
        <f>IF(AW76="","",SUMIFS(TableSSDPeopleGroups[Population], TableSSDPeopleGroups[Ctry],'Planning Template'!$F$30,TableSSDPeopleGroups[PrimaryReligion],'Planning Template'!$F$301,TableSSDPeopleGroups[PeopleCluster],'Planning Template'!$F$45,TableSSDPeopleGroups[PeopNameInCountry],$AW76))</f>
        <v/>
      </c>
      <c r="AY76" s="234" t="str">
        <f t="shared" si="8"/>
        <v/>
      </c>
    </row>
    <row r="77" spans="1:51" s="110" customFormat="1" ht="20" customHeight="1">
      <c r="A77" s="125" t="s">
        <v>478</v>
      </c>
      <c r="B77" s="126" t="s">
        <v>56</v>
      </c>
      <c r="C77" s="127">
        <v>19273</v>
      </c>
      <c r="D77" s="163">
        <v>115542</v>
      </c>
      <c r="E77" s="164" t="s">
        <v>4210</v>
      </c>
      <c r="F77" s="164" t="s">
        <v>4210</v>
      </c>
      <c r="G77" s="165">
        <v>29000</v>
      </c>
      <c r="H77" s="165">
        <v>1</v>
      </c>
      <c r="I77" s="164" t="s">
        <v>187</v>
      </c>
      <c r="J77" s="164" t="s">
        <v>634</v>
      </c>
      <c r="K77" s="164" t="s">
        <v>635</v>
      </c>
      <c r="L77" s="165">
        <v>0</v>
      </c>
      <c r="M77" s="165">
        <v>2</v>
      </c>
      <c r="N77" s="164" t="s">
        <v>1718</v>
      </c>
      <c r="O77" s="165">
        <v>0</v>
      </c>
      <c r="P77" s="165">
        <v>0</v>
      </c>
      <c r="Q77" s="165">
        <v>20</v>
      </c>
      <c r="R77" s="164" t="s">
        <v>574</v>
      </c>
      <c r="S77" s="164" t="s">
        <v>575</v>
      </c>
      <c r="T77" s="165">
        <v>210</v>
      </c>
      <c r="U77" s="164" t="s">
        <v>1609</v>
      </c>
      <c r="V77" s="164" t="s">
        <v>1610</v>
      </c>
      <c r="W77" s="165">
        <v>1</v>
      </c>
      <c r="X77" s="165">
        <v>2</v>
      </c>
      <c r="Y77" s="164" t="s">
        <v>194</v>
      </c>
      <c r="Z77" s="164" t="s">
        <v>195</v>
      </c>
      <c r="AA77" s="164" t="s">
        <v>196</v>
      </c>
      <c r="AB77" s="164" t="s">
        <v>187</v>
      </c>
      <c r="AC77" s="164" t="s">
        <v>187</v>
      </c>
      <c r="AD77" s="165">
        <v>1</v>
      </c>
      <c r="AE77" s="164" t="s">
        <v>187</v>
      </c>
      <c r="AF77" s="165">
        <v>17.28</v>
      </c>
      <c r="AG77" s="166">
        <v>101.14666699999999</v>
      </c>
      <c r="AI77" s="133">
        <f t="shared" si="6"/>
        <v>1</v>
      </c>
      <c r="AJ77" s="134" t="str">
        <v>South Asia Hindu - Badhai</v>
      </c>
      <c r="AK77" s="135">
        <f t="shared" si="7"/>
        <v>6800</v>
      </c>
      <c r="AM77" s="133" t="str" cm="1">
        <f t="array" ref="AM77">IF(ROWS($AN$2:$AN76)&lt;=$AN$2,INDEX($V$3:$V$3000,_xlfn.AGGREGATE(15,3,($B$3:$B$3000=$AM$2)/($B$3:$B$3000=$AM$2)*(ROW($B$3:$B$3000)-ROW($B$2)),ROWS($AN$2:$AN76))),"")</f>
        <v/>
      </c>
      <c r="AN77" s="134" t="str" cm="1">
        <f t="array" ref="AN77">IF(ROWS($AN$2:$AN76)&lt;=$AN$2,INDEX($F$3:$F$3000,_xlfn.AGGREGATE(15,3,($B$3:$B$3000=$AM$2)/($B$3:$B$3000=$AM$2)*(ROW($B$3:$B$3000)-ROW($B$2)),ROWS($AN$2:$AN76))),"")</f>
        <v/>
      </c>
      <c r="AO77" s="135" t="str" cm="1">
        <f t="array" ref="AO77">IF(ROWS($AN$2:$AN76)&lt;=$AN$2,INDEX($G$3:$G$3000,_xlfn.AGGREGATE(15,3,($B$3:$B$3000=$AM$2)/($B$3:$B$3000=$AM$2)*(ROW($B$3:$B$3000)-ROW($B$2)),ROWS($AN$2:$AN76))),"")</f>
        <v/>
      </c>
      <c r="AP77" s="121"/>
      <c r="AT77" s="111"/>
      <c r="AV77" s="133" t="str" cm="1">
        <f t="array" ref="AV77">IF(ROWS($AW$2:$AW76)&lt;=$AW$2,INDEX($AM$3:$AM$792,_xlfn.AGGREGATE(15,3,($AM$3:$AM$792='Planning Template'!$F$45)/($AM$3:$AM$792='Planning Template'!$F$45)*(ROW($AM$3:$AM$792)-ROW($AM$2)),ROWS($AW$2:$AW76))),"")</f>
        <v/>
      </c>
      <c r="AW77" s="134" t="str" cm="1">
        <f t="array" ref="AW77">IF(ROWS($AU$3:$AU77)&lt;=$AW$2,INDEX($AN$3:$AN$792,_xlfn.AGGREGATE(15,3,($AM$3:$AM$792='Planning Template'!$F$45)/($AM$3:$AM$792='Planning Template'!$F$45)*(ROW($AM$3:$AM$792)-ROW($AM$2)),ROWS($AU$3:$AU77))),"")</f>
        <v/>
      </c>
      <c r="AX77" s="135" t="str">
        <f>IF(AW77="","",SUMIFS(TableSSDPeopleGroups[Population], TableSSDPeopleGroups[Ctry],'Planning Template'!$F$30,TableSSDPeopleGroups[PrimaryReligion],'Planning Template'!$F$301,TableSSDPeopleGroups[PeopleCluster],'Planning Template'!$F$45,TableSSDPeopleGroups[PeopNameInCountry],$AW77))</f>
        <v/>
      </c>
      <c r="AY77" s="234" t="str">
        <f t="shared" si="8"/>
        <v/>
      </c>
    </row>
    <row r="78" spans="1:51" s="110" customFormat="1" ht="20" customHeight="1">
      <c r="A78" s="125" t="s">
        <v>478</v>
      </c>
      <c r="B78" s="126" t="s">
        <v>56</v>
      </c>
      <c r="C78" s="127">
        <v>19259</v>
      </c>
      <c r="D78" s="163">
        <v>115534</v>
      </c>
      <c r="E78" s="164" t="s">
        <v>2732</v>
      </c>
      <c r="F78" s="164" t="s">
        <v>2732</v>
      </c>
      <c r="G78" s="165">
        <v>2100</v>
      </c>
      <c r="H78" s="165">
        <v>1</v>
      </c>
      <c r="I78" s="164" t="s">
        <v>187</v>
      </c>
      <c r="J78" s="164" t="s">
        <v>634</v>
      </c>
      <c r="K78" s="164" t="s">
        <v>635</v>
      </c>
      <c r="L78" s="165">
        <v>0</v>
      </c>
      <c r="M78" s="165">
        <v>2</v>
      </c>
      <c r="N78" s="164" t="s">
        <v>1718</v>
      </c>
      <c r="O78" s="165">
        <v>0</v>
      </c>
      <c r="P78" s="165">
        <v>0</v>
      </c>
      <c r="Q78" s="165">
        <v>20</v>
      </c>
      <c r="R78" s="164" t="s">
        <v>574</v>
      </c>
      <c r="S78" s="164" t="s">
        <v>575</v>
      </c>
      <c r="T78" s="165">
        <v>210</v>
      </c>
      <c r="U78" s="164" t="s">
        <v>1609</v>
      </c>
      <c r="V78" s="164" t="s">
        <v>1610</v>
      </c>
      <c r="W78" s="165">
        <v>1</v>
      </c>
      <c r="X78" s="165">
        <v>2</v>
      </c>
      <c r="Y78" s="164" t="s">
        <v>194</v>
      </c>
      <c r="Z78" s="164" t="s">
        <v>195</v>
      </c>
      <c r="AA78" s="164" t="s">
        <v>196</v>
      </c>
      <c r="AB78" s="164" t="s">
        <v>187</v>
      </c>
      <c r="AC78" s="164" t="s">
        <v>187</v>
      </c>
      <c r="AD78" s="165">
        <v>1</v>
      </c>
      <c r="AE78" s="164" t="s">
        <v>187</v>
      </c>
      <c r="AF78" s="165">
        <v>15.083888999999999</v>
      </c>
      <c r="AG78" s="166">
        <v>99.521111000000005</v>
      </c>
      <c r="AI78" s="133">
        <f t="shared" si="6"/>
        <v>1</v>
      </c>
      <c r="AJ78" s="134" t="str">
        <v>South Asia Hindu - Bhoi</v>
      </c>
      <c r="AK78" s="135">
        <f t="shared" si="7"/>
        <v>8300</v>
      </c>
      <c r="AM78" s="133" t="str" cm="1">
        <f t="array" ref="AM78">IF(ROWS($AN$2:$AN77)&lt;=$AN$2,INDEX($V$3:$V$3000,_xlfn.AGGREGATE(15,3,($B$3:$B$3000=$AM$2)/($B$3:$B$3000=$AM$2)*(ROW($B$3:$B$3000)-ROW($B$2)),ROWS($AN$2:$AN77))),"")</f>
        <v/>
      </c>
      <c r="AN78" s="134" t="str" cm="1">
        <f t="array" ref="AN78">IF(ROWS($AN$2:$AN77)&lt;=$AN$2,INDEX($F$3:$F$3000,_xlfn.AGGREGATE(15,3,($B$3:$B$3000=$AM$2)/($B$3:$B$3000=$AM$2)*(ROW($B$3:$B$3000)-ROW($B$2)),ROWS($AN$2:$AN77))),"")</f>
        <v/>
      </c>
      <c r="AO78" s="135" t="str" cm="1">
        <f t="array" ref="AO78">IF(ROWS($AN$2:$AN77)&lt;=$AN$2,INDEX($G$3:$G$3000,_xlfn.AGGREGATE(15,3,($B$3:$B$3000=$AM$2)/($B$3:$B$3000=$AM$2)*(ROW($B$3:$B$3000)-ROW($B$2)),ROWS($AN$2:$AN77))),"")</f>
        <v/>
      </c>
      <c r="AP78" s="121"/>
      <c r="AT78" s="111"/>
      <c r="AV78" s="133" t="str" cm="1">
        <f t="array" ref="AV78">IF(ROWS($AW$2:$AW77)&lt;=$AW$2,INDEX($AM$3:$AM$792,_xlfn.AGGREGATE(15,3,($AM$3:$AM$792='Planning Template'!$F$45)/($AM$3:$AM$792='Planning Template'!$F$45)*(ROW($AM$3:$AM$792)-ROW($AM$2)),ROWS($AW$2:$AW77))),"")</f>
        <v/>
      </c>
      <c r="AW78" s="134" t="str" cm="1">
        <f t="array" ref="AW78">IF(ROWS($AU$3:$AU78)&lt;=$AW$2,INDEX($AN$3:$AN$792,_xlfn.AGGREGATE(15,3,($AM$3:$AM$792='Planning Template'!$F$45)/($AM$3:$AM$792='Planning Template'!$F$45)*(ROW($AM$3:$AM$792)-ROW($AM$2)),ROWS($AU$3:$AU78))),"")</f>
        <v/>
      </c>
      <c r="AX78" s="135" t="str">
        <f>IF(AW78="","",SUMIFS(TableSSDPeopleGroups[Population], TableSSDPeopleGroups[Ctry],'Planning Template'!$F$30,TableSSDPeopleGroups[PrimaryReligion],'Planning Template'!$F$301,TableSSDPeopleGroups[PeopleCluster],'Planning Template'!$F$45,TableSSDPeopleGroups[PeopNameInCountry],$AW78))</f>
        <v/>
      </c>
      <c r="AY78" s="234" t="str">
        <f t="shared" si="8"/>
        <v/>
      </c>
    </row>
    <row r="79" spans="1:51" s="110" customFormat="1" ht="20" customHeight="1">
      <c r="A79" s="125" t="s">
        <v>478</v>
      </c>
      <c r="B79" s="126" t="s">
        <v>56</v>
      </c>
      <c r="C79" s="127">
        <v>19261</v>
      </c>
      <c r="D79" s="163">
        <v>115536</v>
      </c>
      <c r="E79" s="164" t="s">
        <v>1732</v>
      </c>
      <c r="F79" s="164" t="s">
        <v>1732</v>
      </c>
      <c r="G79" s="165">
        <v>200</v>
      </c>
      <c r="H79" s="165">
        <v>1</v>
      </c>
      <c r="I79" s="164" t="s">
        <v>187</v>
      </c>
      <c r="J79" s="164" t="s">
        <v>634</v>
      </c>
      <c r="K79" s="164" t="s">
        <v>635</v>
      </c>
      <c r="L79" s="165">
        <v>0</v>
      </c>
      <c r="M79" s="165">
        <v>2</v>
      </c>
      <c r="N79" s="164" t="s">
        <v>1718</v>
      </c>
      <c r="O79" s="165">
        <v>0</v>
      </c>
      <c r="P79" s="165">
        <v>0</v>
      </c>
      <c r="Q79" s="165">
        <v>20</v>
      </c>
      <c r="R79" s="164" t="s">
        <v>574</v>
      </c>
      <c r="S79" s="164" t="s">
        <v>575</v>
      </c>
      <c r="T79" s="165">
        <v>210</v>
      </c>
      <c r="U79" s="164" t="s">
        <v>1609</v>
      </c>
      <c r="V79" s="164" t="s">
        <v>1610</v>
      </c>
      <c r="W79" s="165">
        <v>1</v>
      </c>
      <c r="X79" s="165">
        <v>2</v>
      </c>
      <c r="Y79" s="164" t="s">
        <v>194</v>
      </c>
      <c r="Z79" s="164" t="s">
        <v>195</v>
      </c>
      <c r="AA79" s="164" t="s">
        <v>196</v>
      </c>
      <c r="AB79" s="164" t="s">
        <v>187</v>
      </c>
      <c r="AC79" s="164" t="s">
        <v>187</v>
      </c>
      <c r="AD79" s="165">
        <v>1</v>
      </c>
      <c r="AE79" s="164" t="s">
        <v>187</v>
      </c>
      <c r="AF79" s="165">
        <v>13.608101</v>
      </c>
      <c r="AG79" s="166">
        <v>99.601868999999994</v>
      </c>
      <c r="AI79" s="133">
        <f t="shared" si="6"/>
        <v>7</v>
      </c>
      <c r="AJ79" s="134" t="str">
        <v>South Asia Hindu - Jat</v>
      </c>
      <c r="AK79" s="135">
        <f t="shared" si="7"/>
        <v>71300</v>
      </c>
      <c r="AM79" s="133" t="str" cm="1">
        <f t="array" ref="AM79">IF(ROWS($AN$2:$AN78)&lt;=$AN$2,INDEX($V$3:$V$3000,_xlfn.AGGREGATE(15,3,($B$3:$B$3000=$AM$2)/($B$3:$B$3000=$AM$2)*(ROW($B$3:$B$3000)-ROW($B$2)),ROWS($AN$2:$AN78))),"")</f>
        <v/>
      </c>
      <c r="AN79" s="134" t="str" cm="1">
        <f t="array" ref="AN79">IF(ROWS($AN$2:$AN78)&lt;=$AN$2,INDEX($F$3:$F$3000,_xlfn.AGGREGATE(15,3,($B$3:$B$3000=$AM$2)/($B$3:$B$3000=$AM$2)*(ROW($B$3:$B$3000)-ROW($B$2)),ROWS($AN$2:$AN78))),"")</f>
        <v/>
      </c>
      <c r="AO79" s="135" t="str" cm="1">
        <f t="array" ref="AO79">IF(ROWS($AN$2:$AN78)&lt;=$AN$2,INDEX($G$3:$G$3000,_xlfn.AGGREGATE(15,3,($B$3:$B$3000=$AM$2)/($B$3:$B$3000=$AM$2)*(ROW($B$3:$B$3000)-ROW($B$2)),ROWS($AN$2:$AN78))),"")</f>
        <v/>
      </c>
      <c r="AP79" s="121"/>
      <c r="AT79" s="111"/>
      <c r="AV79" s="133" t="str" cm="1">
        <f t="array" ref="AV79">IF(ROWS($AW$2:$AW78)&lt;=$AW$2,INDEX($AM$3:$AM$792,_xlfn.AGGREGATE(15,3,($AM$3:$AM$792='Planning Template'!$F$45)/($AM$3:$AM$792='Planning Template'!$F$45)*(ROW($AM$3:$AM$792)-ROW($AM$2)),ROWS($AW$2:$AW78))),"")</f>
        <v/>
      </c>
      <c r="AW79" s="134" t="str" cm="1">
        <f t="array" ref="AW79">IF(ROWS($AU$3:$AU79)&lt;=$AW$2,INDEX($AN$3:$AN$792,_xlfn.AGGREGATE(15,3,($AM$3:$AM$792='Planning Template'!$F$45)/($AM$3:$AM$792='Planning Template'!$F$45)*(ROW($AM$3:$AM$792)-ROW($AM$2)),ROWS($AU$3:$AU79))),"")</f>
        <v/>
      </c>
      <c r="AX79" s="135" t="str">
        <f>IF(AW79="","",SUMIFS(TableSSDPeopleGroups[Population], TableSSDPeopleGroups[Ctry],'Planning Template'!$F$30,TableSSDPeopleGroups[PrimaryReligion],'Planning Template'!$F$301,TableSSDPeopleGroups[PeopleCluster],'Planning Template'!$F$45,TableSSDPeopleGroups[PeopNameInCountry],$AW79))</f>
        <v/>
      </c>
      <c r="AY79" s="234" t="str">
        <f t="shared" si="8"/>
        <v/>
      </c>
    </row>
    <row r="80" spans="1:51" s="110" customFormat="1" ht="20" customHeight="1">
      <c r="A80" s="125" t="s">
        <v>480</v>
      </c>
      <c r="B80" s="126" t="s">
        <v>63</v>
      </c>
      <c r="C80" s="127">
        <v>12989</v>
      </c>
      <c r="D80" s="145">
        <v>105643</v>
      </c>
      <c r="E80" s="146" t="s">
        <v>1610</v>
      </c>
      <c r="F80" s="146" t="s">
        <v>1610</v>
      </c>
      <c r="G80" s="147">
        <v>16000</v>
      </c>
      <c r="H80" s="147">
        <v>4</v>
      </c>
      <c r="I80" s="146" t="s">
        <v>209</v>
      </c>
      <c r="J80" s="146" t="s">
        <v>1887</v>
      </c>
      <c r="K80" s="146" t="s">
        <v>1610</v>
      </c>
      <c r="L80" s="147">
        <v>5</v>
      </c>
      <c r="M80" s="147">
        <v>2</v>
      </c>
      <c r="N80" s="146" t="s">
        <v>1718</v>
      </c>
      <c r="O80" s="147">
        <v>3.4</v>
      </c>
      <c r="P80" s="147">
        <v>2.6</v>
      </c>
      <c r="Q80" s="147">
        <v>20</v>
      </c>
      <c r="R80" s="146" t="s">
        <v>574</v>
      </c>
      <c r="S80" s="146" t="s">
        <v>575</v>
      </c>
      <c r="T80" s="147">
        <v>210</v>
      </c>
      <c r="U80" s="146" t="s">
        <v>1609</v>
      </c>
      <c r="V80" s="146" t="s">
        <v>1610</v>
      </c>
      <c r="W80" s="147">
        <v>11</v>
      </c>
      <c r="X80" s="147">
        <v>2</v>
      </c>
      <c r="Y80" s="146" t="s">
        <v>194</v>
      </c>
      <c r="Z80" s="146" t="s">
        <v>195</v>
      </c>
      <c r="AA80" s="146" t="s">
        <v>196</v>
      </c>
      <c r="AB80" s="146" t="s">
        <v>187</v>
      </c>
      <c r="AC80" s="146" t="s">
        <v>209</v>
      </c>
      <c r="AD80" s="148"/>
      <c r="AE80" s="146" t="s">
        <v>209</v>
      </c>
      <c r="AF80" s="147">
        <v>17.251336999999999</v>
      </c>
      <c r="AG80" s="149">
        <v>106.338505</v>
      </c>
      <c r="AI80" s="133">
        <f t="shared" si="6"/>
        <v>1</v>
      </c>
      <c r="AJ80" s="134" t="str">
        <v>South Asia Hindu - Kahar</v>
      </c>
      <c r="AK80" s="135">
        <f t="shared" si="7"/>
        <v>83000</v>
      </c>
      <c r="AM80" s="133" t="str" cm="1">
        <f t="array" ref="AM80">IF(ROWS($AN$2:$AN79)&lt;=$AN$2,INDEX($V$3:$V$3000,_xlfn.AGGREGATE(15,3,($B$3:$B$3000=$AM$2)/($B$3:$B$3000=$AM$2)*(ROW($B$3:$B$3000)-ROW($B$2)),ROWS($AN$2:$AN79))),"")</f>
        <v/>
      </c>
      <c r="AN80" s="134" t="str" cm="1">
        <f t="array" ref="AN80">IF(ROWS($AN$2:$AN79)&lt;=$AN$2,INDEX($F$3:$F$3000,_xlfn.AGGREGATE(15,3,($B$3:$B$3000=$AM$2)/($B$3:$B$3000=$AM$2)*(ROW($B$3:$B$3000)-ROW($B$2)),ROWS($AN$2:$AN79))),"")</f>
        <v/>
      </c>
      <c r="AO80" s="135" t="str" cm="1">
        <f t="array" ref="AO80">IF(ROWS($AN$2:$AN79)&lt;=$AN$2,INDEX($G$3:$G$3000,_xlfn.AGGREGATE(15,3,($B$3:$B$3000=$AM$2)/($B$3:$B$3000=$AM$2)*(ROW($B$3:$B$3000)-ROW($B$2)),ROWS($AN$2:$AN79))),"")</f>
        <v/>
      </c>
      <c r="AP80" s="121"/>
      <c r="AT80" s="111"/>
      <c r="AV80" s="133" t="str" cm="1">
        <f t="array" ref="AV80">IF(ROWS($AW$2:$AW79)&lt;=$AW$2,INDEX($AM$3:$AM$792,_xlfn.AGGREGATE(15,3,($AM$3:$AM$792='Planning Template'!$F$45)/($AM$3:$AM$792='Planning Template'!$F$45)*(ROW($AM$3:$AM$792)-ROW($AM$2)),ROWS($AW$2:$AW79))),"")</f>
        <v/>
      </c>
      <c r="AW80" s="134" t="str" cm="1">
        <f t="array" ref="AW80">IF(ROWS($AU$3:$AU80)&lt;=$AW$2,INDEX($AN$3:$AN$792,_xlfn.AGGREGATE(15,3,($AM$3:$AM$792='Planning Template'!$F$45)/($AM$3:$AM$792='Planning Template'!$F$45)*(ROW($AM$3:$AM$792)-ROW($AM$2)),ROWS($AU$3:$AU80))),"")</f>
        <v/>
      </c>
      <c r="AX80" s="135" t="str">
        <f>IF(AW80="","",SUMIFS(TableSSDPeopleGroups[Population], TableSSDPeopleGroups[Ctry],'Planning Template'!$F$30,TableSSDPeopleGroups[PrimaryReligion],'Planning Template'!$F$301,TableSSDPeopleGroups[PeopleCluster],'Planning Template'!$F$45,TableSSDPeopleGroups[PeopNameInCountry],$AW80))</f>
        <v/>
      </c>
      <c r="AY80" s="234" t="str">
        <f t="shared" si="8"/>
        <v/>
      </c>
    </row>
    <row r="81" spans="1:51" s="110" customFormat="1" ht="20" customHeight="1">
      <c r="A81" s="125" t="s">
        <v>483</v>
      </c>
      <c r="B81" s="126" t="s">
        <v>55</v>
      </c>
      <c r="C81" s="127">
        <v>12662</v>
      </c>
      <c r="D81" s="163">
        <v>104946</v>
      </c>
      <c r="E81" s="164" t="s">
        <v>1751</v>
      </c>
      <c r="F81" s="164" t="s">
        <v>1751</v>
      </c>
      <c r="G81" s="165">
        <v>14442000</v>
      </c>
      <c r="H81" s="165">
        <v>1</v>
      </c>
      <c r="I81" s="164" t="s">
        <v>187</v>
      </c>
      <c r="J81" s="164" t="s">
        <v>1750</v>
      </c>
      <c r="K81" s="164" t="s">
        <v>1751</v>
      </c>
      <c r="L81" s="165">
        <v>5</v>
      </c>
      <c r="M81" s="165">
        <v>2</v>
      </c>
      <c r="N81" s="164" t="s">
        <v>1718</v>
      </c>
      <c r="O81" s="165">
        <v>3.2</v>
      </c>
      <c r="P81" s="165">
        <v>1.9</v>
      </c>
      <c r="Q81" s="165">
        <v>20</v>
      </c>
      <c r="R81" s="164" t="s">
        <v>574</v>
      </c>
      <c r="S81" s="164" t="s">
        <v>575</v>
      </c>
      <c r="T81" s="165">
        <v>239</v>
      </c>
      <c r="U81" s="164" t="s">
        <v>1618</v>
      </c>
      <c r="V81" s="164" t="s">
        <v>1619</v>
      </c>
      <c r="W81" s="165">
        <v>14</v>
      </c>
      <c r="X81" s="165">
        <v>2</v>
      </c>
      <c r="Y81" s="164" t="s">
        <v>194</v>
      </c>
      <c r="Z81" s="164" t="s">
        <v>195</v>
      </c>
      <c r="AA81" s="164" t="s">
        <v>196</v>
      </c>
      <c r="AB81" s="164" t="s">
        <v>187</v>
      </c>
      <c r="AC81" s="164" t="s">
        <v>187</v>
      </c>
      <c r="AD81" s="165">
        <v>289</v>
      </c>
      <c r="AE81" s="164" t="s">
        <v>209</v>
      </c>
      <c r="AF81" s="165">
        <v>11.575117531848599</v>
      </c>
      <c r="AG81" s="166">
        <v>104.906001355878</v>
      </c>
      <c r="AI81" s="133">
        <f t="shared" si="6"/>
        <v>1</v>
      </c>
      <c r="AJ81" s="134" t="str">
        <v>South Asia Hindu - Kapu</v>
      </c>
      <c r="AK81" s="135">
        <f t="shared" si="7"/>
        <v>1300</v>
      </c>
      <c r="AM81" s="133" t="str" cm="1">
        <f t="array" ref="AM81">IF(ROWS($AN$2:$AN80)&lt;=$AN$2,INDEX($V$3:$V$3000,_xlfn.AGGREGATE(15,3,($B$3:$B$3000=$AM$2)/($B$3:$B$3000=$AM$2)*(ROW($B$3:$B$3000)-ROW($B$2)),ROWS($AN$2:$AN80))),"")</f>
        <v/>
      </c>
      <c r="AN81" s="134" t="str" cm="1">
        <f t="array" ref="AN81">IF(ROWS($AN$2:$AN80)&lt;=$AN$2,INDEX($F$3:$F$3000,_xlfn.AGGREGATE(15,3,($B$3:$B$3000=$AM$2)/($B$3:$B$3000=$AM$2)*(ROW($B$3:$B$3000)-ROW($B$2)),ROWS($AN$2:$AN80))),"")</f>
        <v/>
      </c>
      <c r="AO81" s="135" t="str" cm="1">
        <f t="array" ref="AO81">IF(ROWS($AN$2:$AN80)&lt;=$AN$2,INDEX($G$3:$G$3000,_xlfn.AGGREGATE(15,3,($B$3:$B$3000=$AM$2)/($B$3:$B$3000=$AM$2)*(ROW($B$3:$B$3000)-ROW($B$2)),ROWS($AN$2:$AN80))),"")</f>
        <v/>
      </c>
      <c r="AP81" s="121"/>
      <c r="AT81" s="111"/>
      <c r="AV81" s="133" t="str" cm="1">
        <f t="array" ref="AV81">IF(ROWS($AW$2:$AW80)&lt;=$AW$2,INDEX($AM$3:$AM$792,_xlfn.AGGREGATE(15,3,($AM$3:$AM$792='Planning Template'!$F$45)/($AM$3:$AM$792='Planning Template'!$F$45)*(ROW($AM$3:$AM$792)-ROW($AM$2)),ROWS($AW$2:$AW80))),"")</f>
        <v/>
      </c>
      <c r="AW81" s="134" t="str" cm="1">
        <f t="array" ref="AW81">IF(ROWS($AU$3:$AU81)&lt;=$AW$2,INDEX($AN$3:$AN$792,_xlfn.AGGREGATE(15,3,($AM$3:$AM$792='Planning Template'!$F$45)/($AM$3:$AM$792='Planning Template'!$F$45)*(ROW($AM$3:$AM$792)-ROW($AM$2)),ROWS($AU$3:$AU81))),"")</f>
        <v/>
      </c>
      <c r="AX81" s="135" t="str">
        <f>IF(AW81="","",SUMIFS(TableSSDPeopleGroups[Population], TableSSDPeopleGroups[Ctry],'Planning Template'!$F$30,TableSSDPeopleGroups[PrimaryReligion],'Planning Template'!$F$301,TableSSDPeopleGroups[PeopleCluster],'Planning Template'!$F$45,TableSSDPeopleGroups[PeopNameInCountry],$AW81))</f>
        <v/>
      </c>
      <c r="AY81" s="234" t="str">
        <f t="shared" si="8"/>
        <v/>
      </c>
    </row>
    <row r="82" spans="1:51" s="110" customFormat="1" ht="20" customHeight="1">
      <c r="A82" s="125" t="s">
        <v>483</v>
      </c>
      <c r="B82" s="126" t="s">
        <v>55</v>
      </c>
      <c r="C82" s="127">
        <v>18988</v>
      </c>
      <c r="D82" s="163">
        <v>115792</v>
      </c>
      <c r="E82" s="164" t="s">
        <v>4786</v>
      </c>
      <c r="F82" s="164" t="s">
        <v>4786</v>
      </c>
      <c r="G82" s="165">
        <v>276000</v>
      </c>
      <c r="H82" s="165">
        <v>1</v>
      </c>
      <c r="I82" s="164" t="s">
        <v>187</v>
      </c>
      <c r="J82" s="164" t="s">
        <v>1750</v>
      </c>
      <c r="K82" s="164" t="s">
        <v>1751</v>
      </c>
      <c r="L82" s="165">
        <v>5</v>
      </c>
      <c r="M82" s="165">
        <v>2</v>
      </c>
      <c r="N82" s="164" t="s">
        <v>1718</v>
      </c>
      <c r="O82" s="165">
        <v>1.2</v>
      </c>
      <c r="P82" s="165">
        <v>0.6</v>
      </c>
      <c r="Q82" s="165">
        <v>20</v>
      </c>
      <c r="R82" s="164" t="s">
        <v>574</v>
      </c>
      <c r="S82" s="164" t="s">
        <v>575</v>
      </c>
      <c r="T82" s="165">
        <v>239</v>
      </c>
      <c r="U82" s="164" t="s">
        <v>1618</v>
      </c>
      <c r="V82" s="164" t="s">
        <v>1619</v>
      </c>
      <c r="W82" s="165">
        <v>1</v>
      </c>
      <c r="X82" s="165">
        <v>2</v>
      </c>
      <c r="Y82" s="164" t="s">
        <v>194</v>
      </c>
      <c r="Z82" s="164" t="s">
        <v>195</v>
      </c>
      <c r="AA82" s="164" t="s">
        <v>196</v>
      </c>
      <c r="AB82" s="164" t="s">
        <v>187</v>
      </c>
      <c r="AC82" s="164" t="s">
        <v>187</v>
      </c>
      <c r="AD82" s="165">
        <v>6</v>
      </c>
      <c r="AE82" s="164" t="s">
        <v>209</v>
      </c>
      <c r="AF82" s="165">
        <v>11.0899118328648</v>
      </c>
      <c r="AG82" s="166">
        <v>103.873658030993</v>
      </c>
      <c r="AI82" s="133">
        <f t="shared" si="6"/>
        <v>2</v>
      </c>
      <c r="AJ82" s="134" t="str">
        <v>South Asia Hindu - Kayastha</v>
      </c>
      <c r="AK82" s="135">
        <f t="shared" si="7"/>
        <v>1994000</v>
      </c>
      <c r="AM82" s="133" t="str" cm="1">
        <f t="array" ref="AM82">IF(ROWS($AN$2:$AN81)&lt;=$AN$2,INDEX($V$3:$V$3000,_xlfn.AGGREGATE(15,3,($B$3:$B$3000=$AM$2)/($B$3:$B$3000=$AM$2)*(ROW($B$3:$B$3000)-ROW($B$2)),ROWS($AN$2:$AN81))),"")</f>
        <v/>
      </c>
      <c r="AN82" s="134" t="str" cm="1">
        <f t="array" ref="AN82">IF(ROWS($AN$2:$AN81)&lt;=$AN$2,INDEX($F$3:$F$3000,_xlfn.AGGREGATE(15,3,($B$3:$B$3000=$AM$2)/($B$3:$B$3000=$AM$2)*(ROW($B$3:$B$3000)-ROW($B$2)),ROWS($AN$2:$AN81))),"")</f>
        <v/>
      </c>
      <c r="AO82" s="135" t="str" cm="1">
        <f t="array" ref="AO82">IF(ROWS($AN$2:$AN81)&lt;=$AN$2,INDEX($G$3:$G$3000,_xlfn.AGGREGATE(15,3,($B$3:$B$3000=$AM$2)/($B$3:$B$3000=$AM$2)*(ROW($B$3:$B$3000)-ROW($B$2)),ROWS($AN$2:$AN81))),"")</f>
        <v/>
      </c>
      <c r="AP82" s="121"/>
      <c r="AT82" s="111"/>
      <c r="AV82" s="133" t="str" cm="1">
        <f t="array" ref="AV82">IF(ROWS($AW$2:$AW81)&lt;=$AW$2,INDEX($AM$3:$AM$792,_xlfn.AGGREGATE(15,3,($AM$3:$AM$792='Planning Template'!$F$45)/($AM$3:$AM$792='Planning Template'!$F$45)*(ROW($AM$3:$AM$792)-ROW($AM$2)),ROWS($AW$2:$AW81))),"")</f>
        <v/>
      </c>
      <c r="AW82" s="134" t="str" cm="1">
        <f t="array" ref="AW82">IF(ROWS($AU$3:$AU82)&lt;=$AW$2,INDEX($AN$3:$AN$792,_xlfn.AGGREGATE(15,3,($AM$3:$AM$792='Planning Template'!$F$45)/($AM$3:$AM$792='Planning Template'!$F$45)*(ROW($AM$3:$AM$792)-ROW($AM$2)),ROWS($AU$3:$AU82))),"")</f>
        <v/>
      </c>
      <c r="AX82" s="135" t="str">
        <f>IF(AW82="","",SUMIFS(TableSSDPeopleGroups[Population], TableSSDPeopleGroups[Ctry],'Planning Template'!$F$30,TableSSDPeopleGroups[PrimaryReligion],'Planning Template'!$F$301,TableSSDPeopleGroups[PeopleCluster],'Planning Template'!$F$45,TableSSDPeopleGroups[PeopNameInCountry],$AW82))</f>
        <v/>
      </c>
      <c r="AY82" s="234" t="str">
        <f t="shared" si="8"/>
        <v/>
      </c>
    </row>
    <row r="83" spans="1:51" s="110" customFormat="1" ht="20" customHeight="1">
      <c r="A83" s="125" t="s">
        <v>483</v>
      </c>
      <c r="B83" s="126" t="s">
        <v>55</v>
      </c>
      <c r="C83" s="127">
        <v>19055</v>
      </c>
      <c r="D83" s="163">
        <v>105352</v>
      </c>
      <c r="E83" s="164" t="s">
        <v>2840</v>
      </c>
      <c r="F83" s="164" t="s">
        <v>2840</v>
      </c>
      <c r="G83" s="165">
        <v>34000</v>
      </c>
      <c r="H83" s="165">
        <v>1</v>
      </c>
      <c r="I83" s="164" t="s">
        <v>187</v>
      </c>
      <c r="J83" s="164" t="s">
        <v>4271</v>
      </c>
      <c r="K83" s="164" t="s">
        <v>4272</v>
      </c>
      <c r="L83" s="165">
        <v>5</v>
      </c>
      <c r="M83" s="165">
        <v>2</v>
      </c>
      <c r="N83" s="164" t="s">
        <v>1718</v>
      </c>
      <c r="O83" s="165">
        <v>3.5</v>
      </c>
      <c r="P83" s="165">
        <v>0.53</v>
      </c>
      <c r="Q83" s="165">
        <v>20</v>
      </c>
      <c r="R83" s="164" t="s">
        <v>574</v>
      </c>
      <c r="S83" s="164" t="s">
        <v>575</v>
      </c>
      <c r="T83" s="165">
        <v>239</v>
      </c>
      <c r="U83" s="164" t="s">
        <v>1618</v>
      </c>
      <c r="V83" s="164" t="s">
        <v>1619</v>
      </c>
      <c r="W83" s="165">
        <v>3</v>
      </c>
      <c r="X83" s="165">
        <v>2</v>
      </c>
      <c r="Y83" s="164" t="s">
        <v>194</v>
      </c>
      <c r="Z83" s="164" t="s">
        <v>195</v>
      </c>
      <c r="AA83" s="164" t="s">
        <v>196</v>
      </c>
      <c r="AB83" s="164" t="s">
        <v>187</v>
      </c>
      <c r="AC83" s="164" t="s">
        <v>187</v>
      </c>
      <c r="AD83" s="165">
        <v>1</v>
      </c>
      <c r="AE83" s="164" t="s">
        <v>209</v>
      </c>
      <c r="AF83" s="165">
        <v>13.203030000134399</v>
      </c>
      <c r="AG83" s="166">
        <v>105.002190000068</v>
      </c>
      <c r="AI83" s="133">
        <f t="shared" si="6"/>
        <v>3</v>
      </c>
      <c r="AJ83" s="134" t="str">
        <v>South Asia Hindu - Kumhar</v>
      </c>
      <c r="AK83" s="135">
        <f t="shared" si="7"/>
        <v>276100</v>
      </c>
      <c r="AM83" s="133" t="str" cm="1">
        <f t="array" ref="AM83">IF(ROWS($AN$2:$AN82)&lt;=$AN$2,INDEX($V$3:$V$3000,_xlfn.AGGREGATE(15,3,($B$3:$B$3000=$AM$2)/($B$3:$B$3000=$AM$2)*(ROW($B$3:$B$3000)-ROW($B$2)),ROWS($AN$2:$AN82))),"")</f>
        <v/>
      </c>
      <c r="AN83" s="134" t="str" cm="1">
        <f t="array" ref="AN83">IF(ROWS($AN$2:$AN82)&lt;=$AN$2,INDEX($F$3:$F$3000,_xlfn.AGGREGATE(15,3,($B$3:$B$3000=$AM$2)/($B$3:$B$3000=$AM$2)*(ROW($B$3:$B$3000)-ROW($B$2)),ROWS($AN$2:$AN82))),"")</f>
        <v/>
      </c>
      <c r="AO83" s="135" t="str" cm="1">
        <f t="array" ref="AO83">IF(ROWS($AN$2:$AN82)&lt;=$AN$2,INDEX($G$3:$G$3000,_xlfn.AGGREGATE(15,3,($B$3:$B$3000=$AM$2)/($B$3:$B$3000=$AM$2)*(ROW($B$3:$B$3000)-ROW($B$2)),ROWS($AN$2:$AN82))),"")</f>
        <v/>
      </c>
      <c r="AP83" s="121"/>
      <c r="AT83" s="111"/>
      <c r="AV83" s="133" t="str" cm="1">
        <f t="array" ref="AV83">IF(ROWS($AW$2:$AW82)&lt;=$AW$2,INDEX($AM$3:$AM$792,_xlfn.AGGREGATE(15,3,($AM$3:$AM$792='Planning Template'!$F$45)/($AM$3:$AM$792='Planning Template'!$F$45)*(ROW($AM$3:$AM$792)-ROW($AM$2)),ROWS($AW$2:$AW82))),"")</f>
        <v/>
      </c>
      <c r="AW83" s="134" t="str" cm="1">
        <f t="array" ref="AW83">IF(ROWS($AU$3:$AU83)&lt;=$AW$2,INDEX($AN$3:$AN$792,_xlfn.AGGREGATE(15,3,($AM$3:$AM$792='Planning Template'!$F$45)/($AM$3:$AM$792='Planning Template'!$F$45)*(ROW($AM$3:$AM$792)-ROW($AM$2)),ROWS($AU$3:$AU83))),"")</f>
        <v/>
      </c>
      <c r="AX83" s="135" t="str">
        <f>IF(AW83="","",SUMIFS(TableSSDPeopleGroups[Population], TableSSDPeopleGroups[Ctry],'Planning Template'!$F$30,TableSSDPeopleGroups[PrimaryReligion],'Planning Template'!$F$301,TableSSDPeopleGroups[PeopleCluster],'Planning Template'!$F$45,TableSSDPeopleGroups[PeopNameInCountry],$AW83))</f>
        <v/>
      </c>
      <c r="AY83" s="234" t="str">
        <f t="shared" si="8"/>
        <v/>
      </c>
    </row>
    <row r="84" spans="1:51" s="110" customFormat="1" ht="20" customHeight="1">
      <c r="A84" s="125" t="s">
        <v>483</v>
      </c>
      <c r="B84" s="126" t="s">
        <v>55</v>
      </c>
      <c r="C84" s="127">
        <v>11366</v>
      </c>
      <c r="D84" s="163">
        <v>102183</v>
      </c>
      <c r="E84" s="164" t="s">
        <v>2546</v>
      </c>
      <c r="F84" s="164" t="s">
        <v>2546</v>
      </c>
      <c r="G84" s="165">
        <v>1600</v>
      </c>
      <c r="H84" s="165">
        <v>1</v>
      </c>
      <c r="I84" s="164" t="s">
        <v>187</v>
      </c>
      <c r="J84" s="164" t="s">
        <v>2547</v>
      </c>
      <c r="K84" s="164" t="s">
        <v>2546</v>
      </c>
      <c r="L84" s="165">
        <v>0</v>
      </c>
      <c r="M84" s="165">
        <v>2</v>
      </c>
      <c r="N84" s="164" t="s">
        <v>1718</v>
      </c>
      <c r="O84" s="165">
        <v>1</v>
      </c>
      <c r="P84" s="165">
        <v>0.3</v>
      </c>
      <c r="Q84" s="165">
        <v>20</v>
      </c>
      <c r="R84" s="164" t="s">
        <v>574</v>
      </c>
      <c r="S84" s="164" t="s">
        <v>575</v>
      </c>
      <c r="T84" s="165">
        <v>239</v>
      </c>
      <c r="U84" s="164" t="s">
        <v>1618</v>
      </c>
      <c r="V84" s="164" t="s">
        <v>1619</v>
      </c>
      <c r="W84" s="165">
        <v>2</v>
      </c>
      <c r="X84" s="165">
        <v>2</v>
      </c>
      <c r="Y84" s="164" t="s">
        <v>194</v>
      </c>
      <c r="Z84" s="164" t="s">
        <v>195</v>
      </c>
      <c r="AA84" s="164" t="s">
        <v>196</v>
      </c>
      <c r="AB84" s="164" t="s">
        <v>187</v>
      </c>
      <c r="AC84" s="164" t="s">
        <v>209</v>
      </c>
      <c r="AD84" s="165">
        <v>1</v>
      </c>
      <c r="AE84" s="164" t="s">
        <v>209</v>
      </c>
      <c r="AF84" s="165">
        <v>12.21285</v>
      </c>
      <c r="AG84" s="166">
        <v>102.84303</v>
      </c>
      <c r="AI84" s="133">
        <f t="shared" si="6"/>
        <v>2</v>
      </c>
      <c r="AJ84" s="134" t="str">
        <v>South Asia Hindu - Kunbi</v>
      </c>
      <c r="AK84" s="135">
        <f t="shared" si="7"/>
        <v>12500</v>
      </c>
      <c r="AM84" s="133" t="str" cm="1">
        <f t="array" ref="AM84">IF(ROWS($AN$2:$AN83)&lt;=$AN$2,INDEX($V$3:$V$3000,_xlfn.AGGREGATE(15,3,($B$3:$B$3000=$AM$2)/($B$3:$B$3000=$AM$2)*(ROW($B$3:$B$3000)-ROW($B$2)),ROWS($AN$2:$AN83))),"")</f>
        <v/>
      </c>
      <c r="AN84" s="134" t="str" cm="1">
        <f t="array" ref="AN84">IF(ROWS($AN$2:$AN83)&lt;=$AN$2,INDEX($F$3:$F$3000,_xlfn.AGGREGATE(15,3,($B$3:$B$3000=$AM$2)/($B$3:$B$3000=$AM$2)*(ROW($B$3:$B$3000)-ROW($B$2)),ROWS($AN$2:$AN83))),"")</f>
        <v/>
      </c>
      <c r="AO84" s="135" t="str" cm="1">
        <f t="array" ref="AO84">IF(ROWS($AN$2:$AN83)&lt;=$AN$2,INDEX($G$3:$G$3000,_xlfn.AGGREGATE(15,3,($B$3:$B$3000=$AM$2)/($B$3:$B$3000=$AM$2)*(ROW($B$3:$B$3000)-ROW($B$2)),ROWS($AN$2:$AN83))),"")</f>
        <v/>
      </c>
      <c r="AP84" s="121"/>
      <c r="AT84" s="111"/>
      <c r="AV84" s="133" t="str" cm="1">
        <f t="array" ref="AV84">IF(ROWS($AW$2:$AW83)&lt;=$AW$2,INDEX($AM$3:$AM$792,_xlfn.AGGREGATE(15,3,($AM$3:$AM$792='Planning Template'!$F$45)/($AM$3:$AM$792='Planning Template'!$F$45)*(ROW($AM$3:$AM$792)-ROW($AM$2)),ROWS($AW$2:$AW83))),"")</f>
        <v/>
      </c>
      <c r="AW84" s="134" t="str" cm="1">
        <f t="array" ref="AW84">IF(ROWS($AU$3:$AU84)&lt;=$AW$2,INDEX($AN$3:$AN$792,_xlfn.AGGREGATE(15,3,($AM$3:$AM$792='Planning Template'!$F$45)/($AM$3:$AM$792='Planning Template'!$F$45)*(ROW($AM$3:$AM$792)-ROW($AM$2)),ROWS($AU$3:$AU84))),"")</f>
        <v/>
      </c>
      <c r="AX84" s="135" t="str">
        <f>IF(AW84="","",SUMIFS(TableSSDPeopleGroups[Population], TableSSDPeopleGroups[Ctry],'Planning Template'!$F$30,TableSSDPeopleGroups[PrimaryReligion],'Planning Template'!$F$301,TableSSDPeopleGroups[PeopleCluster],'Planning Template'!$F$45,TableSSDPeopleGroups[PeopNameInCountry],$AW84))</f>
        <v/>
      </c>
      <c r="AY84" s="234" t="str">
        <f t="shared" si="8"/>
        <v/>
      </c>
    </row>
    <row r="85" spans="1:51" s="110" customFormat="1" ht="20" customHeight="1">
      <c r="A85" s="125" t="s">
        <v>471</v>
      </c>
      <c r="B85" s="126" t="s">
        <v>65</v>
      </c>
      <c r="C85" s="127">
        <v>14966</v>
      </c>
      <c r="D85" s="163">
        <v>109364</v>
      </c>
      <c r="E85" s="164" t="s">
        <v>4528</v>
      </c>
      <c r="F85" s="164" t="s">
        <v>4528</v>
      </c>
      <c r="G85" s="165">
        <v>84000</v>
      </c>
      <c r="H85" s="165">
        <v>1</v>
      </c>
      <c r="I85" s="164" t="s">
        <v>187</v>
      </c>
      <c r="J85" s="164" t="s">
        <v>4529</v>
      </c>
      <c r="K85" s="164" t="s">
        <v>4528</v>
      </c>
      <c r="L85" s="165">
        <v>3</v>
      </c>
      <c r="M85" s="165">
        <v>2</v>
      </c>
      <c r="N85" s="164" t="s">
        <v>1718</v>
      </c>
      <c r="O85" s="165">
        <v>1.4</v>
      </c>
      <c r="P85" s="165">
        <v>1</v>
      </c>
      <c r="Q85" s="165">
        <v>20</v>
      </c>
      <c r="R85" s="164" t="s">
        <v>574</v>
      </c>
      <c r="S85" s="164" t="s">
        <v>575</v>
      </c>
      <c r="T85" s="165">
        <v>239</v>
      </c>
      <c r="U85" s="164" t="s">
        <v>1618</v>
      </c>
      <c r="V85" s="164" t="s">
        <v>1619</v>
      </c>
      <c r="W85" s="165">
        <v>2</v>
      </c>
      <c r="X85" s="165">
        <v>2</v>
      </c>
      <c r="Y85" s="164" t="s">
        <v>194</v>
      </c>
      <c r="Z85" s="164" t="s">
        <v>195</v>
      </c>
      <c r="AA85" s="164" t="s">
        <v>196</v>
      </c>
      <c r="AB85" s="164" t="s">
        <v>187</v>
      </c>
      <c r="AC85" s="164" t="s">
        <v>187</v>
      </c>
      <c r="AD85" s="165">
        <v>2</v>
      </c>
      <c r="AE85" s="164" t="s">
        <v>209</v>
      </c>
      <c r="AF85" s="165">
        <v>17.016209999591801</v>
      </c>
      <c r="AG85" s="166">
        <v>105.427040000396</v>
      </c>
      <c r="AI85" s="133">
        <f t="shared" si="6"/>
        <v>1</v>
      </c>
      <c r="AJ85" s="134" t="str">
        <v>South Asia Hindu - Kurmi</v>
      </c>
      <c r="AK85" s="135">
        <f t="shared" si="7"/>
        <v>71000</v>
      </c>
      <c r="AM85" s="133" t="str" cm="1">
        <f t="array" ref="AM85">IF(ROWS($AN$2:$AN84)&lt;=$AN$2,INDEX($V$3:$V$3000,_xlfn.AGGREGATE(15,3,($B$3:$B$3000=$AM$2)/($B$3:$B$3000=$AM$2)*(ROW($B$3:$B$3000)-ROW($B$2)),ROWS($AN$2:$AN84))),"")</f>
        <v/>
      </c>
      <c r="AN85" s="134" t="str" cm="1">
        <f t="array" ref="AN85">IF(ROWS($AN$2:$AN84)&lt;=$AN$2,INDEX($F$3:$F$3000,_xlfn.AGGREGATE(15,3,($B$3:$B$3000=$AM$2)/($B$3:$B$3000=$AM$2)*(ROW($B$3:$B$3000)-ROW($B$2)),ROWS($AN$2:$AN84))),"")</f>
        <v/>
      </c>
      <c r="AO85" s="135" t="str" cm="1">
        <f t="array" ref="AO85">IF(ROWS($AN$2:$AN84)&lt;=$AN$2,INDEX($G$3:$G$3000,_xlfn.AGGREGATE(15,3,($B$3:$B$3000=$AM$2)/($B$3:$B$3000=$AM$2)*(ROW($B$3:$B$3000)-ROW($B$2)),ROWS($AN$2:$AN84))),"")</f>
        <v/>
      </c>
      <c r="AP85" s="121"/>
      <c r="AT85" s="111"/>
      <c r="AV85" s="133" t="str" cm="1">
        <f t="array" ref="AV85">IF(ROWS($AW$2:$AW84)&lt;=$AW$2,INDEX($AM$3:$AM$792,_xlfn.AGGREGATE(15,3,($AM$3:$AM$792='Planning Template'!$F$45)/($AM$3:$AM$792='Planning Template'!$F$45)*(ROW($AM$3:$AM$792)-ROW($AM$2)),ROWS($AW$2:$AW84))),"")</f>
        <v/>
      </c>
      <c r="AW85" s="134" t="str" cm="1">
        <f t="array" ref="AW85">IF(ROWS($AU$3:$AU85)&lt;=$AW$2,INDEX($AN$3:$AN$792,_xlfn.AGGREGATE(15,3,($AM$3:$AM$792='Planning Template'!$F$45)/($AM$3:$AM$792='Planning Template'!$F$45)*(ROW($AM$3:$AM$792)-ROW($AM$2)),ROWS($AU$3:$AU85))),"")</f>
        <v/>
      </c>
      <c r="AX85" s="135" t="str">
        <f>IF(AW85="","",SUMIFS(TableSSDPeopleGroups[Population], TableSSDPeopleGroups[Ctry],'Planning Template'!$F$30,TableSSDPeopleGroups[PrimaryReligion],'Planning Template'!$F$301,TableSSDPeopleGroups[PeopleCluster],'Planning Template'!$F$45,TableSSDPeopleGroups[PeopNameInCountry],$AW85))</f>
        <v/>
      </c>
      <c r="AY85" s="234" t="str">
        <f t="shared" si="8"/>
        <v/>
      </c>
    </row>
    <row r="86" spans="1:51" s="110" customFormat="1" ht="20" customHeight="1">
      <c r="A86" s="125" t="s">
        <v>471</v>
      </c>
      <c r="B86" s="126" t="s">
        <v>65</v>
      </c>
      <c r="C86" s="127">
        <v>19055</v>
      </c>
      <c r="D86" s="163">
        <v>105352</v>
      </c>
      <c r="E86" s="164" t="s">
        <v>2840</v>
      </c>
      <c r="F86" s="164" t="s">
        <v>2840</v>
      </c>
      <c r="G86" s="165">
        <v>47000</v>
      </c>
      <c r="H86" s="165">
        <v>1</v>
      </c>
      <c r="I86" s="164" t="s">
        <v>187</v>
      </c>
      <c r="J86" s="164" t="s">
        <v>4271</v>
      </c>
      <c r="K86" s="164" t="s">
        <v>4272</v>
      </c>
      <c r="L86" s="165">
        <v>5</v>
      </c>
      <c r="M86" s="165">
        <v>2</v>
      </c>
      <c r="N86" s="164" t="s">
        <v>1718</v>
      </c>
      <c r="O86" s="165">
        <v>1</v>
      </c>
      <c r="P86" s="165">
        <v>0.9</v>
      </c>
      <c r="Q86" s="165">
        <v>20</v>
      </c>
      <c r="R86" s="164" t="s">
        <v>574</v>
      </c>
      <c r="S86" s="164" t="s">
        <v>575</v>
      </c>
      <c r="T86" s="165">
        <v>239</v>
      </c>
      <c r="U86" s="164" t="s">
        <v>1618</v>
      </c>
      <c r="V86" s="164" t="s">
        <v>1619</v>
      </c>
      <c r="W86" s="165">
        <v>3</v>
      </c>
      <c r="X86" s="165">
        <v>2</v>
      </c>
      <c r="Y86" s="164" t="s">
        <v>194</v>
      </c>
      <c r="Z86" s="164" t="s">
        <v>195</v>
      </c>
      <c r="AA86" s="164" t="s">
        <v>196</v>
      </c>
      <c r="AB86" s="164" t="s">
        <v>187</v>
      </c>
      <c r="AC86" s="164" t="s">
        <v>187</v>
      </c>
      <c r="AD86" s="165">
        <v>1</v>
      </c>
      <c r="AE86" s="164" t="s">
        <v>209</v>
      </c>
      <c r="AF86" s="165">
        <v>15.955399999999999</v>
      </c>
      <c r="AG86" s="166">
        <v>105.96187999999999</v>
      </c>
      <c r="AI86" s="133">
        <f t="shared" si="6"/>
        <v>2</v>
      </c>
      <c r="AJ86" s="134" t="str">
        <v>South Asia Hindu - Mahishya</v>
      </c>
      <c r="AK86" s="135">
        <f t="shared" si="7"/>
        <v>688600</v>
      </c>
      <c r="AM86" s="133" t="str" cm="1">
        <f t="array" ref="AM86">IF(ROWS($AN$2:$AN85)&lt;=$AN$2,INDEX($V$3:$V$3000,_xlfn.AGGREGATE(15,3,($B$3:$B$3000=$AM$2)/($B$3:$B$3000=$AM$2)*(ROW($B$3:$B$3000)-ROW($B$2)),ROWS($AN$2:$AN85))),"")</f>
        <v/>
      </c>
      <c r="AN86" s="134" t="str" cm="1">
        <f t="array" ref="AN86">IF(ROWS($AN$2:$AN85)&lt;=$AN$2,INDEX($F$3:$F$3000,_xlfn.AGGREGATE(15,3,($B$3:$B$3000=$AM$2)/($B$3:$B$3000=$AM$2)*(ROW($B$3:$B$3000)-ROW($B$2)),ROWS($AN$2:$AN85))),"")</f>
        <v/>
      </c>
      <c r="AO86" s="135" t="str" cm="1">
        <f t="array" ref="AO86">IF(ROWS($AN$2:$AN85)&lt;=$AN$2,INDEX($G$3:$G$3000,_xlfn.AGGREGATE(15,3,($B$3:$B$3000=$AM$2)/($B$3:$B$3000=$AM$2)*(ROW($B$3:$B$3000)-ROW($B$2)),ROWS($AN$2:$AN85))),"")</f>
        <v/>
      </c>
      <c r="AP86" s="121"/>
      <c r="AT86" s="111"/>
      <c r="AV86" s="133" t="str" cm="1">
        <f t="array" ref="AV86">IF(ROWS($AW$2:$AW85)&lt;=$AW$2,INDEX($AM$3:$AM$792,_xlfn.AGGREGATE(15,3,($AM$3:$AM$792='Planning Template'!$F$45)/($AM$3:$AM$792='Planning Template'!$F$45)*(ROW($AM$3:$AM$792)-ROW($AM$2)),ROWS($AW$2:$AW85))),"")</f>
        <v/>
      </c>
      <c r="AW86" s="134" t="str" cm="1">
        <f t="array" ref="AW86">IF(ROWS($AU$3:$AU86)&lt;=$AW$2,INDEX($AN$3:$AN$792,_xlfn.AGGREGATE(15,3,($AM$3:$AM$792='Planning Template'!$F$45)/($AM$3:$AM$792='Planning Template'!$F$45)*(ROW($AM$3:$AM$792)-ROW($AM$2)),ROWS($AU$3:$AU86))),"")</f>
        <v/>
      </c>
      <c r="AX86" s="135" t="str">
        <f>IF(AW86="","",SUMIFS(TableSSDPeopleGroups[Population], TableSSDPeopleGroups[Ctry],'Planning Template'!$F$30,TableSSDPeopleGroups[PrimaryReligion],'Planning Template'!$F$301,TableSSDPeopleGroups[PeopleCluster],'Planning Template'!$F$45,TableSSDPeopleGroups[PeopNameInCountry],$AW86))</f>
        <v/>
      </c>
      <c r="AY86" s="234" t="str">
        <f t="shared" si="8"/>
        <v/>
      </c>
    </row>
    <row r="87" spans="1:51" s="110" customFormat="1" ht="20" customHeight="1">
      <c r="A87" s="125" t="s">
        <v>471</v>
      </c>
      <c r="B87" s="126" t="s">
        <v>65</v>
      </c>
      <c r="C87" s="127">
        <v>12490</v>
      </c>
      <c r="D87" s="163">
        <v>104572</v>
      </c>
      <c r="E87" s="164" t="s">
        <v>1701</v>
      </c>
      <c r="F87" s="164" t="s">
        <v>1701</v>
      </c>
      <c r="G87" s="165">
        <v>25000</v>
      </c>
      <c r="H87" s="165">
        <v>1</v>
      </c>
      <c r="I87" s="164" t="s">
        <v>187</v>
      </c>
      <c r="J87" s="164" t="s">
        <v>4152</v>
      </c>
      <c r="K87" s="164" t="s">
        <v>4153</v>
      </c>
      <c r="L87" s="165">
        <v>1</v>
      </c>
      <c r="M87" s="165">
        <v>2</v>
      </c>
      <c r="N87" s="164" t="s">
        <v>1718</v>
      </c>
      <c r="O87" s="165">
        <v>0</v>
      </c>
      <c r="P87" s="165">
        <v>0</v>
      </c>
      <c r="Q87" s="165">
        <v>20</v>
      </c>
      <c r="R87" s="164" t="s">
        <v>574</v>
      </c>
      <c r="S87" s="164" t="s">
        <v>575</v>
      </c>
      <c r="T87" s="165">
        <v>239</v>
      </c>
      <c r="U87" s="164" t="s">
        <v>1618</v>
      </c>
      <c r="V87" s="164" t="s">
        <v>1619</v>
      </c>
      <c r="W87" s="165">
        <v>2</v>
      </c>
      <c r="X87" s="165">
        <v>2</v>
      </c>
      <c r="Y87" s="164" t="s">
        <v>194</v>
      </c>
      <c r="Z87" s="164" t="s">
        <v>195</v>
      </c>
      <c r="AA87" s="164" t="s">
        <v>196</v>
      </c>
      <c r="AB87" s="164" t="s">
        <v>187</v>
      </c>
      <c r="AC87" s="164" t="s">
        <v>187</v>
      </c>
      <c r="AD87" s="165">
        <v>1</v>
      </c>
      <c r="AE87" s="164" t="s">
        <v>187</v>
      </c>
      <c r="AF87" s="165">
        <v>21.441659999999999</v>
      </c>
      <c r="AG87" s="166">
        <v>101.91887</v>
      </c>
      <c r="AI87" s="133">
        <f t="shared" si="6"/>
        <v>2</v>
      </c>
      <c r="AJ87" s="134" t="str">
        <v>South Asia Hindu - Mahratta</v>
      </c>
      <c r="AK87" s="135">
        <f t="shared" si="7"/>
        <v>20900</v>
      </c>
      <c r="AM87" s="133" t="str" cm="1">
        <f t="array" ref="AM87">IF(ROWS($AN$2:$AN86)&lt;=$AN$2,INDEX($V$3:$V$3000,_xlfn.AGGREGATE(15,3,($B$3:$B$3000=$AM$2)/($B$3:$B$3000=$AM$2)*(ROW($B$3:$B$3000)-ROW($B$2)),ROWS($AN$2:$AN86))),"")</f>
        <v/>
      </c>
      <c r="AN87" s="134" t="str" cm="1">
        <f t="array" ref="AN87">IF(ROWS($AN$2:$AN86)&lt;=$AN$2,INDEX($F$3:$F$3000,_xlfn.AGGREGATE(15,3,($B$3:$B$3000=$AM$2)/($B$3:$B$3000=$AM$2)*(ROW($B$3:$B$3000)-ROW($B$2)),ROWS($AN$2:$AN86))),"")</f>
        <v/>
      </c>
      <c r="AO87" s="135" t="str" cm="1">
        <f t="array" ref="AO87">IF(ROWS($AN$2:$AN86)&lt;=$AN$2,INDEX($G$3:$G$3000,_xlfn.AGGREGATE(15,3,($B$3:$B$3000=$AM$2)/($B$3:$B$3000=$AM$2)*(ROW($B$3:$B$3000)-ROW($B$2)),ROWS($AN$2:$AN86))),"")</f>
        <v/>
      </c>
      <c r="AP87" s="121"/>
      <c r="AT87" s="111"/>
      <c r="AV87" s="133" t="str" cm="1">
        <f t="array" ref="AV87">IF(ROWS($AW$2:$AW86)&lt;=$AW$2,INDEX($AM$3:$AM$792,_xlfn.AGGREGATE(15,3,($AM$3:$AM$792='Planning Template'!$F$45)/($AM$3:$AM$792='Planning Template'!$F$45)*(ROW($AM$3:$AM$792)-ROW($AM$2)),ROWS($AW$2:$AW86))),"")</f>
        <v/>
      </c>
      <c r="AW87" s="134" t="str" cm="1">
        <f t="array" ref="AW87">IF(ROWS($AU$3:$AU87)&lt;=$AW$2,INDEX($AN$3:$AN$792,_xlfn.AGGREGATE(15,3,($AM$3:$AM$792='Planning Template'!$F$45)/($AM$3:$AM$792='Planning Template'!$F$45)*(ROW($AM$3:$AM$792)-ROW($AM$2)),ROWS($AU$3:$AU87))),"")</f>
        <v/>
      </c>
      <c r="AX87" s="135" t="str">
        <f>IF(AW87="","",SUMIFS(TableSSDPeopleGroups[Population], TableSSDPeopleGroups[Ctry],'Planning Template'!$F$30,TableSSDPeopleGroups[PrimaryReligion],'Planning Template'!$F$301,TableSSDPeopleGroups[PeopleCluster],'Planning Template'!$F$45,TableSSDPeopleGroups[PeopNameInCountry],$AW87))</f>
        <v/>
      </c>
      <c r="AY87" s="234" t="str">
        <f t="shared" si="8"/>
        <v/>
      </c>
    </row>
    <row r="88" spans="1:51" s="110" customFormat="1" ht="20" customHeight="1">
      <c r="A88" s="125" t="s">
        <v>471</v>
      </c>
      <c r="B88" s="126" t="s">
        <v>65</v>
      </c>
      <c r="C88" s="127">
        <v>14238</v>
      </c>
      <c r="D88" s="163">
        <v>107716</v>
      </c>
      <c r="E88" s="164" t="s">
        <v>3534</v>
      </c>
      <c r="F88" s="164" t="s">
        <v>3534</v>
      </c>
      <c r="G88" s="165">
        <v>24000</v>
      </c>
      <c r="H88" s="165">
        <v>1</v>
      </c>
      <c r="I88" s="164" t="s">
        <v>187</v>
      </c>
      <c r="J88" s="164" t="s">
        <v>3533</v>
      </c>
      <c r="K88" s="164" t="s">
        <v>3534</v>
      </c>
      <c r="L88" s="165">
        <v>0</v>
      </c>
      <c r="M88" s="165">
        <v>2</v>
      </c>
      <c r="N88" s="164" t="s">
        <v>1718</v>
      </c>
      <c r="O88" s="165">
        <v>1</v>
      </c>
      <c r="P88" s="165">
        <v>0.8</v>
      </c>
      <c r="Q88" s="165">
        <v>20</v>
      </c>
      <c r="R88" s="164" t="s">
        <v>574</v>
      </c>
      <c r="S88" s="164" t="s">
        <v>575</v>
      </c>
      <c r="T88" s="165">
        <v>239</v>
      </c>
      <c r="U88" s="164" t="s">
        <v>1618</v>
      </c>
      <c r="V88" s="164" t="s">
        <v>1619</v>
      </c>
      <c r="W88" s="165">
        <v>1</v>
      </c>
      <c r="X88" s="165">
        <v>2</v>
      </c>
      <c r="Y88" s="164" t="s">
        <v>194</v>
      </c>
      <c r="Z88" s="164" t="s">
        <v>195</v>
      </c>
      <c r="AA88" s="164" t="s">
        <v>196</v>
      </c>
      <c r="AB88" s="164" t="s">
        <v>187</v>
      </c>
      <c r="AC88" s="164" t="s">
        <v>187</v>
      </c>
      <c r="AD88" s="165">
        <v>1</v>
      </c>
      <c r="AE88" s="164" t="s">
        <v>209</v>
      </c>
      <c r="AF88" s="165">
        <v>15.35853</v>
      </c>
      <c r="AG88" s="166">
        <v>106.65157000000001</v>
      </c>
      <c r="AI88" s="133">
        <f t="shared" si="6"/>
        <v>2</v>
      </c>
      <c r="AJ88" s="134" t="str">
        <v>South Asia Hindu - Mali</v>
      </c>
      <c r="AK88" s="135">
        <f t="shared" si="7"/>
        <v>132800</v>
      </c>
      <c r="AM88" s="133" t="str" cm="1">
        <f t="array" ref="AM88">IF(ROWS($AN$2:$AN87)&lt;=$AN$2,INDEX($V$3:$V$3000,_xlfn.AGGREGATE(15,3,($B$3:$B$3000=$AM$2)/($B$3:$B$3000=$AM$2)*(ROW($B$3:$B$3000)-ROW($B$2)),ROWS($AN$2:$AN87))),"")</f>
        <v/>
      </c>
      <c r="AN88" s="134" t="str" cm="1">
        <f t="array" ref="AN88">IF(ROWS($AN$2:$AN87)&lt;=$AN$2,INDEX($F$3:$F$3000,_xlfn.AGGREGATE(15,3,($B$3:$B$3000=$AM$2)/($B$3:$B$3000=$AM$2)*(ROW($B$3:$B$3000)-ROW($B$2)),ROWS($AN$2:$AN87))),"")</f>
        <v/>
      </c>
      <c r="AO88" s="135" t="str" cm="1">
        <f t="array" ref="AO88">IF(ROWS($AN$2:$AN87)&lt;=$AN$2,INDEX($G$3:$G$3000,_xlfn.AGGREGATE(15,3,($B$3:$B$3000=$AM$2)/($B$3:$B$3000=$AM$2)*(ROW($B$3:$B$3000)-ROW($B$2)),ROWS($AN$2:$AN87))),"")</f>
        <v/>
      </c>
      <c r="AP88" s="121"/>
      <c r="AT88" s="111"/>
      <c r="AV88" s="133" t="str" cm="1">
        <f t="array" ref="AV88">IF(ROWS($AW$2:$AW87)&lt;=$AW$2,INDEX($AM$3:$AM$792,_xlfn.AGGREGATE(15,3,($AM$3:$AM$792='Planning Template'!$F$45)/($AM$3:$AM$792='Planning Template'!$F$45)*(ROW($AM$3:$AM$792)-ROW($AM$2)),ROWS($AW$2:$AW87))),"")</f>
        <v/>
      </c>
      <c r="AW88" s="134" t="str" cm="1">
        <f t="array" ref="AW88">IF(ROWS($AU$3:$AU88)&lt;=$AW$2,INDEX($AN$3:$AN$792,_xlfn.AGGREGATE(15,3,($AM$3:$AM$792='Planning Template'!$F$45)/($AM$3:$AM$792='Planning Template'!$F$45)*(ROW($AM$3:$AM$792)-ROW($AM$2)),ROWS($AU$3:$AU88))),"")</f>
        <v/>
      </c>
      <c r="AX88" s="135" t="str">
        <f>IF(AW88="","",SUMIFS(TableSSDPeopleGroups[Population], TableSSDPeopleGroups[Ctry],'Planning Template'!$F$30,TableSSDPeopleGroups[PrimaryReligion],'Planning Template'!$F$301,TableSSDPeopleGroups[PeopleCluster],'Planning Template'!$F$45,TableSSDPeopleGroups[PeopNameInCountry],$AW88))</f>
        <v/>
      </c>
      <c r="AY88" s="234" t="str">
        <f t="shared" si="8"/>
        <v/>
      </c>
    </row>
    <row r="89" spans="1:51" s="110" customFormat="1" ht="20" customHeight="1">
      <c r="A89" s="125" t="s">
        <v>471</v>
      </c>
      <c r="B89" s="126" t="s">
        <v>65</v>
      </c>
      <c r="C89" s="127">
        <v>19157</v>
      </c>
      <c r="D89" s="163">
        <v>115229</v>
      </c>
      <c r="E89" s="164" t="s">
        <v>3756</v>
      </c>
      <c r="F89" s="164" t="s">
        <v>3757</v>
      </c>
      <c r="G89" s="165">
        <v>12000</v>
      </c>
      <c r="H89" s="165">
        <v>1</v>
      </c>
      <c r="I89" s="164" t="s">
        <v>187</v>
      </c>
      <c r="J89" s="164" t="s">
        <v>3758</v>
      </c>
      <c r="K89" s="164" t="s">
        <v>3757</v>
      </c>
      <c r="L89" s="165">
        <v>1</v>
      </c>
      <c r="M89" s="165">
        <v>2</v>
      </c>
      <c r="N89" s="164" t="s">
        <v>1718</v>
      </c>
      <c r="O89" s="165">
        <v>1.5</v>
      </c>
      <c r="P89" s="165">
        <v>1</v>
      </c>
      <c r="Q89" s="165">
        <v>20</v>
      </c>
      <c r="R89" s="164" t="s">
        <v>574</v>
      </c>
      <c r="S89" s="164" t="s">
        <v>575</v>
      </c>
      <c r="T89" s="165">
        <v>239</v>
      </c>
      <c r="U89" s="164" t="s">
        <v>1618</v>
      </c>
      <c r="V89" s="164" t="s">
        <v>1619</v>
      </c>
      <c r="W89" s="165">
        <v>3</v>
      </c>
      <c r="X89" s="165">
        <v>2</v>
      </c>
      <c r="Y89" s="164" t="s">
        <v>194</v>
      </c>
      <c r="Z89" s="164" t="s">
        <v>195</v>
      </c>
      <c r="AA89" s="164" t="s">
        <v>196</v>
      </c>
      <c r="AB89" s="164" t="s">
        <v>187</v>
      </c>
      <c r="AC89" s="164" t="s">
        <v>187</v>
      </c>
      <c r="AD89" s="165">
        <v>1</v>
      </c>
      <c r="AE89" s="164" t="s">
        <v>209</v>
      </c>
      <c r="AF89" s="165">
        <v>20.837959999999999</v>
      </c>
      <c r="AG89" s="166">
        <v>101.30578</v>
      </c>
      <c r="AI89" s="133">
        <f t="shared" si="6"/>
        <v>3</v>
      </c>
      <c r="AJ89" s="134" t="str">
        <v>South Asia Hindu - Nai</v>
      </c>
      <c r="AK89" s="135">
        <f t="shared" si="7"/>
        <v>48000</v>
      </c>
      <c r="AM89" s="133" t="str" cm="1">
        <f t="array" ref="AM89">IF(ROWS($AN$2:$AN88)&lt;=$AN$2,INDEX($V$3:$V$3000,_xlfn.AGGREGATE(15,3,($B$3:$B$3000=$AM$2)/($B$3:$B$3000=$AM$2)*(ROW($B$3:$B$3000)-ROW($B$2)),ROWS($AN$2:$AN88))),"")</f>
        <v/>
      </c>
      <c r="AN89" s="134" t="str" cm="1">
        <f t="array" ref="AN89">IF(ROWS($AN$2:$AN88)&lt;=$AN$2,INDEX($F$3:$F$3000,_xlfn.AGGREGATE(15,3,($B$3:$B$3000=$AM$2)/($B$3:$B$3000=$AM$2)*(ROW($B$3:$B$3000)-ROW($B$2)),ROWS($AN$2:$AN88))),"")</f>
        <v/>
      </c>
      <c r="AO89" s="135" t="str" cm="1">
        <f t="array" ref="AO89">IF(ROWS($AN$2:$AN88)&lt;=$AN$2,INDEX($G$3:$G$3000,_xlfn.AGGREGATE(15,3,($B$3:$B$3000=$AM$2)/($B$3:$B$3000=$AM$2)*(ROW($B$3:$B$3000)-ROW($B$2)),ROWS($AN$2:$AN88))),"")</f>
        <v/>
      </c>
      <c r="AP89" s="121"/>
      <c r="AT89" s="111"/>
      <c r="AV89" s="133" t="str" cm="1">
        <f t="array" ref="AV89">IF(ROWS($AW$2:$AW88)&lt;=$AW$2,INDEX($AM$3:$AM$792,_xlfn.AGGREGATE(15,3,($AM$3:$AM$792='Planning Template'!$F$45)/($AM$3:$AM$792='Planning Template'!$F$45)*(ROW($AM$3:$AM$792)-ROW($AM$2)),ROWS($AW$2:$AW88))),"")</f>
        <v/>
      </c>
      <c r="AW89" s="134" t="str" cm="1">
        <f t="array" ref="AW89">IF(ROWS($AU$3:$AU89)&lt;=$AW$2,INDEX($AN$3:$AN$792,_xlfn.AGGREGATE(15,3,($AM$3:$AM$792='Planning Template'!$F$45)/($AM$3:$AM$792='Planning Template'!$F$45)*(ROW($AM$3:$AM$792)-ROW($AM$2)),ROWS($AU$3:$AU89))),"")</f>
        <v/>
      </c>
      <c r="AX89" s="135" t="str">
        <f>IF(AW89="","",SUMIFS(TableSSDPeopleGroups[Population], TableSSDPeopleGroups[Ctry],'Planning Template'!$F$30,TableSSDPeopleGroups[PrimaryReligion],'Planning Template'!$F$301,TableSSDPeopleGroups[PeopleCluster],'Planning Template'!$F$45,TableSSDPeopleGroups[PeopNameInCountry],$AW89))</f>
        <v/>
      </c>
      <c r="AY89" s="234" t="str">
        <f t="shared" si="8"/>
        <v/>
      </c>
    </row>
    <row r="90" spans="1:51" s="110" customFormat="1" ht="20" customHeight="1">
      <c r="A90" s="125" t="s">
        <v>471</v>
      </c>
      <c r="B90" s="126" t="s">
        <v>65</v>
      </c>
      <c r="C90" s="127">
        <v>12662</v>
      </c>
      <c r="D90" s="163">
        <v>104946</v>
      </c>
      <c r="E90" s="164" t="s">
        <v>1751</v>
      </c>
      <c r="F90" s="164" t="s">
        <v>1751</v>
      </c>
      <c r="G90" s="165">
        <v>7200</v>
      </c>
      <c r="H90" s="165">
        <v>1</v>
      </c>
      <c r="I90" s="164" t="s">
        <v>187</v>
      </c>
      <c r="J90" s="164" t="s">
        <v>1750</v>
      </c>
      <c r="K90" s="164" t="s">
        <v>1751</v>
      </c>
      <c r="L90" s="165">
        <v>5</v>
      </c>
      <c r="M90" s="165">
        <v>2</v>
      </c>
      <c r="N90" s="164" t="s">
        <v>1718</v>
      </c>
      <c r="O90" s="165">
        <v>3</v>
      </c>
      <c r="P90" s="165">
        <v>1.6</v>
      </c>
      <c r="Q90" s="165">
        <v>20</v>
      </c>
      <c r="R90" s="164" t="s">
        <v>574</v>
      </c>
      <c r="S90" s="164" t="s">
        <v>575</v>
      </c>
      <c r="T90" s="165">
        <v>239</v>
      </c>
      <c r="U90" s="164" t="s">
        <v>1618</v>
      </c>
      <c r="V90" s="164" t="s">
        <v>1619</v>
      </c>
      <c r="W90" s="165">
        <v>14</v>
      </c>
      <c r="X90" s="165">
        <v>2</v>
      </c>
      <c r="Y90" s="164" t="s">
        <v>194</v>
      </c>
      <c r="Z90" s="164" t="s">
        <v>195</v>
      </c>
      <c r="AA90" s="164" t="s">
        <v>196</v>
      </c>
      <c r="AB90" s="164" t="s">
        <v>187</v>
      </c>
      <c r="AC90" s="164" t="s">
        <v>209</v>
      </c>
      <c r="AD90" s="165">
        <v>1</v>
      </c>
      <c r="AE90" s="164" t="s">
        <v>209</v>
      </c>
      <c r="AF90" s="165">
        <v>14.278309999999999</v>
      </c>
      <c r="AG90" s="166">
        <v>105.49697999999999</v>
      </c>
      <c r="AI90" s="133">
        <f t="shared" si="6"/>
        <v>174</v>
      </c>
      <c r="AJ90" s="134" t="str">
        <v>South Asia Hindu - other</v>
      </c>
      <c r="AK90" s="135">
        <f t="shared" si="7"/>
        <v>9661800</v>
      </c>
      <c r="AM90" s="133" t="str" cm="1">
        <f t="array" ref="AM90">IF(ROWS($AN$2:$AN89)&lt;=$AN$2,INDEX($V$3:$V$3000,_xlfn.AGGREGATE(15,3,($B$3:$B$3000=$AM$2)/($B$3:$B$3000=$AM$2)*(ROW($B$3:$B$3000)-ROW($B$2)),ROWS($AN$2:$AN89))),"")</f>
        <v/>
      </c>
      <c r="AN90" s="134" t="str" cm="1">
        <f t="array" ref="AN90">IF(ROWS($AN$2:$AN89)&lt;=$AN$2,INDEX($F$3:$F$3000,_xlfn.AGGREGATE(15,3,($B$3:$B$3000=$AM$2)/($B$3:$B$3000=$AM$2)*(ROW($B$3:$B$3000)-ROW($B$2)),ROWS($AN$2:$AN89))),"")</f>
        <v/>
      </c>
      <c r="AO90" s="135" t="str" cm="1">
        <f t="array" ref="AO90">IF(ROWS($AN$2:$AN89)&lt;=$AN$2,INDEX($G$3:$G$3000,_xlfn.AGGREGATE(15,3,($B$3:$B$3000=$AM$2)/($B$3:$B$3000=$AM$2)*(ROW($B$3:$B$3000)-ROW($B$2)),ROWS($AN$2:$AN89))),"")</f>
        <v/>
      </c>
      <c r="AP90" s="121"/>
      <c r="AT90" s="111"/>
      <c r="AV90" s="133" t="str" cm="1">
        <f t="array" ref="AV90">IF(ROWS($AW$2:$AW89)&lt;=$AW$2,INDEX($AM$3:$AM$792,_xlfn.AGGREGATE(15,3,($AM$3:$AM$792='Planning Template'!$F$45)/($AM$3:$AM$792='Planning Template'!$F$45)*(ROW($AM$3:$AM$792)-ROW($AM$2)),ROWS($AW$2:$AW89))),"")</f>
        <v/>
      </c>
      <c r="AW90" s="134" t="str" cm="1">
        <f t="array" ref="AW90">IF(ROWS($AU$3:$AU90)&lt;=$AW$2,INDEX($AN$3:$AN$792,_xlfn.AGGREGATE(15,3,($AM$3:$AM$792='Planning Template'!$F$45)/($AM$3:$AM$792='Planning Template'!$F$45)*(ROW($AM$3:$AM$792)-ROW($AM$2)),ROWS($AU$3:$AU90))),"")</f>
        <v/>
      </c>
      <c r="AX90" s="135" t="str">
        <f>IF(AW90="","",SUMIFS(TableSSDPeopleGroups[Population], TableSSDPeopleGroups[Ctry],'Planning Template'!$F$30,TableSSDPeopleGroups[PrimaryReligion],'Planning Template'!$F$301,TableSSDPeopleGroups[PeopleCluster],'Planning Template'!$F$45,TableSSDPeopleGroups[PeopNameInCountry],$AW90))</f>
        <v/>
      </c>
      <c r="AY90" s="234" t="str">
        <f t="shared" si="8"/>
        <v/>
      </c>
    </row>
    <row r="91" spans="1:51" s="110" customFormat="1" ht="20" customHeight="1">
      <c r="A91" s="125" t="s">
        <v>471</v>
      </c>
      <c r="B91" s="126" t="s">
        <v>65</v>
      </c>
      <c r="C91" s="127">
        <v>12706</v>
      </c>
      <c r="D91" s="163">
        <v>105025</v>
      </c>
      <c r="E91" s="164" t="s">
        <v>3131</v>
      </c>
      <c r="F91" s="164" t="s">
        <v>3131</v>
      </c>
      <c r="G91" s="165">
        <v>4700</v>
      </c>
      <c r="H91" s="165">
        <v>1</v>
      </c>
      <c r="I91" s="164" t="s">
        <v>187</v>
      </c>
      <c r="J91" s="164" t="s">
        <v>3132</v>
      </c>
      <c r="K91" s="164" t="s">
        <v>3131</v>
      </c>
      <c r="L91" s="165">
        <v>1</v>
      </c>
      <c r="M91" s="165">
        <v>2</v>
      </c>
      <c r="N91" s="164" t="s">
        <v>1718</v>
      </c>
      <c r="O91" s="165">
        <v>1</v>
      </c>
      <c r="P91" s="165">
        <v>0.6</v>
      </c>
      <c r="Q91" s="165">
        <v>20</v>
      </c>
      <c r="R91" s="164" t="s">
        <v>574</v>
      </c>
      <c r="S91" s="164" t="s">
        <v>575</v>
      </c>
      <c r="T91" s="165">
        <v>239</v>
      </c>
      <c r="U91" s="164" t="s">
        <v>1618</v>
      </c>
      <c r="V91" s="164" t="s">
        <v>1619</v>
      </c>
      <c r="W91" s="165">
        <v>1</v>
      </c>
      <c r="X91" s="165">
        <v>2</v>
      </c>
      <c r="Y91" s="164" t="s">
        <v>194</v>
      </c>
      <c r="Z91" s="164" t="s">
        <v>195</v>
      </c>
      <c r="AA91" s="164" t="s">
        <v>196</v>
      </c>
      <c r="AB91" s="164" t="s">
        <v>187</v>
      </c>
      <c r="AC91" s="164" t="s">
        <v>187</v>
      </c>
      <c r="AD91" s="165">
        <v>1</v>
      </c>
      <c r="AE91" s="164" t="s">
        <v>209</v>
      </c>
      <c r="AF91" s="165">
        <v>20.741800000000001</v>
      </c>
      <c r="AG91" s="166">
        <v>101.55716</v>
      </c>
      <c r="AI91" s="133">
        <f t="shared" si="6"/>
        <v>3</v>
      </c>
      <c r="AJ91" s="134" t="str">
        <v>South Asia Hindu - Sonar</v>
      </c>
      <c r="AK91" s="135">
        <f t="shared" si="7"/>
        <v>26000</v>
      </c>
      <c r="AM91" s="133" t="str" cm="1">
        <f t="array" ref="AM91">IF(ROWS($AN$2:$AN90)&lt;=$AN$2,INDEX($V$3:$V$3000,_xlfn.AGGREGATE(15,3,($B$3:$B$3000=$AM$2)/($B$3:$B$3000=$AM$2)*(ROW($B$3:$B$3000)-ROW($B$2)),ROWS($AN$2:$AN90))),"")</f>
        <v/>
      </c>
      <c r="AN91" s="134" t="str" cm="1">
        <f t="array" ref="AN91">IF(ROWS($AN$2:$AN90)&lt;=$AN$2,INDEX($F$3:$F$3000,_xlfn.AGGREGATE(15,3,($B$3:$B$3000=$AM$2)/($B$3:$B$3000=$AM$2)*(ROW($B$3:$B$3000)-ROW($B$2)),ROWS($AN$2:$AN90))),"")</f>
        <v/>
      </c>
      <c r="AO91" s="135" t="str" cm="1">
        <f t="array" ref="AO91">IF(ROWS($AN$2:$AN90)&lt;=$AN$2,INDEX($G$3:$G$3000,_xlfn.AGGREGATE(15,3,($B$3:$B$3000=$AM$2)/($B$3:$B$3000=$AM$2)*(ROW($B$3:$B$3000)-ROW($B$2)),ROWS($AN$2:$AN90))),"")</f>
        <v/>
      </c>
      <c r="AP91" s="121"/>
      <c r="AT91" s="111"/>
      <c r="AV91" s="133" t="str" cm="1">
        <f t="array" ref="AV91">IF(ROWS($AW$2:$AW90)&lt;=$AW$2,INDEX($AM$3:$AM$792,_xlfn.AGGREGATE(15,3,($AM$3:$AM$792='Planning Template'!$F$45)/($AM$3:$AM$792='Planning Template'!$F$45)*(ROW($AM$3:$AM$792)-ROW($AM$2)),ROWS($AW$2:$AW90))),"")</f>
        <v/>
      </c>
      <c r="AW91" s="134" t="str" cm="1">
        <f t="array" ref="AW91">IF(ROWS($AU$3:$AU91)&lt;=$AW$2,INDEX($AN$3:$AN$792,_xlfn.AGGREGATE(15,3,($AM$3:$AM$792='Planning Template'!$F$45)/($AM$3:$AM$792='Planning Template'!$F$45)*(ROW($AM$3:$AM$792)-ROW($AM$2)),ROWS($AU$3:$AU91))),"")</f>
        <v/>
      </c>
      <c r="AX91" s="135" t="str">
        <f>IF(AW91="","",SUMIFS(TableSSDPeopleGroups[Population], TableSSDPeopleGroups[Ctry],'Planning Template'!$F$30,TableSSDPeopleGroups[PrimaryReligion],'Planning Template'!$F$301,TableSSDPeopleGroups[PeopleCluster],'Planning Template'!$F$45,TableSSDPeopleGroups[PeopNameInCountry],$AW91))</f>
        <v/>
      </c>
      <c r="AY91" s="234" t="str">
        <f t="shared" si="8"/>
        <v/>
      </c>
    </row>
    <row r="92" spans="1:51" s="110" customFormat="1" ht="20" customHeight="1">
      <c r="A92" s="125" t="s">
        <v>471</v>
      </c>
      <c r="B92" s="126" t="s">
        <v>65</v>
      </c>
      <c r="C92" s="127">
        <v>14680</v>
      </c>
      <c r="D92" s="163">
        <v>108587</v>
      </c>
      <c r="E92" s="164" t="s">
        <v>2959</v>
      </c>
      <c r="F92" s="164" t="s">
        <v>2959</v>
      </c>
      <c r="G92" s="165">
        <v>3400</v>
      </c>
      <c r="H92" s="165">
        <v>1</v>
      </c>
      <c r="I92" s="164" t="s">
        <v>187</v>
      </c>
      <c r="J92" s="164" t="s">
        <v>2960</v>
      </c>
      <c r="K92" s="164" t="s">
        <v>2959</v>
      </c>
      <c r="L92" s="165">
        <v>2</v>
      </c>
      <c r="M92" s="165">
        <v>2</v>
      </c>
      <c r="N92" s="164" t="s">
        <v>1718</v>
      </c>
      <c r="O92" s="165">
        <v>0</v>
      </c>
      <c r="P92" s="165">
        <v>0</v>
      </c>
      <c r="Q92" s="165">
        <v>20</v>
      </c>
      <c r="R92" s="164" t="s">
        <v>574</v>
      </c>
      <c r="S92" s="164" t="s">
        <v>575</v>
      </c>
      <c r="T92" s="165">
        <v>239</v>
      </c>
      <c r="U92" s="164" t="s">
        <v>1618</v>
      </c>
      <c r="V92" s="164" t="s">
        <v>1619</v>
      </c>
      <c r="W92" s="165">
        <v>3</v>
      </c>
      <c r="X92" s="165">
        <v>2</v>
      </c>
      <c r="Y92" s="164" t="s">
        <v>194</v>
      </c>
      <c r="Z92" s="164" t="s">
        <v>195</v>
      </c>
      <c r="AA92" s="164" t="s">
        <v>196</v>
      </c>
      <c r="AB92" s="164" t="s">
        <v>187</v>
      </c>
      <c r="AC92" s="164" t="s">
        <v>209</v>
      </c>
      <c r="AD92" s="165">
        <v>1</v>
      </c>
      <c r="AE92" s="164" t="s">
        <v>187</v>
      </c>
      <c r="AF92" s="165">
        <v>20.98434</v>
      </c>
      <c r="AG92" s="166">
        <v>100.95434</v>
      </c>
      <c r="AI92" s="133">
        <f t="shared" si="6"/>
        <v>4</v>
      </c>
      <c r="AJ92" s="134" t="str">
        <v>South Asia Hindu - Teli</v>
      </c>
      <c r="AK92" s="135">
        <f t="shared" si="7"/>
        <v>150500</v>
      </c>
      <c r="AM92" s="133" t="str" cm="1">
        <f t="array" ref="AM92">IF(ROWS($AN$2:$AN91)&lt;=$AN$2,INDEX($V$3:$V$3000,_xlfn.AGGREGATE(15,3,($B$3:$B$3000=$AM$2)/($B$3:$B$3000=$AM$2)*(ROW($B$3:$B$3000)-ROW($B$2)),ROWS($AN$2:$AN91))),"")</f>
        <v/>
      </c>
      <c r="AN92" s="134" t="str" cm="1">
        <f t="array" ref="AN92">IF(ROWS($AN$2:$AN91)&lt;=$AN$2,INDEX($F$3:$F$3000,_xlfn.AGGREGATE(15,3,($B$3:$B$3000=$AM$2)/($B$3:$B$3000=$AM$2)*(ROW($B$3:$B$3000)-ROW($B$2)),ROWS($AN$2:$AN91))),"")</f>
        <v/>
      </c>
      <c r="AO92" s="135" t="str" cm="1">
        <f t="array" ref="AO92">IF(ROWS($AN$2:$AN91)&lt;=$AN$2,INDEX($G$3:$G$3000,_xlfn.AGGREGATE(15,3,($B$3:$B$3000=$AM$2)/($B$3:$B$3000=$AM$2)*(ROW($B$3:$B$3000)-ROW($B$2)),ROWS($AN$2:$AN91))),"")</f>
        <v/>
      </c>
      <c r="AP92" s="121"/>
      <c r="AT92" s="111"/>
      <c r="AV92" s="133" t="str" cm="1">
        <f t="array" ref="AV92">IF(ROWS($AW$2:$AW91)&lt;=$AW$2,INDEX($AM$3:$AM$792,_xlfn.AGGREGATE(15,3,($AM$3:$AM$792='Planning Template'!$F$45)/($AM$3:$AM$792='Planning Template'!$F$45)*(ROW($AM$3:$AM$792)-ROW($AM$2)),ROWS($AW$2:$AW91))),"")</f>
        <v/>
      </c>
      <c r="AW92" s="134" t="str" cm="1">
        <f t="array" ref="AW92">IF(ROWS($AU$3:$AU92)&lt;=$AW$2,INDEX($AN$3:$AN$792,_xlfn.AGGREGATE(15,3,($AM$3:$AM$792='Planning Template'!$F$45)/($AM$3:$AM$792='Planning Template'!$F$45)*(ROW($AM$3:$AM$792)-ROW($AM$2)),ROWS($AU$3:$AU92))),"")</f>
        <v/>
      </c>
      <c r="AX92" s="135" t="str">
        <f>IF(AW92="","",SUMIFS(TableSSDPeopleGroups[Population], TableSSDPeopleGroups[Ctry],'Planning Template'!$F$30,TableSSDPeopleGroups[PrimaryReligion],'Planning Template'!$F$301,TableSSDPeopleGroups[PeopleCluster],'Planning Template'!$F$45,TableSSDPeopleGroups[PeopNameInCountry],$AW92))</f>
        <v/>
      </c>
      <c r="AY92" s="234" t="str">
        <f t="shared" si="8"/>
        <v/>
      </c>
    </row>
    <row r="93" spans="1:51" s="110" customFormat="1" ht="20" customHeight="1">
      <c r="A93" s="125" t="s">
        <v>471</v>
      </c>
      <c r="B93" s="126" t="s">
        <v>65</v>
      </c>
      <c r="C93" s="127">
        <v>16146</v>
      </c>
      <c r="D93" s="163">
        <v>111244</v>
      </c>
      <c r="E93" s="164" t="s">
        <v>1798</v>
      </c>
      <c r="F93" s="164" t="s">
        <v>1798</v>
      </c>
      <c r="G93" s="165">
        <v>300</v>
      </c>
      <c r="H93" s="165">
        <v>1</v>
      </c>
      <c r="I93" s="164" t="s">
        <v>187</v>
      </c>
      <c r="J93" s="164" t="s">
        <v>1799</v>
      </c>
      <c r="K93" s="164" t="s">
        <v>1800</v>
      </c>
      <c r="L93" s="165">
        <v>2</v>
      </c>
      <c r="M93" s="165">
        <v>2</v>
      </c>
      <c r="N93" s="164" t="s">
        <v>1718</v>
      </c>
      <c r="O93" s="165">
        <v>0</v>
      </c>
      <c r="P93" s="165">
        <v>0</v>
      </c>
      <c r="Q93" s="165">
        <v>20</v>
      </c>
      <c r="R93" s="164" t="s">
        <v>574</v>
      </c>
      <c r="S93" s="164" t="s">
        <v>575</v>
      </c>
      <c r="T93" s="165">
        <v>239</v>
      </c>
      <c r="U93" s="164" t="s">
        <v>1618</v>
      </c>
      <c r="V93" s="164" t="s">
        <v>1619</v>
      </c>
      <c r="W93" s="165">
        <v>2</v>
      </c>
      <c r="X93" s="165">
        <v>2</v>
      </c>
      <c r="Y93" s="164" t="s">
        <v>194</v>
      </c>
      <c r="Z93" s="164" t="s">
        <v>195</v>
      </c>
      <c r="AA93" s="164" t="s">
        <v>196</v>
      </c>
      <c r="AB93" s="164" t="s">
        <v>187</v>
      </c>
      <c r="AC93" s="164" t="s">
        <v>187</v>
      </c>
      <c r="AD93" s="165">
        <v>1</v>
      </c>
      <c r="AE93" s="164" t="s">
        <v>187</v>
      </c>
      <c r="AF93" s="165">
        <v>21.324300000000001</v>
      </c>
      <c r="AG93" s="166">
        <v>101.0575</v>
      </c>
      <c r="AI93" s="133">
        <f t="shared" si="6"/>
        <v>1</v>
      </c>
      <c r="AJ93" s="134" t="str">
        <v>South Asia Hindu - Viswakarma</v>
      </c>
      <c r="AK93" s="135">
        <f t="shared" si="7"/>
        <v>7100</v>
      </c>
      <c r="AM93" s="133" t="str" cm="1">
        <f t="array" ref="AM93">IF(ROWS($AN$2:$AN92)&lt;=$AN$2,INDEX($V$3:$V$3000,_xlfn.AGGREGATE(15,3,($B$3:$B$3000=$AM$2)/($B$3:$B$3000=$AM$2)*(ROW($B$3:$B$3000)-ROW($B$2)),ROWS($AN$2:$AN92))),"")</f>
        <v/>
      </c>
      <c r="AN93" s="134" t="str" cm="1">
        <f t="array" ref="AN93">IF(ROWS($AN$2:$AN92)&lt;=$AN$2,INDEX($F$3:$F$3000,_xlfn.AGGREGATE(15,3,($B$3:$B$3000=$AM$2)/($B$3:$B$3000=$AM$2)*(ROW($B$3:$B$3000)-ROW($B$2)),ROWS($AN$2:$AN92))),"")</f>
        <v/>
      </c>
      <c r="AO93" s="135" t="str" cm="1">
        <f t="array" ref="AO93">IF(ROWS($AN$2:$AN92)&lt;=$AN$2,INDEX($G$3:$G$3000,_xlfn.AGGREGATE(15,3,($B$3:$B$3000=$AM$2)/($B$3:$B$3000=$AM$2)*(ROW($B$3:$B$3000)-ROW($B$2)),ROWS($AN$2:$AN92))),"")</f>
        <v/>
      </c>
      <c r="AP93" s="121"/>
      <c r="AT93" s="111"/>
      <c r="AV93" s="133" t="str" cm="1">
        <f t="array" ref="AV93">IF(ROWS($AW$2:$AW92)&lt;=$AW$2,INDEX($AM$3:$AM$792,_xlfn.AGGREGATE(15,3,($AM$3:$AM$792='Planning Template'!$F$45)/($AM$3:$AM$792='Planning Template'!$F$45)*(ROW($AM$3:$AM$792)-ROW($AM$2)),ROWS($AW$2:$AW92))),"")</f>
        <v/>
      </c>
      <c r="AW93" s="134" t="str" cm="1">
        <f t="array" ref="AW93">IF(ROWS($AU$3:$AU93)&lt;=$AW$2,INDEX($AN$3:$AN$792,_xlfn.AGGREGATE(15,3,($AM$3:$AM$792='Planning Template'!$F$45)/($AM$3:$AM$792='Planning Template'!$F$45)*(ROW($AM$3:$AM$792)-ROW($AM$2)),ROWS($AU$3:$AU93))),"")</f>
        <v/>
      </c>
      <c r="AX93" s="135" t="str">
        <f>IF(AW93="","",SUMIFS(TableSSDPeopleGroups[Population], TableSSDPeopleGroups[Ctry],'Planning Template'!$F$30,TableSSDPeopleGroups[PrimaryReligion],'Planning Template'!$F$301,TableSSDPeopleGroups[PeopleCluster],'Planning Template'!$F$45,TableSSDPeopleGroups[PeopNameInCountry],$AW93))</f>
        <v/>
      </c>
      <c r="AY93" s="234" t="str">
        <f t="shared" si="8"/>
        <v/>
      </c>
    </row>
    <row r="94" spans="1:51" s="110" customFormat="1" ht="20" customHeight="1">
      <c r="A94" s="125" t="s">
        <v>471</v>
      </c>
      <c r="B94" s="126" t="s">
        <v>65</v>
      </c>
      <c r="C94" s="127">
        <v>15358</v>
      </c>
      <c r="D94" s="145">
        <v>110773</v>
      </c>
      <c r="E94" s="146" t="s">
        <v>4131</v>
      </c>
      <c r="F94" s="146" t="s">
        <v>4131</v>
      </c>
      <c r="G94" s="147">
        <v>84000</v>
      </c>
      <c r="H94" s="147">
        <v>4</v>
      </c>
      <c r="I94" s="146" t="s">
        <v>209</v>
      </c>
      <c r="J94" s="146" t="s">
        <v>4132</v>
      </c>
      <c r="K94" s="146" t="s">
        <v>4131</v>
      </c>
      <c r="L94" s="147">
        <v>3</v>
      </c>
      <c r="M94" s="147">
        <v>2</v>
      </c>
      <c r="N94" s="146" t="s">
        <v>1718</v>
      </c>
      <c r="O94" s="147">
        <v>12</v>
      </c>
      <c r="P94" s="147">
        <v>8</v>
      </c>
      <c r="Q94" s="147">
        <v>20</v>
      </c>
      <c r="R94" s="146" t="s">
        <v>574</v>
      </c>
      <c r="S94" s="146" t="s">
        <v>575</v>
      </c>
      <c r="T94" s="147">
        <v>239</v>
      </c>
      <c r="U94" s="146" t="s">
        <v>1618</v>
      </c>
      <c r="V94" s="146" t="s">
        <v>1619</v>
      </c>
      <c r="W94" s="147">
        <v>2</v>
      </c>
      <c r="X94" s="147">
        <v>2</v>
      </c>
      <c r="Y94" s="146" t="s">
        <v>194</v>
      </c>
      <c r="Z94" s="146" t="s">
        <v>195</v>
      </c>
      <c r="AA94" s="146" t="s">
        <v>196</v>
      </c>
      <c r="AB94" s="146" t="s">
        <v>187</v>
      </c>
      <c r="AC94" s="146" t="s">
        <v>187</v>
      </c>
      <c r="AD94" s="148"/>
      <c r="AE94" s="146" t="s">
        <v>209</v>
      </c>
      <c r="AF94" s="147">
        <v>16.699570999999999</v>
      </c>
      <c r="AG94" s="149">
        <v>106.207971</v>
      </c>
      <c r="AI94" s="133">
        <f t="shared" si="6"/>
        <v>6</v>
      </c>
      <c r="AJ94" s="134" t="str">
        <v>South Asia Hindu - Yadav</v>
      </c>
      <c r="AK94" s="135">
        <f t="shared" si="7"/>
        <v>368300</v>
      </c>
      <c r="AM94" s="133" t="str" cm="1">
        <f t="array" ref="AM94">IF(ROWS($AN$2:$AN93)&lt;=$AN$2,INDEX($V$3:$V$3000,_xlfn.AGGREGATE(15,3,($B$3:$B$3000=$AM$2)/($B$3:$B$3000=$AM$2)*(ROW($B$3:$B$3000)-ROW($B$2)),ROWS($AN$2:$AN93))),"")</f>
        <v/>
      </c>
      <c r="AN94" s="134" t="str" cm="1">
        <f t="array" ref="AN94">IF(ROWS($AN$2:$AN93)&lt;=$AN$2,INDEX($F$3:$F$3000,_xlfn.AGGREGATE(15,3,($B$3:$B$3000=$AM$2)/($B$3:$B$3000=$AM$2)*(ROW($B$3:$B$3000)-ROW($B$2)),ROWS($AN$2:$AN93))),"")</f>
        <v/>
      </c>
      <c r="AO94" s="135" t="str" cm="1">
        <f t="array" ref="AO94">IF(ROWS($AN$2:$AN93)&lt;=$AN$2,INDEX($G$3:$G$3000,_xlfn.AGGREGATE(15,3,($B$3:$B$3000=$AM$2)/($B$3:$B$3000=$AM$2)*(ROW($B$3:$B$3000)-ROW($B$2)),ROWS($AN$2:$AN93))),"")</f>
        <v/>
      </c>
      <c r="AP94" s="121"/>
      <c r="AT94" s="111"/>
      <c r="AV94" s="133" t="str" cm="1">
        <f t="array" ref="AV94">IF(ROWS($AW$2:$AW93)&lt;=$AW$2,INDEX($AM$3:$AM$792,_xlfn.AGGREGATE(15,3,($AM$3:$AM$792='Planning Template'!$F$45)/($AM$3:$AM$792='Planning Template'!$F$45)*(ROW($AM$3:$AM$792)-ROW($AM$2)),ROWS($AW$2:$AW93))),"")</f>
        <v/>
      </c>
      <c r="AW94" s="134" t="str" cm="1">
        <f t="array" ref="AW94">IF(ROWS($AU$3:$AU94)&lt;=$AW$2,INDEX($AN$3:$AN$792,_xlfn.AGGREGATE(15,3,($AM$3:$AM$792='Planning Template'!$F$45)/($AM$3:$AM$792='Planning Template'!$F$45)*(ROW($AM$3:$AM$792)-ROW($AM$2)),ROWS($AU$3:$AU94))),"")</f>
        <v/>
      </c>
      <c r="AX94" s="135" t="str">
        <f>IF(AW94="","",SUMIFS(TableSSDPeopleGroups[Population], TableSSDPeopleGroups[Ctry],'Planning Template'!$F$30,TableSSDPeopleGroups[PrimaryReligion],'Planning Template'!$F$301,TableSSDPeopleGroups[PeopleCluster],'Planning Template'!$F$45,TableSSDPeopleGroups[PeopNameInCountry],$AW94))</f>
        <v/>
      </c>
      <c r="AY94" s="234" t="str">
        <f t="shared" si="8"/>
        <v/>
      </c>
    </row>
    <row r="95" spans="1:51" s="110" customFormat="1" ht="20" customHeight="1">
      <c r="A95" s="125" t="s">
        <v>1620</v>
      </c>
      <c r="B95" s="126" t="s">
        <v>61</v>
      </c>
      <c r="C95" s="127">
        <v>19086</v>
      </c>
      <c r="D95" s="163">
        <v>106743</v>
      </c>
      <c r="E95" s="164" t="s">
        <v>2439</v>
      </c>
      <c r="F95" s="164" t="s">
        <v>2439</v>
      </c>
      <c r="G95" s="165">
        <v>1135000</v>
      </c>
      <c r="H95" s="165">
        <v>1</v>
      </c>
      <c r="I95" s="164" t="s">
        <v>187</v>
      </c>
      <c r="J95" s="164" t="s">
        <v>4653</v>
      </c>
      <c r="K95" s="164" t="s">
        <v>2439</v>
      </c>
      <c r="L95" s="165">
        <v>5</v>
      </c>
      <c r="M95" s="165">
        <v>2</v>
      </c>
      <c r="N95" s="164" t="s">
        <v>1718</v>
      </c>
      <c r="O95" s="165">
        <v>0.89900000000000002</v>
      </c>
      <c r="P95" s="165">
        <v>0.82299999999999995</v>
      </c>
      <c r="Q95" s="165">
        <v>20</v>
      </c>
      <c r="R95" s="164" t="s">
        <v>574</v>
      </c>
      <c r="S95" s="164" t="s">
        <v>575</v>
      </c>
      <c r="T95" s="165">
        <v>239</v>
      </c>
      <c r="U95" s="164" t="s">
        <v>1618</v>
      </c>
      <c r="V95" s="164" t="s">
        <v>1619</v>
      </c>
      <c r="W95" s="165">
        <v>2</v>
      </c>
      <c r="X95" s="165">
        <v>2</v>
      </c>
      <c r="Y95" s="164" t="s">
        <v>194</v>
      </c>
      <c r="Z95" s="164" t="s">
        <v>195</v>
      </c>
      <c r="AA95" s="164" t="s">
        <v>196</v>
      </c>
      <c r="AB95" s="164" t="s">
        <v>187</v>
      </c>
      <c r="AC95" s="164" t="s">
        <v>187</v>
      </c>
      <c r="AD95" s="165">
        <v>23</v>
      </c>
      <c r="AE95" s="164" t="s">
        <v>209</v>
      </c>
      <c r="AF95" s="165">
        <v>16.087230000000002</v>
      </c>
      <c r="AG95" s="166">
        <v>97.639489999999995</v>
      </c>
      <c r="AI95" s="133">
        <f t="shared" si="6"/>
        <v>314</v>
      </c>
      <c r="AJ95" s="134" t="str">
        <v>South Asia Muslim - other</v>
      </c>
      <c r="AK95" s="135">
        <f t="shared" si="7"/>
        <v>65233300</v>
      </c>
      <c r="AM95" s="133" t="str" cm="1">
        <f t="array" ref="AM95">IF(ROWS($AN$2:$AN94)&lt;=$AN$2,INDEX($V$3:$V$3000,_xlfn.AGGREGATE(15,3,($B$3:$B$3000=$AM$2)/($B$3:$B$3000=$AM$2)*(ROW($B$3:$B$3000)-ROW($B$2)),ROWS($AN$2:$AN94))),"")</f>
        <v/>
      </c>
      <c r="AN95" s="134" t="str" cm="1">
        <f t="array" ref="AN95">IF(ROWS($AN$2:$AN94)&lt;=$AN$2,INDEX($F$3:$F$3000,_xlfn.AGGREGATE(15,3,($B$3:$B$3000=$AM$2)/($B$3:$B$3000=$AM$2)*(ROW($B$3:$B$3000)-ROW($B$2)),ROWS($AN$2:$AN94))),"")</f>
        <v/>
      </c>
      <c r="AO95" s="135" t="str" cm="1">
        <f t="array" ref="AO95">IF(ROWS($AN$2:$AN94)&lt;=$AN$2,INDEX($G$3:$G$3000,_xlfn.AGGREGATE(15,3,($B$3:$B$3000=$AM$2)/($B$3:$B$3000=$AM$2)*(ROW($B$3:$B$3000)-ROW($B$2)),ROWS($AN$2:$AN94))),"")</f>
        <v/>
      </c>
      <c r="AP95" s="121"/>
      <c r="AT95" s="111"/>
      <c r="AV95" s="133" t="str" cm="1">
        <f t="array" ref="AV95">IF(ROWS($AW$2:$AW94)&lt;=$AW$2,INDEX($AM$3:$AM$792,_xlfn.AGGREGATE(15,3,($AM$3:$AM$792='Planning Template'!$F$45)/($AM$3:$AM$792='Planning Template'!$F$45)*(ROW($AM$3:$AM$792)-ROW($AM$2)),ROWS($AW$2:$AW94))),"")</f>
        <v/>
      </c>
      <c r="AW95" s="134" t="str" cm="1">
        <f t="array" ref="AW95">IF(ROWS($AU$3:$AU95)&lt;=$AW$2,INDEX($AN$3:$AN$792,_xlfn.AGGREGATE(15,3,($AM$3:$AM$792='Planning Template'!$F$45)/($AM$3:$AM$792='Planning Template'!$F$45)*(ROW($AM$3:$AM$792)-ROW($AM$2)),ROWS($AU$3:$AU95))),"")</f>
        <v/>
      </c>
      <c r="AX95" s="135" t="str">
        <f>IF(AW95="","",SUMIFS(TableSSDPeopleGroups[Population], TableSSDPeopleGroups[Ctry],'Planning Template'!$F$30,TableSSDPeopleGroups[PrimaryReligion],'Planning Template'!$F$301,TableSSDPeopleGroups[PeopleCluster],'Planning Template'!$F$45,TableSSDPeopleGroups[PeopNameInCountry],$AW95))</f>
        <v/>
      </c>
      <c r="AY95" s="234" t="str">
        <f t="shared" si="8"/>
        <v/>
      </c>
    </row>
    <row r="96" spans="1:51" s="110" customFormat="1" ht="20" customHeight="1">
      <c r="A96" s="125" t="s">
        <v>1620</v>
      </c>
      <c r="B96" s="126" t="s">
        <v>61</v>
      </c>
      <c r="C96" s="127">
        <v>14178</v>
      </c>
      <c r="D96" s="163">
        <v>109011</v>
      </c>
      <c r="E96" s="164" t="s">
        <v>3330</v>
      </c>
      <c r="F96" s="164" t="s">
        <v>3330</v>
      </c>
      <c r="G96" s="165">
        <v>291000</v>
      </c>
      <c r="H96" s="165">
        <v>1</v>
      </c>
      <c r="I96" s="164" t="s">
        <v>187</v>
      </c>
      <c r="J96" s="164" t="s">
        <v>3331</v>
      </c>
      <c r="K96" s="164" t="s">
        <v>3332</v>
      </c>
      <c r="L96" s="165">
        <v>4</v>
      </c>
      <c r="M96" s="165">
        <v>2</v>
      </c>
      <c r="N96" s="164" t="s">
        <v>1718</v>
      </c>
      <c r="O96" s="165">
        <v>0.1</v>
      </c>
      <c r="P96" s="165">
        <v>0.06</v>
      </c>
      <c r="Q96" s="165">
        <v>20</v>
      </c>
      <c r="R96" s="164" t="s">
        <v>574</v>
      </c>
      <c r="S96" s="164" t="s">
        <v>575</v>
      </c>
      <c r="T96" s="165">
        <v>239</v>
      </c>
      <c r="U96" s="164" t="s">
        <v>1618</v>
      </c>
      <c r="V96" s="164" t="s">
        <v>1619</v>
      </c>
      <c r="W96" s="165">
        <v>3</v>
      </c>
      <c r="X96" s="165">
        <v>2</v>
      </c>
      <c r="Y96" s="164" t="s">
        <v>194</v>
      </c>
      <c r="Z96" s="164" t="s">
        <v>195</v>
      </c>
      <c r="AA96" s="164" t="s">
        <v>196</v>
      </c>
      <c r="AB96" s="164" t="s">
        <v>187</v>
      </c>
      <c r="AC96" s="164" t="s">
        <v>187</v>
      </c>
      <c r="AD96" s="165">
        <v>6</v>
      </c>
      <c r="AE96" s="164" t="s">
        <v>187</v>
      </c>
      <c r="AF96" s="165">
        <v>20.666740000000001</v>
      </c>
      <c r="AG96" s="166">
        <v>96.50779</v>
      </c>
      <c r="AI96" s="133">
        <f t="shared" si="6"/>
        <v>3</v>
      </c>
      <c r="AJ96" s="134" t="str">
        <v>South Asia Tribal - Banjara</v>
      </c>
      <c r="AK96" s="135">
        <f t="shared" si="7"/>
        <v>96100</v>
      </c>
      <c r="AM96" s="133" t="str" cm="1">
        <f t="array" ref="AM96">IF(ROWS($AN$2:$AN95)&lt;=$AN$2,INDEX($V$3:$V$3000,_xlfn.AGGREGATE(15,3,($B$3:$B$3000=$AM$2)/($B$3:$B$3000=$AM$2)*(ROW($B$3:$B$3000)-ROW($B$2)),ROWS($AN$2:$AN95))),"")</f>
        <v/>
      </c>
      <c r="AN96" s="134" t="str" cm="1">
        <f t="array" ref="AN96">IF(ROWS($AN$2:$AN95)&lt;=$AN$2,INDEX($F$3:$F$3000,_xlfn.AGGREGATE(15,3,($B$3:$B$3000=$AM$2)/($B$3:$B$3000=$AM$2)*(ROW($B$3:$B$3000)-ROW($B$2)),ROWS($AN$2:$AN95))),"")</f>
        <v/>
      </c>
      <c r="AO96" s="135" t="str" cm="1">
        <f t="array" ref="AO96">IF(ROWS($AN$2:$AN95)&lt;=$AN$2,INDEX($G$3:$G$3000,_xlfn.AGGREGATE(15,3,($B$3:$B$3000=$AM$2)/($B$3:$B$3000=$AM$2)*(ROW($B$3:$B$3000)-ROW($B$2)),ROWS($AN$2:$AN95))),"")</f>
        <v/>
      </c>
      <c r="AP96" s="121"/>
      <c r="AT96" s="111"/>
      <c r="AV96" s="133" t="str" cm="1">
        <f t="array" ref="AV96">IF(ROWS($AW$2:$AW95)&lt;=$AW$2,INDEX($AM$3:$AM$792,_xlfn.AGGREGATE(15,3,($AM$3:$AM$792='Planning Template'!$F$45)/($AM$3:$AM$792='Planning Template'!$F$45)*(ROW($AM$3:$AM$792)-ROW($AM$2)),ROWS($AW$2:$AW95))),"")</f>
        <v/>
      </c>
      <c r="AW96" s="134" t="str" cm="1">
        <f t="array" ref="AW96">IF(ROWS($AU$3:$AU96)&lt;=$AW$2,INDEX($AN$3:$AN$792,_xlfn.AGGREGATE(15,3,($AM$3:$AM$792='Planning Template'!$F$45)/($AM$3:$AM$792='Planning Template'!$F$45)*(ROW($AM$3:$AM$792)-ROW($AM$2)),ROWS($AU$3:$AU96))),"")</f>
        <v/>
      </c>
      <c r="AX96" s="135" t="str">
        <f>IF(AW96="","",SUMIFS(TableSSDPeopleGroups[Population], TableSSDPeopleGroups[Ctry],'Planning Template'!$F$30,TableSSDPeopleGroups[PrimaryReligion],'Planning Template'!$F$301,TableSSDPeopleGroups[PeopleCluster],'Planning Template'!$F$45,TableSSDPeopleGroups[PeopNameInCountry],$AW96))</f>
        <v/>
      </c>
      <c r="AY96" s="234" t="str">
        <f t="shared" si="8"/>
        <v/>
      </c>
    </row>
    <row r="97" spans="1:51" s="110" customFormat="1" ht="20" customHeight="1">
      <c r="A97" s="125" t="s">
        <v>1620</v>
      </c>
      <c r="B97" s="126" t="s">
        <v>61</v>
      </c>
      <c r="C97" s="127">
        <v>11921</v>
      </c>
      <c r="D97" s="163">
        <v>103423</v>
      </c>
      <c r="E97" s="164" t="s">
        <v>4762</v>
      </c>
      <c r="F97" s="164" t="s">
        <v>4762</v>
      </c>
      <c r="G97" s="165">
        <v>231000</v>
      </c>
      <c r="H97" s="165">
        <v>1</v>
      </c>
      <c r="I97" s="164" t="s">
        <v>187</v>
      </c>
      <c r="J97" s="164" t="s">
        <v>4763</v>
      </c>
      <c r="K97" s="164" t="s">
        <v>4762</v>
      </c>
      <c r="L97" s="165">
        <v>2</v>
      </c>
      <c r="M97" s="165">
        <v>2</v>
      </c>
      <c r="N97" s="164" t="s">
        <v>1718</v>
      </c>
      <c r="O97" s="165">
        <v>0.2</v>
      </c>
      <c r="P97" s="165">
        <v>0.12</v>
      </c>
      <c r="Q97" s="165">
        <v>20</v>
      </c>
      <c r="R97" s="164" t="s">
        <v>574</v>
      </c>
      <c r="S97" s="164" t="s">
        <v>575</v>
      </c>
      <c r="T97" s="165">
        <v>239</v>
      </c>
      <c r="U97" s="164" t="s">
        <v>1618</v>
      </c>
      <c r="V97" s="164" t="s">
        <v>1619</v>
      </c>
      <c r="W97" s="165">
        <v>2</v>
      </c>
      <c r="X97" s="165">
        <v>2</v>
      </c>
      <c r="Y97" s="164" t="s">
        <v>194</v>
      </c>
      <c r="Z97" s="164" t="s">
        <v>195</v>
      </c>
      <c r="AA97" s="164" t="s">
        <v>196</v>
      </c>
      <c r="AB97" s="164" t="s">
        <v>187</v>
      </c>
      <c r="AC97" s="164" t="s">
        <v>187</v>
      </c>
      <c r="AD97" s="165">
        <v>5</v>
      </c>
      <c r="AE97" s="164" t="s">
        <v>209</v>
      </c>
      <c r="AF97" s="165">
        <v>22.978850000000001</v>
      </c>
      <c r="AG97" s="166">
        <v>96.957340000000002</v>
      </c>
      <c r="AI97" s="133">
        <f t="shared" si="6"/>
        <v>1</v>
      </c>
      <c r="AJ97" s="134" t="str">
        <v>South Asia Tribal - Gond</v>
      </c>
      <c r="AK97" s="135">
        <f t="shared" si="7"/>
        <v>6000</v>
      </c>
      <c r="AM97" s="133" t="str" cm="1">
        <f t="array" ref="AM97">IF(ROWS($AN$2:$AN96)&lt;=$AN$2,INDEX($V$3:$V$3000,_xlfn.AGGREGATE(15,3,($B$3:$B$3000=$AM$2)/($B$3:$B$3000=$AM$2)*(ROW($B$3:$B$3000)-ROW($B$2)),ROWS($AN$2:$AN96))),"")</f>
        <v/>
      </c>
      <c r="AN97" s="134" t="str" cm="1">
        <f t="array" ref="AN97">IF(ROWS($AN$2:$AN96)&lt;=$AN$2,INDEX($F$3:$F$3000,_xlfn.AGGREGATE(15,3,($B$3:$B$3000=$AM$2)/($B$3:$B$3000=$AM$2)*(ROW($B$3:$B$3000)-ROW($B$2)),ROWS($AN$2:$AN96))),"")</f>
        <v/>
      </c>
      <c r="AO97" s="135" t="str" cm="1">
        <f t="array" ref="AO97">IF(ROWS($AN$2:$AN96)&lt;=$AN$2,INDEX($G$3:$G$3000,_xlfn.AGGREGATE(15,3,($B$3:$B$3000=$AM$2)/($B$3:$B$3000=$AM$2)*(ROW($B$3:$B$3000)-ROW($B$2)),ROWS($AN$2:$AN96))),"")</f>
        <v/>
      </c>
      <c r="AP97" s="121"/>
      <c r="AT97" s="111"/>
      <c r="AV97" s="133" t="str" cm="1">
        <f t="array" ref="AV97">IF(ROWS($AW$2:$AW96)&lt;=$AW$2,INDEX($AM$3:$AM$792,_xlfn.AGGREGATE(15,3,($AM$3:$AM$792='Planning Template'!$F$45)/($AM$3:$AM$792='Planning Template'!$F$45)*(ROW($AM$3:$AM$792)-ROW($AM$2)),ROWS($AW$2:$AW96))),"")</f>
        <v/>
      </c>
      <c r="AW97" s="134" t="str" cm="1">
        <f t="array" ref="AW97">IF(ROWS($AU$3:$AU97)&lt;=$AW$2,INDEX($AN$3:$AN$792,_xlfn.AGGREGATE(15,3,($AM$3:$AM$792='Planning Template'!$F$45)/($AM$3:$AM$792='Planning Template'!$F$45)*(ROW($AM$3:$AM$792)-ROW($AM$2)),ROWS($AU$3:$AU97))),"")</f>
        <v/>
      </c>
      <c r="AX97" s="135" t="str">
        <f>IF(AW97="","",SUMIFS(TableSSDPeopleGroups[Population], TableSSDPeopleGroups[Ctry],'Planning Template'!$F$30,TableSSDPeopleGroups[PrimaryReligion],'Planning Template'!$F$301,TableSSDPeopleGroups[PeopleCluster],'Planning Template'!$F$45,TableSSDPeopleGroups[PeopNameInCountry],$AW97))</f>
        <v/>
      </c>
      <c r="AY97" s="234" t="str">
        <f t="shared" si="8"/>
        <v/>
      </c>
    </row>
    <row r="98" spans="1:51" s="110" customFormat="1" ht="20" customHeight="1">
      <c r="A98" s="125" t="s">
        <v>1620</v>
      </c>
      <c r="B98" s="126" t="s">
        <v>61</v>
      </c>
      <c r="C98" s="127">
        <v>14590</v>
      </c>
      <c r="D98" s="163">
        <v>108436</v>
      </c>
      <c r="E98" s="164" t="s">
        <v>4706</v>
      </c>
      <c r="F98" s="164" t="s">
        <v>4706</v>
      </c>
      <c r="G98" s="165">
        <v>158000</v>
      </c>
      <c r="H98" s="165">
        <v>1</v>
      </c>
      <c r="I98" s="164" t="s">
        <v>187</v>
      </c>
      <c r="J98" s="164" t="s">
        <v>4707</v>
      </c>
      <c r="K98" s="164" t="s">
        <v>4706</v>
      </c>
      <c r="L98" s="165">
        <v>3</v>
      </c>
      <c r="M98" s="165">
        <v>2</v>
      </c>
      <c r="N98" s="164" t="s">
        <v>1718</v>
      </c>
      <c r="O98" s="165">
        <v>0.4</v>
      </c>
      <c r="P98" s="165">
        <v>0.2</v>
      </c>
      <c r="Q98" s="165">
        <v>20</v>
      </c>
      <c r="R98" s="164" t="s">
        <v>574</v>
      </c>
      <c r="S98" s="164" t="s">
        <v>575</v>
      </c>
      <c r="T98" s="165">
        <v>239</v>
      </c>
      <c r="U98" s="164" t="s">
        <v>1618</v>
      </c>
      <c r="V98" s="164" t="s">
        <v>1619</v>
      </c>
      <c r="W98" s="165">
        <v>1</v>
      </c>
      <c r="X98" s="165">
        <v>2</v>
      </c>
      <c r="Y98" s="164" t="s">
        <v>194</v>
      </c>
      <c r="Z98" s="164" t="s">
        <v>195</v>
      </c>
      <c r="AA98" s="164" t="s">
        <v>196</v>
      </c>
      <c r="AB98" s="164" t="s">
        <v>187</v>
      </c>
      <c r="AC98" s="164" t="s">
        <v>187</v>
      </c>
      <c r="AD98" s="165">
        <v>3</v>
      </c>
      <c r="AE98" s="164" t="s">
        <v>209</v>
      </c>
      <c r="AF98" s="165">
        <v>23.14339</v>
      </c>
      <c r="AG98" s="166">
        <v>96.669560000000004</v>
      </c>
      <c r="AI98" s="133">
        <f t="shared" si="6"/>
        <v>9</v>
      </c>
      <c r="AJ98" s="134" t="str">
        <v>Aceh of Sumatra</v>
      </c>
      <c r="AK98" s="135">
        <f t="shared" si="7"/>
        <v>4726000</v>
      </c>
      <c r="AM98" s="133" t="str" cm="1">
        <f t="array" ref="AM98">IF(ROWS($AN$2:$AN97)&lt;=$AN$2,INDEX($V$3:$V$3000,_xlfn.AGGREGATE(15,3,($B$3:$B$3000=$AM$2)/($B$3:$B$3000=$AM$2)*(ROW($B$3:$B$3000)-ROW($B$2)),ROWS($AN$2:$AN97))),"")</f>
        <v/>
      </c>
      <c r="AN98" s="134" t="str" cm="1">
        <f t="array" ref="AN98">IF(ROWS($AN$2:$AN97)&lt;=$AN$2,INDEX($F$3:$F$3000,_xlfn.AGGREGATE(15,3,($B$3:$B$3000=$AM$2)/($B$3:$B$3000=$AM$2)*(ROW($B$3:$B$3000)-ROW($B$2)),ROWS($AN$2:$AN97))),"")</f>
        <v/>
      </c>
      <c r="AO98" s="135" t="str" cm="1">
        <f t="array" ref="AO98">IF(ROWS($AN$2:$AN97)&lt;=$AN$2,INDEX($G$3:$G$3000,_xlfn.AGGREGATE(15,3,($B$3:$B$3000=$AM$2)/($B$3:$B$3000=$AM$2)*(ROW($B$3:$B$3000)-ROW($B$2)),ROWS($AN$2:$AN97))),"")</f>
        <v/>
      </c>
      <c r="AP98" s="121"/>
      <c r="AT98" s="111"/>
      <c r="AV98" s="133" t="str" cm="1">
        <f t="array" ref="AV98">IF(ROWS($AW$2:$AW97)&lt;=$AW$2,INDEX($AM$3:$AM$792,_xlfn.AGGREGATE(15,3,($AM$3:$AM$792='Planning Template'!$F$45)/($AM$3:$AM$792='Planning Template'!$F$45)*(ROW($AM$3:$AM$792)-ROW($AM$2)),ROWS($AW$2:$AW97))),"")</f>
        <v/>
      </c>
      <c r="AW98" s="134" t="str" cm="1">
        <f t="array" ref="AW98">IF(ROWS($AU$3:$AU98)&lt;=$AW$2,INDEX($AN$3:$AN$792,_xlfn.AGGREGATE(15,3,($AM$3:$AM$792='Planning Template'!$F$45)/($AM$3:$AM$792='Planning Template'!$F$45)*(ROW($AM$3:$AM$792)-ROW($AM$2)),ROWS($AU$3:$AU98))),"")</f>
        <v/>
      </c>
      <c r="AX98" s="135" t="str">
        <f>IF(AW98="","",SUMIFS(TableSSDPeopleGroups[Population], TableSSDPeopleGroups[Ctry],'Planning Template'!$F$30,TableSSDPeopleGroups[PrimaryReligion],'Planning Template'!$F$301,TableSSDPeopleGroups[PeopleCluster],'Planning Template'!$F$45,TableSSDPeopleGroups[PeopNameInCountry],$AW98))</f>
        <v/>
      </c>
      <c r="AY98" s="234" t="str">
        <f t="shared" si="8"/>
        <v/>
      </c>
    </row>
    <row r="99" spans="1:51" s="110" customFormat="1" ht="20" customHeight="1">
      <c r="A99" s="125" t="s">
        <v>1620</v>
      </c>
      <c r="B99" s="126" t="s">
        <v>61</v>
      </c>
      <c r="C99" s="127">
        <v>11488</v>
      </c>
      <c r="D99" s="163">
        <v>102421</v>
      </c>
      <c r="E99" s="164" t="s">
        <v>4670</v>
      </c>
      <c r="F99" s="164" t="s">
        <v>4670</v>
      </c>
      <c r="G99" s="165">
        <v>126000</v>
      </c>
      <c r="H99" s="165">
        <v>1</v>
      </c>
      <c r="I99" s="164" t="s">
        <v>187</v>
      </c>
      <c r="J99" s="164" t="s">
        <v>4671</v>
      </c>
      <c r="K99" s="164" t="s">
        <v>4670</v>
      </c>
      <c r="L99" s="165">
        <v>2</v>
      </c>
      <c r="M99" s="165">
        <v>2</v>
      </c>
      <c r="N99" s="164" t="s">
        <v>1718</v>
      </c>
      <c r="O99" s="165">
        <v>0.5</v>
      </c>
      <c r="P99" s="165">
        <v>0.4</v>
      </c>
      <c r="Q99" s="165">
        <v>20</v>
      </c>
      <c r="R99" s="164" t="s">
        <v>574</v>
      </c>
      <c r="S99" s="164" t="s">
        <v>575</v>
      </c>
      <c r="T99" s="165">
        <v>239</v>
      </c>
      <c r="U99" s="164" t="s">
        <v>1618</v>
      </c>
      <c r="V99" s="164" t="s">
        <v>1619</v>
      </c>
      <c r="W99" s="165">
        <v>1</v>
      </c>
      <c r="X99" s="165">
        <v>2</v>
      </c>
      <c r="Y99" s="164" t="s">
        <v>194</v>
      </c>
      <c r="Z99" s="164" t="s">
        <v>195</v>
      </c>
      <c r="AA99" s="164" t="s">
        <v>196</v>
      </c>
      <c r="AB99" s="164" t="s">
        <v>187</v>
      </c>
      <c r="AC99" s="164" t="s">
        <v>187</v>
      </c>
      <c r="AD99" s="165">
        <v>3</v>
      </c>
      <c r="AE99" s="164" t="s">
        <v>209</v>
      </c>
      <c r="AF99" s="165">
        <v>20.496559999999999</v>
      </c>
      <c r="AG99" s="166">
        <v>96.999790000000004</v>
      </c>
      <c r="AI99" s="133">
        <f t="shared" ref="AI99:AI132" si="9">COUNTIF($V$3:$V$3000,$AJ99)</f>
        <v>1</v>
      </c>
      <c r="AJ99" s="134" t="str">
        <v>Arab World, general</v>
      </c>
      <c r="AK99" s="135">
        <f t="shared" ref="AK99:AK132" si="10">SUMIF($V$3:$V$3001,$AJ99, $G$3:$G$3001)</f>
        <v>277000</v>
      </c>
      <c r="AM99" s="133" t="str" cm="1">
        <f t="array" ref="AM99">IF(ROWS($AN$2:$AN98)&lt;=$AN$2,INDEX($V$3:$V$3000,_xlfn.AGGREGATE(15,3,($B$3:$B$3000=$AM$2)/($B$3:$B$3000=$AM$2)*(ROW($B$3:$B$3000)-ROW($B$2)),ROWS($AN$2:$AN98))),"")</f>
        <v/>
      </c>
      <c r="AN99" s="134" t="str" cm="1">
        <f t="array" ref="AN99">IF(ROWS($AN$2:$AN98)&lt;=$AN$2,INDEX($F$3:$F$3000,_xlfn.AGGREGATE(15,3,($B$3:$B$3000=$AM$2)/($B$3:$B$3000=$AM$2)*(ROW($B$3:$B$3000)-ROW($B$2)),ROWS($AN$2:$AN98))),"")</f>
        <v/>
      </c>
      <c r="AO99" s="135" t="str" cm="1">
        <f t="array" ref="AO99">IF(ROWS($AN$2:$AN98)&lt;=$AN$2,INDEX($G$3:$G$3000,_xlfn.AGGREGATE(15,3,($B$3:$B$3000=$AM$2)/($B$3:$B$3000=$AM$2)*(ROW($B$3:$B$3000)-ROW($B$2)),ROWS($AN$2:$AN98))),"")</f>
        <v/>
      </c>
      <c r="AP99" s="121"/>
      <c r="AT99" s="111"/>
      <c r="AV99" s="133" t="str" cm="1">
        <f t="array" ref="AV99">IF(ROWS($AW$2:$AW98)&lt;=$AW$2,INDEX($AM$3:$AM$792,_xlfn.AGGREGATE(15,3,($AM$3:$AM$792='Planning Template'!$F$45)/($AM$3:$AM$792='Planning Template'!$F$45)*(ROW($AM$3:$AM$792)-ROW($AM$2)),ROWS($AW$2:$AW98))),"")</f>
        <v/>
      </c>
      <c r="AW99" s="134" t="str" cm="1">
        <f t="array" ref="AW99">IF(ROWS($AU$3:$AU99)&lt;=$AW$2,INDEX($AN$3:$AN$792,_xlfn.AGGREGATE(15,3,($AM$3:$AM$792='Planning Template'!$F$45)/($AM$3:$AM$792='Planning Template'!$F$45)*(ROW($AM$3:$AM$792)-ROW($AM$2)),ROWS($AU$3:$AU99))),"")</f>
        <v/>
      </c>
      <c r="AX99" s="135" t="str">
        <f>IF(AW99="","",SUMIFS(TableSSDPeopleGroups[Population], TableSSDPeopleGroups[Ctry],'Planning Template'!$F$30,TableSSDPeopleGroups[PrimaryReligion],'Planning Template'!$F$301,TableSSDPeopleGroups[PeopleCluster],'Planning Template'!$F$45,TableSSDPeopleGroups[PeopNameInCountry],$AW99))</f>
        <v/>
      </c>
      <c r="AY99" s="234" t="str">
        <f t="shared" si="8"/>
        <v/>
      </c>
    </row>
    <row r="100" spans="1:51" s="110" customFormat="1" ht="20" customHeight="1">
      <c r="A100" s="125" t="s">
        <v>1620</v>
      </c>
      <c r="B100" s="126" t="s">
        <v>61</v>
      </c>
      <c r="C100" s="127">
        <v>12665</v>
      </c>
      <c r="D100" s="163">
        <v>104959</v>
      </c>
      <c r="E100" s="164" t="s">
        <v>2501</v>
      </c>
      <c r="F100" s="164" t="s">
        <v>2501</v>
      </c>
      <c r="G100" s="165">
        <v>15000</v>
      </c>
      <c r="H100" s="165">
        <v>1</v>
      </c>
      <c r="I100" s="164" t="s">
        <v>187</v>
      </c>
      <c r="J100" s="164" t="s">
        <v>2502</v>
      </c>
      <c r="K100" s="164" t="s">
        <v>2503</v>
      </c>
      <c r="L100" s="165">
        <v>4</v>
      </c>
      <c r="M100" s="165">
        <v>2</v>
      </c>
      <c r="N100" s="164" t="s">
        <v>1718</v>
      </c>
      <c r="O100" s="165">
        <v>1.9</v>
      </c>
      <c r="P100" s="165">
        <v>0.8</v>
      </c>
      <c r="Q100" s="165">
        <v>20</v>
      </c>
      <c r="R100" s="164" t="s">
        <v>574</v>
      </c>
      <c r="S100" s="164" t="s">
        <v>575</v>
      </c>
      <c r="T100" s="165">
        <v>239</v>
      </c>
      <c r="U100" s="164" t="s">
        <v>1618</v>
      </c>
      <c r="V100" s="164" t="s">
        <v>1619</v>
      </c>
      <c r="W100" s="165">
        <v>3</v>
      </c>
      <c r="X100" s="165">
        <v>2</v>
      </c>
      <c r="Y100" s="164" t="s">
        <v>194</v>
      </c>
      <c r="Z100" s="164" t="s">
        <v>195</v>
      </c>
      <c r="AA100" s="164" t="s">
        <v>196</v>
      </c>
      <c r="AB100" s="164" t="s">
        <v>187</v>
      </c>
      <c r="AC100" s="164" t="s">
        <v>187</v>
      </c>
      <c r="AD100" s="165">
        <v>1</v>
      </c>
      <c r="AE100" s="164" t="s">
        <v>209</v>
      </c>
      <c r="AF100" s="165">
        <v>21.756350000000001</v>
      </c>
      <c r="AG100" s="166">
        <v>99.927660000000003</v>
      </c>
      <c r="AI100" s="133">
        <f t="shared" si="9"/>
        <v>4</v>
      </c>
      <c r="AJ100" s="134" t="str">
        <v>Arab, Arabian</v>
      </c>
      <c r="AK100" s="135">
        <f t="shared" si="10"/>
        <v>58500</v>
      </c>
      <c r="AM100" s="133" t="str" cm="1">
        <f t="array" ref="AM100">IF(ROWS($AN$2:$AN99)&lt;=$AN$2,INDEX($V$3:$V$3000,_xlfn.AGGREGATE(15,3,($B$3:$B$3000=$AM$2)/($B$3:$B$3000=$AM$2)*(ROW($B$3:$B$3000)-ROW($B$2)),ROWS($AN$2:$AN99))),"")</f>
        <v/>
      </c>
      <c r="AN100" s="134" t="str" cm="1">
        <f t="array" ref="AN100">IF(ROWS($AN$2:$AN99)&lt;=$AN$2,INDEX($F$3:$F$3000,_xlfn.AGGREGATE(15,3,($B$3:$B$3000=$AM$2)/($B$3:$B$3000=$AM$2)*(ROW($B$3:$B$3000)-ROW($B$2)),ROWS($AN$2:$AN99))),"")</f>
        <v/>
      </c>
      <c r="AO100" s="135" t="str" cm="1">
        <f t="array" ref="AO100">IF(ROWS($AN$2:$AN99)&lt;=$AN$2,INDEX($G$3:$G$3000,_xlfn.AGGREGATE(15,3,($B$3:$B$3000=$AM$2)/($B$3:$B$3000=$AM$2)*(ROW($B$3:$B$3000)-ROW($B$2)),ROWS($AN$2:$AN99))),"")</f>
        <v/>
      </c>
      <c r="AP100" s="121"/>
      <c r="AT100" s="111"/>
      <c r="AV100" s="133" t="str" cm="1">
        <f t="array" ref="AV100">IF(ROWS($AW$2:$AW99)&lt;=$AW$2,INDEX($AM$3:$AM$792,_xlfn.AGGREGATE(15,3,($AM$3:$AM$792='Planning Template'!$F$45)/($AM$3:$AM$792='Planning Template'!$F$45)*(ROW($AM$3:$AM$792)-ROW($AM$2)),ROWS($AW$2:$AW99))),"")</f>
        <v/>
      </c>
      <c r="AW100" s="134" t="str" cm="1">
        <f t="array" ref="AW100">IF(ROWS($AU$3:$AU100)&lt;=$AW$2,INDEX($AN$3:$AN$792,_xlfn.AGGREGATE(15,3,($AM$3:$AM$792='Planning Template'!$F$45)/($AM$3:$AM$792='Planning Template'!$F$45)*(ROW($AM$3:$AM$792)-ROW($AM$2)),ROWS($AU$3:$AU100))),"")</f>
        <v/>
      </c>
      <c r="AX100" s="135" t="str">
        <f>IF(AW100="","",SUMIFS(TableSSDPeopleGroups[Population], TableSSDPeopleGroups[Ctry],'Planning Template'!$F$30,TableSSDPeopleGroups[PrimaryReligion],'Planning Template'!$F$301,TableSSDPeopleGroups[PeopleCluster],'Planning Template'!$F$45,TableSSDPeopleGroups[PeopNameInCountry],$AW100))</f>
        <v/>
      </c>
      <c r="AY100" s="234" t="str">
        <f t="shared" si="8"/>
        <v/>
      </c>
    </row>
    <row r="101" spans="1:51" s="110" customFormat="1" ht="20" customHeight="1">
      <c r="A101" s="125" t="s">
        <v>1620</v>
      </c>
      <c r="B101" s="126" t="s">
        <v>61</v>
      </c>
      <c r="C101" s="127">
        <v>16146</v>
      </c>
      <c r="D101" s="163">
        <v>111244</v>
      </c>
      <c r="E101" s="164" t="s">
        <v>1798</v>
      </c>
      <c r="F101" s="164" t="s">
        <v>1798</v>
      </c>
      <c r="G101" s="165">
        <v>5100</v>
      </c>
      <c r="H101" s="165">
        <v>1</v>
      </c>
      <c r="I101" s="164" t="s">
        <v>187</v>
      </c>
      <c r="J101" s="164" t="s">
        <v>1799</v>
      </c>
      <c r="K101" s="164" t="s">
        <v>1800</v>
      </c>
      <c r="L101" s="165">
        <v>2</v>
      </c>
      <c r="M101" s="165">
        <v>2</v>
      </c>
      <c r="N101" s="164" t="s">
        <v>1718</v>
      </c>
      <c r="O101" s="165">
        <v>5</v>
      </c>
      <c r="P101" s="165">
        <v>1</v>
      </c>
      <c r="Q101" s="165">
        <v>20</v>
      </c>
      <c r="R101" s="164" t="s">
        <v>574</v>
      </c>
      <c r="S101" s="164" t="s">
        <v>575</v>
      </c>
      <c r="T101" s="165">
        <v>239</v>
      </c>
      <c r="U101" s="164" t="s">
        <v>1618</v>
      </c>
      <c r="V101" s="164" t="s">
        <v>1619</v>
      </c>
      <c r="W101" s="165">
        <v>2</v>
      </c>
      <c r="X101" s="165">
        <v>2</v>
      </c>
      <c r="Y101" s="164" t="s">
        <v>194</v>
      </c>
      <c r="Z101" s="164" t="s">
        <v>195</v>
      </c>
      <c r="AA101" s="164" t="s">
        <v>196</v>
      </c>
      <c r="AB101" s="164" t="s">
        <v>187</v>
      </c>
      <c r="AC101" s="164" t="s">
        <v>187</v>
      </c>
      <c r="AD101" s="165">
        <v>1</v>
      </c>
      <c r="AE101" s="164" t="s">
        <v>209</v>
      </c>
      <c r="AF101" s="165">
        <v>21.526309999999999</v>
      </c>
      <c r="AG101" s="166">
        <v>100.91377</v>
      </c>
      <c r="AI101" s="133">
        <f t="shared" si="9"/>
        <v>1</v>
      </c>
      <c r="AJ101" s="134" t="str">
        <v>Azerbaijani</v>
      </c>
      <c r="AK101" s="135">
        <f t="shared" si="10"/>
        <v>1000</v>
      </c>
      <c r="AM101" s="133" t="str" cm="1">
        <f t="array" ref="AM101">IF(ROWS($AN$2:$AN100)&lt;=$AN$2,INDEX($V$3:$V$3000,_xlfn.AGGREGATE(15,3,($B$3:$B$3000=$AM$2)/($B$3:$B$3000=$AM$2)*(ROW($B$3:$B$3000)-ROW($B$2)),ROWS($AN$2:$AN100))),"")</f>
        <v/>
      </c>
      <c r="AN101" s="134" t="str" cm="1">
        <f t="array" ref="AN101">IF(ROWS($AN$2:$AN100)&lt;=$AN$2,INDEX($F$3:$F$3000,_xlfn.AGGREGATE(15,3,($B$3:$B$3000=$AM$2)/($B$3:$B$3000=$AM$2)*(ROW($B$3:$B$3000)-ROW($B$2)),ROWS($AN$2:$AN100))),"")</f>
        <v/>
      </c>
      <c r="AO101" s="135" t="str" cm="1">
        <f t="array" ref="AO101">IF(ROWS($AN$2:$AN100)&lt;=$AN$2,INDEX($G$3:$G$3000,_xlfn.AGGREGATE(15,3,($B$3:$B$3000=$AM$2)/($B$3:$B$3000=$AM$2)*(ROW($B$3:$B$3000)-ROW($B$2)),ROWS($AN$2:$AN100))),"")</f>
        <v/>
      </c>
      <c r="AP101" s="121"/>
      <c r="AT101" s="111"/>
      <c r="AV101" s="133" t="str" cm="1">
        <f t="array" ref="AV101">IF(ROWS($AW$2:$AW100)&lt;=$AW$2,INDEX($AM$3:$AM$792,_xlfn.AGGREGATE(15,3,($AM$3:$AM$792='Planning Template'!$F$45)/($AM$3:$AM$792='Planning Template'!$F$45)*(ROW($AM$3:$AM$792)-ROW($AM$2)),ROWS($AW$2:$AW100))),"")</f>
        <v/>
      </c>
      <c r="AW101" s="134" t="str" cm="1">
        <f t="array" ref="AW101">IF(ROWS($AU$3:$AU101)&lt;=$AW$2,INDEX($AN$3:$AN$792,_xlfn.AGGREGATE(15,3,($AM$3:$AM$792='Planning Template'!$F$45)/($AM$3:$AM$792='Planning Template'!$F$45)*(ROW($AM$3:$AM$792)-ROW($AM$2)),ROWS($AU$3:$AU101))),"")</f>
        <v/>
      </c>
      <c r="AX101" s="135" t="str">
        <f>IF(AW101="","",SUMIFS(TableSSDPeopleGroups[Population], TableSSDPeopleGroups[Ctry],'Planning Template'!$F$30,TableSSDPeopleGroups[PrimaryReligion],'Planning Template'!$F$301,TableSSDPeopleGroups[PeopleCluster],'Planning Template'!$F$45,TableSSDPeopleGroups[PeopNameInCountry],$AW101))</f>
        <v/>
      </c>
      <c r="AY101" s="234" t="str">
        <f t="shared" si="8"/>
        <v/>
      </c>
    </row>
    <row r="102" spans="1:51" s="110" customFormat="1" ht="20" customHeight="1">
      <c r="A102" s="125" t="s">
        <v>1620</v>
      </c>
      <c r="B102" s="126" t="s">
        <v>61</v>
      </c>
      <c r="C102" s="127">
        <v>21531</v>
      </c>
      <c r="D102" s="163">
        <v>106270</v>
      </c>
      <c r="E102" s="164" t="s">
        <v>2148</v>
      </c>
      <c r="F102" s="164" t="s">
        <v>2148</v>
      </c>
      <c r="G102" s="165">
        <v>4000</v>
      </c>
      <c r="H102" s="165">
        <v>1</v>
      </c>
      <c r="I102" s="164" t="s">
        <v>187</v>
      </c>
      <c r="J102" s="164" t="s">
        <v>2149</v>
      </c>
      <c r="K102" s="164" t="s">
        <v>2148</v>
      </c>
      <c r="L102" s="165">
        <v>2</v>
      </c>
      <c r="M102" s="165">
        <v>2</v>
      </c>
      <c r="N102" s="164" t="s">
        <v>1718</v>
      </c>
      <c r="O102" s="165">
        <v>0</v>
      </c>
      <c r="P102" s="165">
        <v>0</v>
      </c>
      <c r="Q102" s="165">
        <v>20</v>
      </c>
      <c r="R102" s="164" t="s">
        <v>574</v>
      </c>
      <c r="S102" s="164" t="s">
        <v>575</v>
      </c>
      <c r="T102" s="165">
        <v>239</v>
      </c>
      <c r="U102" s="164" t="s">
        <v>1618</v>
      </c>
      <c r="V102" s="164" t="s">
        <v>1619</v>
      </c>
      <c r="W102" s="165">
        <v>2</v>
      </c>
      <c r="X102" s="165">
        <v>2</v>
      </c>
      <c r="Y102" s="164" t="s">
        <v>194</v>
      </c>
      <c r="Z102" s="164" t="s">
        <v>195</v>
      </c>
      <c r="AA102" s="164" t="s">
        <v>196</v>
      </c>
      <c r="AB102" s="164" t="s">
        <v>187</v>
      </c>
      <c r="AC102" s="164" t="s">
        <v>209</v>
      </c>
      <c r="AD102" s="165">
        <v>1</v>
      </c>
      <c r="AE102" s="164" t="s">
        <v>187</v>
      </c>
      <c r="AF102" s="165">
        <v>21.841435000000001</v>
      </c>
      <c r="AG102" s="166">
        <v>99.679400000000001</v>
      </c>
      <c r="AI102" s="133">
        <f t="shared" si="9"/>
        <v>41</v>
      </c>
      <c r="AJ102" s="134" t="str">
        <v>Baloch</v>
      </c>
      <c r="AK102" s="135">
        <f t="shared" si="10"/>
        <v>12338700</v>
      </c>
      <c r="AM102" s="133" t="str" cm="1">
        <f t="array" ref="AM102">IF(ROWS($AN$2:$AN101)&lt;=$AN$2,INDEX($V$3:$V$3000,_xlfn.AGGREGATE(15,3,($B$3:$B$3000=$AM$2)/($B$3:$B$3000=$AM$2)*(ROW($B$3:$B$3000)-ROW($B$2)),ROWS($AN$2:$AN101))),"")</f>
        <v/>
      </c>
      <c r="AN102" s="134" t="str" cm="1">
        <f t="array" ref="AN102">IF(ROWS($AN$2:$AN101)&lt;=$AN$2,INDEX($F$3:$F$3000,_xlfn.AGGREGATE(15,3,($B$3:$B$3000=$AM$2)/($B$3:$B$3000=$AM$2)*(ROW($B$3:$B$3000)-ROW($B$2)),ROWS($AN$2:$AN101))),"")</f>
        <v/>
      </c>
      <c r="AO102" s="135" t="str" cm="1">
        <f t="array" ref="AO102">IF(ROWS($AN$2:$AN101)&lt;=$AN$2,INDEX($G$3:$G$3000,_xlfn.AGGREGATE(15,3,($B$3:$B$3000=$AM$2)/($B$3:$B$3000=$AM$2)*(ROW($B$3:$B$3000)-ROW($B$2)),ROWS($AN$2:$AN101))),"")</f>
        <v/>
      </c>
      <c r="AP102" s="121"/>
      <c r="AT102" s="111"/>
      <c r="AV102" s="133" t="str" cm="1">
        <f t="array" ref="AV102">IF(ROWS($AW$2:$AW101)&lt;=$AW$2,INDEX($AM$3:$AM$792,_xlfn.AGGREGATE(15,3,($AM$3:$AM$792='Planning Template'!$F$45)/($AM$3:$AM$792='Planning Template'!$F$45)*(ROW($AM$3:$AM$792)-ROW($AM$2)),ROWS($AW$2:$AW101))),"")</f>
        <v/>
      </c>
      <c r="AW102" s="134" t="str" cm="1">
        <f t="array" ref="AW102">IF(ROWS($AU$3:$AU102)&lt;=$AW$2,INDEX($AN$3:$AN$792,_xlfn.AGGREGATE(15,3,($AM$3:$AM$792='Planning Template'!$F$45)/($AM$3:$AM$792='Planning Template'!$F$45)*(ROW($AM$3:$AM$792)-ROW($AM$2)),ROWS($AU$3:$AU102))),"")</f>
        <v/>
      </c>
      <c r="AX102" s="135" t="str">
        <f>IF(AW102="","",SUMIFS(TableSSDPeopleGroups[Population], TableSSDPeopleGroups[Ctry],'Planning Template'!$F$30,TableSSDPeopleGroups[PrimaryReligion],'Planning Template'!$F$301,TableSSDPeopleGroups[PeopleCluster],'Planning Template'!$F$45,TableSSDPeopleGroups[PeopNameInCountry],$AW102))</f>
        <v/>
      </c>
      <c r="AY102" s="234" t="str">
        <f t="shared" si="8"/>
        <v/>
      </c>
    </row>
    <row r="103" spans="1:51" s="110" customFormat="1" ht="20" customHeight="1">
      <c r="A103" s="125" t="s">
        <v>1620</v>
      </c>
      <c r="B103" s="126" t="s">
        <v>61</v>
      </c>
      <c r="C103" s="127">
        <v>14680</v>
      </c>
      <c r="D103" s="145">
        <v>108587</v>
      </c>
      <c r="E103" s="146" t="s">
        <v>2959</v>
      </c>
      <c r="F103" s="146" t="s">
        <v>2959</v>
      </c>
      <c r="G103" s="147">
        <v>11000</v>
      </c>
      <c r="H103" s="147">
        <v>4</v>
      </c>
      <c r="I103" s="146" t="s">
        <v>209</v>
      </c>
      <c r="J103" s="146" t="s">
        <v>2960</v>
      </c>
      <c r="K103" s="146" t="s">
        <v>2959</v>
      </c>
      <c r="L103" s="147">
        <v>2</v>
      </c>
      <c r="M103" s="147">
        <v>2</v>
      </c>
      <c r="N103" s="146" t="s">
        <v>1718</v>
      </c>
      <c r="O103" s="147">
        <v>7</v>
      </c>
      <c r="P103" s="147">
        <v>5.4</v>
      </c>
      <c r="Q103" s="147">
        <v>20</v>
      </c>
      <c r="R103" s="146" t="s">
        <v>574</v>
      </c>
      <c r="S103" s="146" t="s">
        <v>575</v>
      </c>
      <c r="T103" s="147">
        <v>239</v>
      </c>
      <c r="U103" s="146" t="s">
        <v>1618</v>
      </c>
      <c r="V103" s="146" t="s">
        <v>1619</v>
      </c>
      <c r="W103" s="147">
        <v>3</v>
      </c>
      <c r="X103" s="147">
        <v>2</v>
      </c>
      <c r="Y103" s="146" t="s">
        <v>194</v>
      </c>
      <c r="Z103" s="146" t="s">
        <v>195</v>
      </c>
      <c r="AA103" s="146" t="s">
        <v>196</v>
      </c>
      <c r="AB103" s="146" t="s">
        <v>187</v>
      </c>
      <c r="AC103" s="146" t="s">
        <v>187</v>
      </c>
      <c r="AD103" s="148"/>
      <c r="AE103" s="146" t="s">
        <v>209</v>
      </c>
      <c r="AF103" s="147">
        <v>21.70879</v>
      </c>
      <c r="AG103" s="149">
        <v>98.926739999999995</v>
      </c>
      <c r="AI103" s="133">
        <f t="shared" si="9"/>
        <v>5</v>
      </c>
      <c r="AJ103" s="134" t="str">
        <v>Brahui</v>
      </c>
      <c r="AK103" s="135">
        <f t="shared" si="10"/>
        <v>4413000</v>
      </c>
      <c r="AM103" s="133" t="str" cm="1">
        <f t="array" ref="AM103">IF(ROWS($AN$2:$AN102)&lt;=$AN$2,INDEX($V$3:$V$3000,_xlfn.AGGREGATE(15,3,($B$3:$B$3000=$AM$2)/($B$3:$B$3000=$AM$2)*(ROW($B$3:$B$3000)-ROW($B$2)),ROWS($AN$2:$AN102))),"")</f>
        <v/>
      </c>
      <c r="AN103" s="134" t="str" cm="1">
        <f t="array" ref="AN103">IF(ROWS($AN$2:$AN102)&lt;=$AN$2,INDEX($F$3:$F$3000,_xlfn.AGGREGATE(15,3,($B$3:$B$3000=$AM$2)/($B$3:$B$3000=$AM$2)*(ROW($B$3:$B$3000)-ROW($B$2)),ROWS($AN$2:$AN102))),"")</f>
        <v/>
      </c>
      <c r="AO103" s="135" t="str" cm="1">
        <f t="array" ref="AO103">IF(ROWS($AN$2:$AN102)&lt;=$AN$2,INDEX($G$3:$G$3000,_xlfn.AGGREGATE(15,3,($B$3:$B$3000=$AM$2)/($B$3:$B$3000=$AM$2)*(ROW($B$3:$B$3000)-ROW($B$2)),ROWS($AN$2:$AN102))),"")</f>
        <v/>
      </c>
      <c r="AP103" s="121"/>
      <c r="AT103" s="111"/>
      <c r="AV103" s="133" t="str" cm="1">
        <f t="array" ref="AV103">IF(ROWS($AW$2:$AW102)&lt;=$AW$2,INDEX($AM$3:$AM$792,_xlfn.AGGREGATE(15,3,($AM$3:$AM$792='Planning Template'!$F$45)/($AM$3:$AM$792='Planning Template'!$F$45)*(ROW($AM$3:$AM$792)-ROW($AM$2)),ROWS($AW$2:$AW102))),"")</f>
        <v/>
      </c>
      <c r="AW103" s="134" t="str" cm="1">
        <f t="array" ref="AW103">IF(ROWS($AU$3:$AU103)&lt;=$AW$2,INDEX($AN$3:$AN$792,_xlfn.AGGREGATE(15,3,($AM$3:$AM$792='Planning Template'!$F$45)/($AM$3:$AM$792='Planning Template'!$F$45)*(ROW($AM$3:$AM$792)-ROW($AM$2)),ROWS($AU$3:$AU103))),"")</f>
        <v/>
      </c>
      <c r="AX103" s="135" t="str">
        <f>IF(AW103="","",SUMIFS(TableSSDPeopleGroups[Population], TableSSDPeopleGroups[Ctry],'Planning Template'!$F$30,TableSSDPeopleGroups[PrimaryReligion],'Planning Template'!$F$301,TableSSDPeopleGroups[PeopleCluster],'Planning Template'!$F$45,TableSSDPeopleGroups[PeopNameInCountry],$AW103))</f>
        <v/>
      </c>
      <c r="AY103" s="234" t="str">
        <f t="shared" si="8"/>
        <v/>
      </c>
    </row>
    <row r="104" spans="1:51" s="110" customFormat="1" ht="20" customHeight="1">
      <c r="A104" s="125" t="s">
        <v>1620</v>
      </c>
      <c r="B104" s="126" t="s">
        <v>61</v>
      </c>
      <c r="C104" s="127">
        <v>21066</v>
      </c>
      <c r="D104" s="145">
        <v>117896</v>
      </c>
      <c r="E104" s="146" t="s">
        <v>3091</v>
      </c>
      <c r="F104" s="146" t="s">
        <v>3091</v>
      </c>
      <c r="G104" s="147">
        <v>4400</v>
      </c>
      <c r="H104" s="147">
        <v>4</v>
      </c>
      <c r="I104" s="146" t="s">
        <v>209</v>
      </c>
      <c r="J104" s="146" t="s">
        <v>3092</v>
      </c>
      <c r="K104" s="146" t="s">
        <v>3091</v>
      </c>
      <c r="L104" s="147">
        <v>3</v>
      </c>
      <c r="M104" s="147">
        <v>2</v>
      </c>
      <c r="N104" s="146" t="s">
        <v>1718</v>
      </c>
      <c r="O104" s="147">
        <v>10</v>
      </c>
      <c r="P104" s="147">
        <v>10</v>
      </c>
      <c r="Q104" s="147">
        <v>20</v>
      </c>
      <c r="R104" s="146" t="s">
        <v>574</v>
      </c>
      <c r="S104" s="146" t="s">
        <v>575</v>
      </c>
      <c r="T104" s="147">
        <v>239</v>
      </c>
      <c r="U104" s="146" t="s">
        <v>1618</v>
      </c>
      <c r="V104" s="146" t="s">
        <v>1619</v>
      </c>
      <c r="W104" s="147">
        <v>2</v>
      </c>
      <c r="X104" s="147">
        <v>2</v>
      </c>
      <c r="Y104" s="146" t="s">
        <v>194</v>
      </c>
      <c r="Z104" s="146" t="s">
        <v>195</v>
      </c>
      <c r="AA104" s="146" t="s">
        <v>196</v>
      </c>
      <c r="AB104" s="146" t="s">
        <v>187</v>
      </c>
      <c r="AC104" s="146" t="s">
        <v>187</v>
      </c>
      <c r="AD104" s="148"/>
      <c r="AE104" s="146" t="s">
        <v>209</v>
      </c>
      <c r="AF104" s="147">
        <v>21.180118</v>
      </c>
      <c r="AG104" s="149">
        <v>100.356661</v>
      </c>
      <c r="AI104" s="133">
        <f t="shared" si="9"/>
        <v>1</v>
      </c>
      <c r="AJ104" s="134" t="str">
        <v>Egyptian</v>
      </c>
      <c r="AK104" s="135">
        <f t="shared" si="10"/>
        <v>11000</v>
      </c>
      <c r="AM104" s="133" t="str" cm="1">
        <f t="array" ref="AM104">IF(ROWS($AN$2:$AN103)&lt;=$AN$2,INDEX($V$3:$V$3000,_xlfn.AGGREGATE(15,3,($B$3:$B$3000=$AM$2)/($B$3:$B$3000=$AM$2)*(ROW($B$3:$B$3000)-ROW($B$2)),ROWS($AN$2:$AN103))),"")</f>
        <v/>
      </c>
      <c r="AN104" s="134" t="str" cm="1">
        <f t="array" ref="AN104">IF(ROWS($AN$2:$AN103)&lt;=$AN$2,INDEX($F$3:$F$3000,_xlfn.AGGREGATE(15,3,($B$3:$B$3000=$AM$2)/($B$3:$B$3000=$AM$2)*(ROW($B$3:$B$3000)-ROW($B$2)),ROWS($AN$2:$AN103))),"")</f>
        <v/>
      </c>
      <c r="AO104" s="135" t="str" cm="1">
        <f t="array" ref="AO104">IF(ROWS($AN$2:$AN103)&lt;=$AN$2,INDEX($G$3:$G$3000,_xlfn.AGGREGATE(15,3,($B$3:$B$3000=$AM$2)/($B$3:$B$3000=$AM$2)*(ROW($B$3:$B$3000)-ROW($B$2)),ROWS($AN$2:$AN103))),"")</f>
        <v/>
      </c>
      <c r="AP104" s="121"/>
      <c r="AT104" s="111"/>
      <c r="AV104" s="133" t="str" cm="1">
        <f t="array" ref="AV104">IF(ROWS($AW$2:$AW103)&lt;=$AW$2,INDEX($AM$3:$AM$792,_xlfn.AGGREGATE(15,3,($AM$3:$AM$792='Planning Template'!$F$45)/($AM$3:$AM$792='Planning Template'!$F$45)*(ROW($AM$3:$AM$792)-ROW($AM$2)),ROWS($AW$2:$AW103))),"")</f>
        <v/>
      </c>
      <c r="AW104" s="134" t="str" cm="1">
        <f t="array" ref="AW104">IF(ROWS($AU$3:$AU104)&lt;=$AW$2,INDEX($AN$3:$AN$792,_xlfn.AGGREGATE(15,3,($AM$3:$AM$792='Planning Template'!$F$45)/($AM$3:$AM$792='Planning Template'!$F$45)*(ROW($AM$3:$AM$792)-ROW($AM$2)),ROWS($AU$3:$AU104))),"")</f>
        <v/>
      </c>
      <c r="AX104" s="135" t="str">
        <f>IF(AW104="","",SUMIFS(TableSSDPeopleGroups[Population], TableSSDPeopleGroups[Ctry],'Planning Template'!$F$30,TableSSDPeopleGroups[PrimaryReligion],'Planning Template'!$F$301,TableSSDPeopleGroups[PeopleCluster],'Planning Template'!$F$45,TableSSDPeopleGroups[PeopNameInCountry],$AW104))</f>
        <v/>
      </c>
      <c r="AY104" s="234" t="str">
        <f t="shared" si="8"/>
        <v/>
      </c>
    </row>
    <row r="105" spans="1:51" s="110" customFormat="1" ht="20" customHeight="1">
      <c r="A105" s="125" t="s">
        <v>478</v>
      </c>
      <c r="B105" s="126" t="s">
        <v>56</v>
      </c>
      <c r="C105" s="127">
        <v>19921</v>
      </c>
      <c r="D105" s="163">
        <v>107448</v>
      </c>
      <c r="E105" s="164" t="s">
        <v>4877</v>
      </c>
      <c r="F105" s="164" t="s">
        <v>4877</v>
      </c>
      <c r="G105" s="165">
        <v>1455000</v>
      </c>
      <c r="H105" s="165">
        <v>1</v>
      </c>
      <c r="I105" s="164" t="s">
        <v>187</v>
      </c>
      <c r="J105" s="164" t="s">
        <v>4878</v>
      </c>
      <c r="K105" s="164" t="s">
        <v>4877</v>
      </c>
      <c r="L105" s="165">
        <v>5</v>
      </c>
      <c r="M105" s="165">
        <v>2</v>
      </c>
      <c r="N105" s="164" t="s">
        <v>1718</v>
      </c>
      <c r="O105" s="165">
        <v>2</v>
      </c>
      <c r="P105" s="165">
        <v>1.33</v>
      </c>
      <c r="Q105" s="165">
        <v>20</v>
      </c>
      <c r="R105" s="164" t="s">
        <v>574</v>
      </c>
      <c r="S105" s="164" t="s">
        <v>575</v>
      </c>
      <c r="T105" s="165">
        <v>239</v>
      </c>
      <c r="U105" s="164" t="s">
        <v>1618</v>
      </c>
      <c r="V105" s="164" t="s">
        <v>1619</v>
      </c>
      <c r="W105" s="165">
        <v>1</v>
      </c>
      <c r="X105" s="165">
        <v>2</v>
      </c>
      <c r="Y105" s="164" t="s">
        <v>194</v>
      </c>
      <c r="Z105" s="164" t="s">
        <v>195</v>
      </c>
      <c r="AA105" s="164" t="s">
        <v>196</v>
      </c>
      <c r="AB105" s="164" t="s">
        <v>187</v>
      </c>
      <c r="AC105" s="164" t="s">
        <v>187</v>
      </c>
      <c r="AD105" s="165">
        <v>29</v>
      </c>
      <c r="AE105" s="164" t="s">
        <v>209</v>
      </c>
      <c r="AF105" s="165">
        <v>14.66839</v>
      </c>
      <c r="AG105" s="166">
        <v>103.59815999999999</v>
      </c>
      <c r="AI105" s="133">
        <f t="shared" si="9"/>
        <v>6</v>
      </c>
      <c r="AJ105" s="134" t="str">
        <v>Gorontalo of Sulawesi</v>
      </c>
      <c r="AK105" s="135">
        <f t="shared" si="10"/>
        <v>1227000</v>
      </c>
      <c r="AM105" s="133" t="str" cm="1">
        <f t="array" ref="AM105">IF(ROWS($AN$2:$AN104)&lt;=$AN$2,INDEX($V$3:$V$3000,_xlfn.AGGREGATE(15,3,($B$3:$B$3000=$AM$2)/($B$3:$B$3000=$AM$2)*(ROW($B$3:$B$3000)-ROW($B$2)),ROWS($AN$2:$AN104))),"")</f>
        <v/>
      </c>
      <c r="AN105" s="134" t="str" cm="1">
        <f t="array" ref="AN105">IF(ROWS($AN$2:$AN104)&lt;=$AN$2,INDEX($F$3:$F$3000,_xlfn.AGGREGATE(15,3,($B$3:$B$3000=$AM$2)/($B$3:$B$3000=$AM$2)*(ROW($B$3:$B$3000)-ROW($B$2)),ROWS($AN$2:$AN104))),"")</f>
        <v/>
      </c>
      <c r="AO105" s="135" t="str" cm="1">
        <f t="array" ref="AO105">IF(ROWS($AN$2:$AN104)&lt;=$AN$2,INDEX($G$3:$G$3000,_xlfn.AGGREGATE(15,3,($B$3:$B$3000=$AM$2)/($B$3:$B$3000=$AM$2)*(ROW($B$3:$B$3000)-ROW($B$2)),ROWS($AN$2:$AN104))),"")</f>
        <v/>
      </c>
      <c r="AP105" s="121"/>
      <c r="AT105" s="111"/>
      <c r="AV105" s="133" t="str" cm="1">
        <f t="array" ref="AV105">IF(ROWS($AW$2:$AW104)&lt;=$AW$2,INDEX($AM$3:$AM$792,_xlfn.AGGREGATE(15,3,($AM$3:$AM$792='Planning Template'!$F$45)/($AM$3:$AM$792='Planning Template'!$F$45)*(ROW($AM$3:$AM$792)-ROW($AM$2)),ROWS($AW$2:$AW104))),"")</f>
        <v/>
      </c>
      <c r="AW105" s="134" t="str" cm="1">
        <f t="array" ref="AW105">IF(ROWS($AU$3:$AU105)&lt;=$AW$2,INDEX($AN$3:$AN$792,_xlfn.AGGREGATE(15,3,($AM$3:$AM$792='Planning Template'!$F$45)/($AM$3:$AM$792='Planning Template'!$F$45)*(ROW($AM$3:$AM$792)-ROW($AM$2)),ROWS($AU$3:$AU105))),"")</f>
        <v/>
      </c>
      <c r="AX105" s="135" t="str">
        <f>IF(AW105="","",SUMIFS(TableSSDPeopleGroups[Population], TableSSDPeopleGroups[Ctry],'Planning Template'!$F$30,TableSSDPeopleGroups[PrimaryReligion],'Planning Template'!$F$301,TableSSDPeopleGroups[PeopleCluster],'Planning Template'!$F$45,TableSSDPeopleGroups[PeopNameInCountry],$AW105))</f>
        <v/>
      </c>
      <c r="AY105" s="234" t="str">
        <f t="shared" si="8"/>
        <v/>
      </c>
    </row>
    <row r="106" spans="1:51" s="110" customFormat="1" ht="20" customHeight="1">
      <c r="A106" s="125" t="s">
        <v>478</v>
      </c>
      <c r="B106" s="126" t="s">
        <v>56</v>
      </c>
      <c r="C106" s="127">
        <v>19055</v>
      </c>
      <c r="D106" s="163">
        <v>105352</v>
      </c>
      <c r="E106" s="164" t="s">
        <v>2840</v>
      </c>
      <c r="F106" s="164" t="s">
        <v>2840</v>
      </c>
      <c r="G106" s="165">
        <v>420000</v>
      </c>
      <c r="H106" s="165">
        <v>1</v>
      </c>
      <c r="I106" s="164" t="s">
        <v>187</v>
      </c>
      <c r="J106" s="164" t="s">
        <v>4271</v>
      </c>
      <c r="K106" s="164" t="s">
        <v>4272</v>
      </c>
      <c r="L106" s="165">
        <v>5</v>
      </c>
      <c r="M106" s="165">
        <v>2</v>
      </c>
      <c r="N106" s="164" t="s">
        <v>1718</v>
      </c>
      <c r="O106" s="165">
        <v>2</v>
      </c>
      <c r="P106" s="165">
        <v>0.41</v>
      </c>
      <c r="Q106" s="165">
        <v>20</v>
      </c>
      <c r="R106" s="164" t="s">
        <v>574</v>
      </c>
      <c r="S106" s="164" t="s">
        <v>575</v>
      </c>
      <c r="T106" s="165">
        <v>239</v>
      </c>
      <c r="U106" s="164" t="s">
        <v>1618</v>
      </c>
      <c r="V106" s="164" t="s">
        <v>1619</v>
      </c>
      <c r="W106" s="165">
        <v>3</v>
      </c>
      <c r="X106" s="165">
        <v>2</v>
      </c>
      <c r="Y106" s="164" t="s">
        <v>194</v>
      </c>
      <c r="Z106" s="164" t="s">
        <v>195</v>
      </c>
      <c r="AA106" s="164" t="s">
        <v>196</v>
      </c>
      <c r="AB106" s="164" t="s">
        <v>187</v>
      </c>
      <c r="AC106" s="164" t="s">
        <v>187</v>
      </c>
      <c r="AD106" s="165">
        <v>8</v>
      </c>
      <c r="AE106" s="164" t="s">
        <v>209</v>
      </c>
      <c r="AF106" s="165">
        <v>14.7016399995863</v>
      </c>
      <c r="AG106" s="166">
        <v>103.77954999983299</v>
      </c>
      <c r="AI106" s="133">
        <f t="shared" si="9"/>
        <v>4</v>
      </c>
      <c r="AJ106" s="134" t="str">
        <v>Hui, Dungan</v>
      </c>
      <c r="AK106" s="135">
        <f t="shared" si="10"/>
        <v>115900</v>
      </c>
      <c r="AM106" s="133" t="str" cm="1">
        <f t="array" ref="AM106">IF(ROWS($AN$2:$AN105)&lt;=$AN$2,INDEX($V$3:$V$3000,_xlfn.AGGREGATE(15,3,($B$3:$B$3000=$AM$2)/($B$3:$B$3000=$AM$2)*(ROW($B$3:$B$3000)-ROW($B$2)),ROWS($AN$2:$AN105))),"")</f>
        <v/>
      </c>
      <c r="AN106" s="134" t="str" cm="1">
        <f t="array" ref="AN106">IF(ROWS($AN$2:$AN105)&lt;=$AN$2,INDEX($F$3:$F$3000,_xlfn.AGGREGATE(15,3,($B$3:$B$3000=$AM$2)/($B$3:$B$3000=$AM$2)*(ROW($B$3:$B$3000)-ROW($B$2)),ROWS($AN$2:$AN105))),"")</f>
        <v/>
      </c>
      <c r="AO106" s="135" t="str" cm="1">
        <f t="array" ref="AO106">IF(ROWS($AN$2:$AN105)&lt;=$AN$2,INDEX($G$3:$G$3000,_xlfn.AGGREGATE(15,3,($B$3:$B$3000=$AM$2)/($B$3:$B$3000=$AM$2)*(ROW($B$3:$B$3000)-ROW($B$2)),ROWS($AN$2:$AN105))),"")</f>
        <v/>
      </c>
      <c r="AP106" s="121"/>
      <c r="AT106" s="111"/>
      <c r="AV106" s="133" t="str" cm="1">
        <f t="array" ref="AV106">IF(ROWS($AW$2:$AW105)&lt;=$AW$2,INDEX($AM$3:$AM$792,_xlfn.AGGREGATE(15,3,($AM$3:$AM$792='Planning Template'!$F$45)/($AM$3:$AM$792='Planning Template'!$F$45)*(ROW($AM$3:$AM$792)-ROW($AM$2)),ROWS($AW$2:$AW105))),"")</f>
        <v/>
      </c>
      <c r="AW106" s="134" t="str" cm="1">
        <f t="array" ref="AW106">IF(ROWS($AU$3:$AU106)&lt;=$AW$2,INDEX($AN$3:$AN$792,_xlfn.AGGREGATE(15,3,($AM$3:$AM$792='Planning Template'!$F$45)/($AM$3:$AM$792='Planning Template'!$F$45)*(ROW($AM$3:$AM$792)-ROW($AM$2)),ROWS($AU$3:$AU106))),"")</f>
        <v/>
      </c>
      <c r="AX106" s="135" t="str">
        <f>IF(AW106="","",SUMIFS(TableSSDPeopleGroups[Population], TableSSDPeopleGroups[Ctry],'Planning Template'!$F$30,TableSSDPeopleGroups[PrimaryReligion],'Planning Template'!$F$301,TableSSDPeopleGroups[PeopleCluster],'Planning Template'!$F$45,TableSSDPeopleGroups[PeopNameInCountry],$AW106))</f>
        <v/>
      </c>
      <c r="AY106" s="234" t="str">
        <f t="shared" si="8"/>
        <v/>
      </c>
    </row>
    <row r="107" spans="1:51" s="110" customFormat="1" ht="20" customHeight="1">
      <c r="A107" s="125" t="s">
        <v>478</v>
      </c>
      <c r="B107" s="126" t="s">
        <v>56</v>
      </c>
      <c r="C107" s="127">
        <v>14966</v>
      </c>
      <c r="D107" s="163">
        <v>109364</v>
      </c>
      <c r="E107" s="164" t="s">
        <v>4528</v>
      </c>
      <c r="F107" s="164" t="s">
        <v>4528</v>
      </c>
      <c r="G107" s="165">
        <v>73000</v>
      </c>
      <c r="H107" s="165">
        <v>1</v>
      </c>
      <c r="I107" s="164" t="s">
        <v>187</v>
      </c>
      <c r="J107" s="164" t="s">
        <v>4529</v>
      </c>
      <c r="K107" s="164" t="s">
        <v>4528</v>
      </c>
      <c r="L107" s="165">
        <v>3</v>
      </c>
      <c r="M107" s="165">
        <v>2</v>
      </c>
      <c r="N107" s="164" t="s">
        <v>1718</v>
      </c>
      <c r="O107" s="165">
        <v>1</v>
      </c>
      <c r="P107" s="165">
        <v>0.5</v>
      </c>
      <c r="Q107" s="165">
        <v>20</v>
      </c>
      <c r="R107" s="164" t="s">
        <v>574</v>
      </c>
      <c r="S107" s="164" t="s">
        <v>575</v>
      </c>
      <c r="T107" s="165">
        <v>239</v>
      </c>
      <c r="U107" s="164" t="s">
        <v>1618</v>
      </c>
      <c r="V107" s="164" t="s">
        <v>1619</v>
      </c>
      <c r="W107" s="165">
        <v>2</v>
      </c>
      <c r="X107" s="165">
        <v>2</v>
      </c>
      <c r="Y107" s="164" t="s">
        <v>194</v>
      </c>
      <c r="Z107" s="164" t="s">
        <v>195</v>
      </c>
      <c r="AA107" s="164" t="s">
        <v>196</v>
      </c>
      <c r="AB107" s="164" t="s">
        <v>187</v>
      </c>
      <c r="AC107" s="164" t="s">
        <v>187</v>
      </c>
      <c r="AD107" s="165">
        <v>1</v>
      </c>
      <c r="AE107" s="164" t="s">
        <v>209</v>
      </c>
      <c r="AF107" s="165">
        <v>16.881879999999999</v>
      </c>
      <c r="AG107" s="166">
        <v>104.68151</v>
      </c>
      <c r="AI107" s="133">
        <f t="shared" si="9"/>
        <v>9</v>
      </c>
      <c r="AJ107" s="134" t="str">
        <v>Lampung of Sumatra</v>
      </c>
      <c r="AK107" s="135">
        <f t="shared" si="10"/>
        <v>1716000</v>
      </c>
      <c r="AM107" s="133" t="str" cm="1">
        <f t="array" ref="AM107">IF(ROWS($AN$2:$AN106)&lt;=$AN$2,INDEX($V$3:$V$3000,_xlfn.AGGREGATE(15,3,($B$3:$B$3000=$AM$2)/($B$3:$B$3000=$AM$2)*(ROW($B$3:$B$3000)-ROW($B$2)),ROWS($AN$2:$AN106))),"")</f>
        <v/>
      </c>
      <c r="AN107" s="134" t="str" cm="1">
        <f t="array" ref="AN107">IF(ROWS($AN$2:$AN106)&lt;=$AN$2,INDEX($F$3:$F$3000,_xlfn.AGGREGATE(15,3,($B$3:$B$3000=$AM$2)/($B$3:$B$3000=$AM$2)*(ROW($B$3:$B$3000)-ROW($B$2)),ROWS($AN$2:$AN106))),"")</f>
        <v/>
      </c>
      <c r="AO107" s="135" t="str" cm="1">
        <f t="array" ref="AO107">IF(ROWS($AN$2:$AN106)&lt;=$AN$2,INDEX($G$3:$G$3000,_xlfn.AGGREGATE(15,3,($B$3:$B$3000=$AM$2)/($B$3:$B$3000=$AM$2)*(ROW($B$3:$B$3000)-ROW($B$2)),ROWS($AN$2:$AN106))),"")</f>
        <v/>
      </c>
      <c r="AP107" s="121"/>
      <c r="AT107" s="111"/>
      <c r="AV107" s="133" t="str" cm="1">
        <f t="array" ref="AV107">IF(ROWS($AW$2:$AW106)&lt;=$AW$2,INDEX($AM$3:$AM$792,_xlfn.AGGREGATE(15,3,($AM$3:$AM$792='Planning Template'!$F$45)/($AM$3:$AM$792='Planning Template'!$F$45)*(ROW($AM$3:$AM$792)-ROW($AM$2)),ROWS($AW$2:$AW106))),"")</f>
        <v/>
      </c>
      <c r="AW107" s="134" t="str" cm="1">
        <f t="array" ref="AW107">IF(ROWS($AU$3:$AU107)&lt;=$AW$2,INDEX($AN$3:$AN$792,_xlfn.AGGREGATE(15,3,($AM$3:$AM$792='Planning Template'!$F$45)/($AM$3:$AM$792='Planning Template'!$F$45)*(ROW($AM$3:$AM$792)-ROW($AM$2)),ROWS($AU$3:$AU107))),"")</f>
        <v/>
      </c>
      <c r="AX107" s="135" t="str">
        <f>IF(AW107="","",SUMIFS(TableSSDPeopleGroups[Population], TableSSDPeopleGroups[Ctry],'Planning Template'!$F$30,TableSSDPeopleGroups[PrimaryReligion],'Planning Template'!$F$301,TableSSDPeopleGroups[PeopleCluster],'Planning Template'!$F$45,TableSSDPeopleGroups[PeopNameInCountry],$AW107))</f>
        <v/>
      </c>
      <c r="AY107" s="234" t="str">
        <f t="shared" si="8"/>
        <v/>
      </c>
    </row>
    <row r="108" spans="1:51" s="110" customFormat="1" ht="20" customHeight="1">
      <c r="A108" s="125" t="s">
        <v>478</v>
      </c>
      <c r="B108" s="126" t="s">
        <v>56</v>
      </c>
      <c r="C108" s="127">
        <v>12662</v>
      </c>
      <c r="D108" s="163">
        <v>104946</v>
      </c>
      <c r="E108" s="164" t="s">
        <v>1751</v>
      </c>
      <c r="F108" s="164" t="s">
        <v>1751</v>
      </c>
      <c r="G108" s="165">
        <v>65000</v>
      </c>
      <c r="H108" s="165">
        <v>1</v>
      </c>
      <c r="I108" s="164" t="s">
        <v>187</v>
      </c>
      <c r="J108" s="164" t="s">
        <v>1750</v>
      </c>
      <c r="K108" s="164" t="s">
        <v>1751</v>
      </c>
      <c r="L108" s="165">
        <v>5</v>
      </c>
      <c r="M108" s="165">
        <v>2</v>
      </c>
      <c r="N108" s="164" t="s">
        <v>1718</v>
      </c>
      <c r="O108" s="165">
        <v>3</v>
      </c>
      <c r="P108" s="165">
        <v>1.6</v>
      </c>
      <c r="Q108" s="165">
        <v>20</v>
      </c>
      <c r="R108" s="164" t="s">
        <v>574</v>
      </c>
      <c r="S108" s="164" t="s">
        <v>575</v>
      </c>
      <c r="T108" s="165">
        <v>239</v>
      </c>
      <c r="U108" s="164" t="s">
        <v>1618</v>
      </c>
      <c r="V108" s="164" t="s">
        <v>1619</v>
      </c>
      <c r="W108" s="165">
        <v>14</v>
      </c>
      <c r="X108" s="165">
        <v>2</v>
      </c>
      <c r="Y108" s="164" t="s">
        <v>194</v>
      </c>
      <c r="Z108" s="164" t="s">
        <v>195</v>
      </c>
      <c r="AA108" s="164" t="s">
        <v>196</v>
      </c>
      <c r="AB108" s="164" t="s">
        <v>187</v>
      </c>
      <c r="AC108" s="164" t="s">
        <v>209</v>
      </c>
      <c r="AD108" s="165">
        <v>1</v>
      </c>
      <c r="AE108" s="164" t="s">
        <v>209</v>
      </c>
      <c r="AF108" s="165">
        <v>11.7752733506846</v>
      </c>
      <c r="AG108" s="166">
        <v>102.886087074659</v>
      </c>
      <c r="AI108" s="133">
        <f t="shared" si="9"/>
        <v>5</v>
      </c>
      <c r="AJ108" s="134" t="str">
        <v>Madura of Java</v>
      </c>
      <c r="AK108" s="135">
        <f t="shared" si="10"/>
        <v>7798000</v>
      </c>
      <c r="AM108" s="133" t="str" cm="1">
        <f t="array" ref="AM108">IF(ROWS($AN$2:$AN107)&lt;=$AN$2,INDEX($V$3:$V$3000,_xlfn.AGGREGATE(15,3,($B$3:$B$3000=$AM$2)/($B$3:$B$3000=$AM$2)*(ROW($B$3:$B$3000)-ROW($B$2)),ROWS($AN$2:$AN107))),"")</f>
        <v/>
      </c>
      <c r="AN108" s="134" t="str" cm="1">
        <f t="array" ref="AN108">IF(ROWS($AN$2:$AN107)&lt;=$AN$2,INDEX($F$3:$F$3000,_xlfn.AGGREGATE(15,3,($B$3:$B$3000=$AM$2)/($B$3:$B$3000=$AM$2)*(ROW($B$3:$B$3000)-ROW($B$2)),ROWS($AN$2:$AN107))),"")</f>
        <v/>
      </c>
      <c r="AO108" s="135" t="str" cm="1">
        <f t="array" ref="AO108">IF(ROWS($AN$2:$AN107)&lt;=$AN$2,INDEX($G$3:$G$3000,_xlfn.AGGREGATE(15,3,($B$3:$B$3000=$AM$2)/($B$3:$B$3000=$AM$2)*(ROW($B$3:$B$3000)-ROW($B$2)),ROWS($AN$2:$AN107))),"")</f>
        <v/>
      </c>
      <c r="AP108" s="121"/>
      <c r="AT108" s="111"/>
      <c r="AV108" s="133" t="str" cm="1">
        <f t="array" ref="AV108">IF(ROWS($AW$2:$AW107)&lt;=$AW$2,INDEX($AM$3:$AM$792,_xlfn.AGGREGATE(15,3,($AM$3:$AM$792='Planning Template'!$F$45)/($AM$3:$AM$792='Planning Template'!$F$45)*(ROW($AM$3:$AM$792)-ROW($AM$2)),ROWS($AW$2:$AW107))),"")</f>
        <v/>
      </c>
      <c r="AW108" s="134" t="str" cm="1">
        <f t="array" ref="AW108">IF(ROWS($AU$3:$AU108)&lt;=$AW$2,INDEX($AN$3:$AN$792,_xlfn.AGGREGATE(15,3,($AM$3:$AM$792='Planning Template'!$F$45)/($AM$3:$AM$792='Planning Template'!$F$45)*(ROW($AM$3:$AM$792)-ROW($AM$2)),ROWS($AU$3:$AU108))),"")</f>
        <v/>
      </c>
      <c r="AX108" s="135" t="str">
        <f>IF(AW108="","",SUMIFS(TableSSDPeopleGroups[Population], TableSSDPeopleGroups[Ctry],'Planning Template'!$F$30,TableSSDPeopleGroups[PrimaryReligion],'Planning Template'!$F$301,TableSSDPeopleGroups[PeopleCluster],'Planning Template'!$F$45,TableSSDPeopleGroups[PeopNameInCountry],$AW108))</f>
        <v/>
      </c>
      <c r="AY108" s="234" t="str">
        <f t="shared" si="8"/>
        <v/>
      </c>
    </row>
    <row r="109" spans="1:51" s="110" customFormat="1" ht="20" customHeight="1">
      <c r="A109" s="125" t="s">
        <v>478</v>
      </c>
      <c r="B109" s="126" t="s">
        <v>56</v>
      </c>
      <c r="C109" s="127">
        <v>11686</v>
      </c>
      <c r="D109" s="163">
        <v>102833</v>
      </c>
      <c r="E109" s="164" t="s">
        <v>2200</v>
      </c>
      <c r="F109" s="164" t="s">
        <v>2200</v>
      </c>
      <c r="G109" s="165">
        <v>25000</v>
      </c>
      <c r="H109" s="165">
        <v>1</v>
      </c>
      <c r="I109" s="164" t="s">
        <v>187</v>
      </c>
      <c r="J109" s="164" t="s">
        <v>2199</v>
      </c>
      <c r="K109" s="164" t="s">
        <v>2200</v>
      </c>
      <c r="L109" s="165">
        <v>5</v>
      </c>
      <c r="M109" s="165">
        <v>2</v>
      </c>
      <c r="N109" s="164" t="s">
        <v>1718</v>
      </c>
      <c r="O109" s="165">
        <v>2</v>
      </c>
      <c r="P109" s="165">
        <v>1</v>
      </c>
      <c r="Q109" s="165">
        <v>20</v>
      </c>
      <c r="R109" s="164" t="s">
        <v>574</v>
      </c>
      <c r="S109" s="164" t="s">
        <v>575</v>
      </c>
      <c r="T109" s="165">
        <v>239</v>
      </c>
      <c r="U109" s="164" t="s">
        <v>1618</v>
      </c>
      <c r="V109" s="164" t="s">
        <v>1619</v>
      </c>
      <c r="W109" s="165">
        <v>3</v>
      </c>
      <c r="X109" s="165">
        <v>2</v>
      </c>
      <c r="Y109" s="164" t="s">
        <v>194</v>
      </c>
      <c r="Z109" s="164" t="s">
        <v>195</v>
      </c>
      <c r="AA109" s="164" t="s">
        <v>196</v>
      </c>
      <c r="AB109" s="164" t="s">
        <v>187</v>
      </c>
      <c r="AC109" s="164" t="s">
        <v>209</v>
      </c>
      <c r="AD109" s="165">
        <v>1</v>
      </c>
      <c r="AE109" s="164" t="s">
        <v>209</v>
      </c>
      <c r="AF109" s="165">
        <v>15.975605</v>
      </c>
      <c r="AG109" s="166">
        <v>105.211545</v>
      </c>
      <c r="AI109" s="133">
        <f t="shared" si="9"/>
        <v>7</v>
      </c>
      <c r="AJ109" s="134" t="str">
        <v>Minangkabau-Rejang of Sumatra</v>
      </c>
      <c r="AK109" s="135">
        <f t="shared" si="10"/>
        <v>7649000</v>
      </c>
      <c r="AM109" s="133" t="str" cm="1">
        <f t="array" ref="AM109">IF(ROWS($AN$2:$AN108)&lt;=$AN$2,INDEX($V$3:$V$3000,_xlfn.AGGREGATE(15,3,($B$3:$B$3000=$AM$2)/($B$3:$B$3000=$AM$2)*(ROW($B$3:$B$3000)-ROW($B$2)),ROWS($AN$2:$AN108))),"")</f>
        <v/>
      </c>
      <c r="AN109" s="134" t="str" cm="1">
        <f t="array" ref="AN109">IF(ROWS($AN$2:$AN108)&lt;=$AN$2,INDEX($F$3:$F$3000,_xlfn.AGGREGATE(15,3,($B$3:$B$3000=$AM$2)/($B$3:$B$3000=$AM$2)*(ROW($B$3:$B$3000)-ROW($B$2)),ROWS($AN$2:$AN108))),"")</f>
        <v/>
      </c>
      <c r="AO109" s="135" t="str" cm="1">
        <f t="array" ref="AO109">IF(ROWS($AN$2:$AN108)&lt;=$AN$2,INDEX($G$3:$G$3000,_xlfn.AGGREGATE(15,3,($B$3:$B$3000=$AM$2)/($B$3:$B$3000=$AM$2)*(ROW($B$3:$B$3000)-ROW($B$2)),ROWS($AN$2:$AN108))),"")</f>
        <v/>
      </c>
      <c r="AP109" s="121"/>
      <c r="AT109" s="111"/>
      <c r="AV109" s="133" t="str" cm="1">
        <f t="array" ref="AV109">IF(ROWS($AW$2:$AW108)&lt;=$AW$2,INDEX($AM$3:$AM$792,_xlfn.AGGREGATE(15,3,($AM$3:$AM$792='Planning Template'!$F$45)/($AM$3:$AM$792='Planning Template'!$F$45)*(ROW($AM$3:$AM$792)-ROW($AM$2)),ROWS($AW$2:$AW108))),"")</f>
        <v/>
      </c>
      <c r="AW109" s="134" t="str" cm="1">
        <f t="array" ref="AW109">IF(ROWS($AU$3:$AU109)&lt;=$AW$2,INDEX($AN$3:$AN$792,_xlfn.AGGREGATE(15,3,($AM$3:$AM$792='Planning Template'!$F$45)/($AM$3:$AM$792='Planning Template'!$F$45)*(ROW($AM$3:$AM$792)-ROW($AM$2)),ROWS($AU$3:$AU109))),"")</f>
        <v/>
      </c>
      <c r="AX109" s="135" t="str">
        <f>IF(AW109="","",SUMIFS(TableSSDPeopleGroups[Population], TableSSDPeopleGroups[Ctry],'Planning Template'!$F$30,TableSSDPeopleGroups[PrimaryReligion],'Planning Template'!$F$301,TableSSDPeopleGroups[PeopleCluster],'Planning Template'!$F$45,TableSSDPeopleGroups[PeopNameInCountry],$AW109))</f>
        <v/>
      </c>
      <c r="AY109" s="234" t="str">
        <f t="shared" si="8"/>
        <v/>
      </c>
    </row>
    <row r="110" spans="1:51" s="110" customFormat="1" ht="20" customHeight="1">
      <c r="A110" s="125" t="s">
        <v>478</v>
      </c>
      <c r="B110" s="126" t="s">
        <v>56</v>
      </c>
      <c r="C110" s="127">
        <v>18888</v>
      </c>
      <c r="D110" s="163">
        <v>102866</v>
      </c>
      <c r="E110" s="164" t="s">
        <v>3508</v>
      </c>
      <c r="F110" s="164" t="s">
        <v>3508</v>
      </c>
      <c r="G110" s="165">
        <v>8300</v>
      </c>
      <c r="H110" s="165">
        <v>1</v>
      </c>
      <c r="I110" s="164" t="s">
        <v>187</v>
      </c>
      <c r="J110" s="164" t="s">
        <v>3509</v>
      </c>
      <c r="K110" s="164" t="s">
        <v>3508</v>
      </c>
      <c r="L110" s="165">
        <v>0</v>
      </c>
      <c r="M110" s="165">
        <v>2</v>
      </c>
      <c r="N110" s="164" t="s">
        <v>1718</v>
      </c>
      <c r="O110" s="165">
        <v>1.4</v>
      </c>
      <c r="P110" s="165">
        <v>0.2</v>
      </c>
      <c r="Q110" s="165">
        <v>20</v>
      </c>
      <c r="R110" s="164" t="s">
        <v>574</v>
      </c>
      <c r="S110" s="164" t="s">
        <v>575</v>
      </c>
      <c r="T110" s="165">
        <v>239</v>
      </c>
      <c r="U110" s="164" t="s">
        <v>1618</v>
      </c>
      <c r="V110" s="164" t="s">
        <v>1619</v>
      </c>
      <c r="W110" s="165">
        <v>1</v>
      </c>
      <c r="X110" s="165">
        <v>2</v>
      </c>
      <c r="Y110" s="164" t="s">
        <v>194</v>
      </c>
      <c r="Z110" s="164" t="s">
        <v>195</v>
      </c>
      <c r="AA110" s="164" t="s">
        <v>196</v>
      </c>
      <c r="AB110" s="164" t="s">
        <v>187</v>
      </c>
      <c r="AC110" s="164" t="s">
        <v>187</v>
      </c>
      <c r="AD110" s="165">
        <v>1</v>
      </c>
      <c r="AE110" s="164" t="s">
        <v>209</v>
      </c>
      <c r="AF110" s="165">
        <v>18.962845254205099</v>
      </c>
      <c r="AG110" s="166">
        <v>98.726973076346397</v>
      </c>
      <c r="AI110" s="133">
        <f t="shared" si="9"/>
        <v>8</v>
      </c>
      <c r="AJ110" s="134" t="str">
        <v>Musi of Sumatra</v>
      </c>
      <c r="AK110" s="135">
        <f t="shared" si="10"/>
        <v>5081000</v>
      </c>
      <c r="AM110" s="133" t="str" cm="1">
        <f t="array" ref="AM110">IF(ROWS($AN$2:$AN109)&lt;=$AN$2,INDEX($V$3:$V$3000,_xlfn.AGGREGATE(15,3,($B$3:$B$3000=$AM$2)/($B$3:$B$3000=$AM$2)*(ROW($B$3:$B$3000)-ROW($B$2)),ROWS($AN$2:$AN109))),"")</f>
        <v/>
      </c>
      <c r="AN110" s="134" t="str" cm="1">
        <f t="array" ref="AN110">IF(ROWS($AN$2:$AN109)&lt;=$AN$2,INDEX($F$3:$F$3000,_xlfn.AGGREGATE(15,3,($B$3:$B$3000=$AM$2)/($B$3:$B$3000=$AM$2)*(ROW($B$3:$B$3000)-ROW($B$2)),ROWS($AN$2:$AN109))),"")</f>
        <v/>
      </c>
      <c r="AO110" s="135" t="str" cm="1">
        <f t="array" ref="AO110">IF(ROWS($AN$2:$AN109)&lt;=$AN$2,INDEX($G$3:$G$3000,_xlfn.AGGREGATE(15,3,($B$3:$B$3000=$AM$2)/($B$3:$B$3000=$AM$2)*(ROW($B$3:$B$3000)-ROW($B$2)),ROWS($AN$2:$AN109))),"")</f>
        <v/>
      </c>
      <c r="AP110" s="121"/>
      <c r="AT110" s="111"/>
      <c r="AV110" s="133" t="str" cm="1">
        <f t="array" ref="AV110">IF(ROWS($AW$2:$AW109)&lt;=$AW$2,INDEX($AM$3:$AM$792,_xlfn.AGGREGATE(15,3,($AM$3:$AM$792='Planning Template'!$F$45)/($AM$3:$AM$792='Planning Template'!$F$45)*(ROW($AM$3:$AM$792)-ROW($AM$2)),ROWS($AW$2:$AW109))),"")</f>
        <v/>
      </c>
      <c r="AW110" s="134" t="str" cm="1">
        <f t="array" ref="AW110">IF(ROWS($AU$3:$AU110)&lt;=$AW$2,INDEX($AN$3:$AN$792,_xlfn.AGGREGATE(15,3,($AM$3:$AM$792='Planning Template'!$F$45)/($AM$3:$AM$792='Planning Template'!$F$45)*(ROW($AM$3:$AM$792)-ROW($AM$2)),ROWS($AU$3:$AU110))),"")</f>
        <v/>
      </c>
      <c r="AX110" s="135" t="str">
        <f>IF(AW110="","",SUMIFS(TableSSDPeopleGroups[Population], TableSSDPeopleGroups[Ctry],'Planning Template'!$F$30,TableSSDPeopleGroups[PrimaryReligion],'Planning Template'!$F$301,TableSSDPeopleGroups[PeopleCluster],'Planning Template'!$F$45,TableSSDPeopleGroups[PeopNameInCountry],$AW110))</f>
        <v/>
      </c>
      <c r="AY110" s="234" t="str">
        <f t="shared" si="8"/>
        <v/>
      </c>
    </row>
    <row r="111" spans="1:51" s="110" customFormat="1" ht="20" customHeight="1">
      <c r="A111" s="125" t="s">
        <v>478</v>
      </c>
      <c r="B111" s="126" t="s">
        <v>56</v>
      </c>
      <c r="C111" s="127">
        <v>14178</v>
      </c>
      <c r="D111" s="163">
        <v>109011</v>
      </c>
      <c r="E111" s="164" t="s">
        <v>3330</v>
      </c>
      <c r="F111" s="164" t="s">
        <v>3330</v>
      </c>
      <c r="G111" s="165">
        <v>6200</v>
      </c>
      <c r="H111" s="165">
        <v>1</v>
      </c>
      <c r="I111" s="164" t="s">
        <v>187</v>
      </c>
      <c r="J111" s="164" t="s">
        <v>3331</v>
      </c>
      <c r="K111" s="164" t="s">
        <v>3332</v>
      </c>
      <c r="L111" s="165">
        <v>4</v>
      </c>
      <c r="M111" s="165">
        <v>2</v>
      </c>
      <c r="N111" s="164" t="s">
        <v>1718</v>
      </c>
      <c r="O111" s="165">
        <v>0.2</v>
      </c>
      <c r="P111" s="165">
        <v>0</v>
      </c>
      <c r="Q111" s="165">
        <v>20</v>
      </c>
      <c r="R111" s="164" t="s">
        <v>574</v>
      </c>
      <c r="S111" s="164" t="s">
        <v>575</v>
      </c>
      <c r="T111" s="165">
        <v>239</v>
      </c>
      <c r="U111" s="164" t="s">
        <v>1618</v>
      </c>
      <c r="V111" s="164" t="s">
        <v>1619</v>
      </c>
      <c r="W111" s="165">
        <v>3</v>
      </c>
      <c r="X111" s="165">
        <v>2</v>
      </c>
      <c r="Y111" s="164" t="s">
        <v>194</v>
      </c>
      <c r="Z111" s="164" t="s">
        <v>195</v>
      </c>
      <c r="AA111" s="164" t="s">
        <v>196</v>
      </c>
      <c r="AB111" s="164" t="s">
        <v>187</v>
      </c>
      <c r="AC111" s="164" t="s">
        <v>187</v>
      </c>
      <c r="AD111" s="165">
        <v>1</v>
      </c>
      <c r="AE111" s="164" t="s">
        <v>209</v>
      </c>
      <c r="AF111" s="165">
        <v>19.865490000000001</v>
      </c>
      <c r="AG111" s="166">
        <v>99.233320000000006</v>
      </c>
      <c r="AI111" s="133">
        <f t="shared" si="9"/>
        <v>1</v>
      </c>
      <c r="AJ111" s="134" t="str">
        <v>Nuristan</v>
      </c>
      <c r="AK111" s="135">
        <f t="shared" si="10"/>
        <v>42000</v>
      </c>
      <c r="AM111" s="133" t="str" cm="1">
        <f t="array" ref="AM111">IF(ROWS($AN$2:$AN110)&lt;=$AN$2,INDEX($V$3:$V$3000,_xlfn.AGGREGATE(15,3,($B$3:$B$3000=$AM$2)/($B$3:$B$3000=$AM$2)*(ROW($B$3:$B$3000)-ROW($B$2)),ROWS($AN$2:$AN110))),"")</f>
        <v/>
      </c>
      <c r="AN111" s="134" t="str" cm="1">
        <f t="array" ref="AN111">IF(ROWS($AN$2:$AN110)&lt;=$AN$2,INDEX($F$3:$F$3000,_xlfn.AGGREGATE(15,3,($B$3:$B$3000=$AM$2)/($B$3:$B$3000=$AM$2)*(ROW($B$3:$B$3000)-ROW($B$2)),ROWS($AN$2:$AN110))),"")</f>
        <v/>
      </c>
      <c r="AO111" s="135" t="str" cm="1">
        <f t="array" ref="AO111">IF(ROWS($AN$2:$AN110)&lt;=$AN$2,INDEX($G$3:$G$3000,_xlfn.AGGREGATE(15,3,($B$3:$B$3000=$AM$2)/($B$3:$B$3000=$AM$2)*(ROW($B$3:$B$3000)-ROW($B$2)),ROWS($AN$2:$AN110))),"")</f>
        <v/>
      </c>
      <c r="AP111" s="121"/>
      <c r="AT111" s="111"/>
      <c r="AV111" s="133" t="str" cm="1">
        <f t="array" ref="AV111">IF(ROWS($AW$2:$AW110)&lt;=$AW$2,INDEX($AM$3:$AM$792,_xlfn.AGGREGATE(15,3,($AM$3:$AM$792='Planning Template'!$F$45)/($AM$3:$AM$792='Planning Template'!$F$45)*(ROW($AM$3:$AM$792)-ROW($AM$2)),ROWS($AW$2:$AW110))),"")</f>
        <v/>
      </c>
      <c r="AW111" s="134" t="str" cm="1">
        <f t="array" ref="AW111">IF(ROWS($AU$3:$AU111)&lt;=$AW$2,INDEX($AN$3:$AN$792,_xlfn.AGGREGATE(15,3,($AM$3:$AM$792='Planning Template'!$F$45)/($AM$3:$AM$792='Planning Template'!$F$45)*(ROW($AM$3:$AM$792)-ROW($AM$2)),ROWS($AU$3:$AU111))),"")</f>
        <v/>
      </c>
      <c r="AX111" s="135" t="str">
        <f>IF(AW111="","",SUMIFS(TableSSDPeopleGroups[Population], TableSSDPeopleGroups[Ctry],'Planning Template'!$F$30,TableSSDPeopleGroups[PrimaryReligion],'Planning Template'!$F$301,TableSSDPeopleGroups[PeopleCluster],'Planning Template'!$F$45,TableSSDPeopleGroups[PeopNameInCountry],$AW111))</f>
        <v/>
      </c>
      <c r="AY111" s="234" t="str">
        <f t="shared" si="8"/>
        <v/>
      </c>
    </row>
    <row r="112" spans="1:51" s="110" customFormat="1" ht="20" customHeight="1">
      <c r="A112" s="125" t="s">
        <v>478</v>
      </c>
      <c r="B112" s="126" t="s">
        <v>56</v>
      </c>
      <c r="C112" s="127">
        <v>11366</v>
      </c>
      <c r="D112" s="163">
        <v>102183</v>
      </c>
      <c r="E112" s="164" t="s">
        <v>2546</v>
      </c>
      <c r="F112" s="164" t="s">
        <v>2546</v>
      </c>
      <c r="G112" s="165">
        <v>2000</v>
      </c>
      <c r="H112" s="165">
        <v>1</v>
      </c>
      <c r="I112" s="164" t="s">
        <v>187</v>
      </c>
      <c r="J112" s="164" t="s">
        <v>2547</v>
      </c>
      <c r="K112" s="164" t="s">
        <v>2546</v>
      </c>
      <c r="L112" s="165">
        <v>0</v>
      </c>
      <c r="M112" s="165">
        <v>2</v>
      </c>
      <c r="N112" s="164" t="s">
        <v>1718</v>
      </c>
      <c r="O112" s="165">
        <v>0.8</v>
      </c>
      <c r="P112" s="165">
        <v>0</v>
      </c>
      <c r="Q112" s="165">
        <v>20</v>
      </c>
      <c r="R112" s="164" t="s">
        <v>574</v>
      </c>
      <c r="S112" s="164" t="s">
        <v>575</v>
      </c>
      <c r="T112" s="165">
        <v>239</v>
      </c>
      <c r="U112" s="164" t="s">
        <v>1618</v>
      </c>
      <c r="V112" s="164" t="s">
        <v>1619</v>
      </c>
      <c r="W112" s="165">
        <v>2</v>
      </c>
      <c r="X112" s="165">
        <v>2</v>
      </c>
      <c r="Y112" s="164" t="s">
        <v>194</v>
      </c>
      <c r="Z112" s="164" t="s">
        <v>195</v>
      </c>
      <c r="AA112" s="164" t="s">
        <v>196</v>
      </c>
      <c r="AB112" s="164" t="s">
        <v>187</v>
      </c>
      <c r="AC112" s="164" t="s">
        <v>187</v>
      </c>
      <c r="AD112" s="165">
        <v>1</v>
      </c>
      <c r="AE112" s="164" t="s">
        <v>209</v>
      </c>
      <c r="AF112" s="165">
        <v>12.87689</v>
      </c>
      <c r="AG112" s="166">
        <v>102.16679000000001</v>
      </c>
      <c r="AI112" s="133">
        <f t="shared" si="9"/>
        <v>3</v>
      </c>
      <c r="AJ112" s="134" t="str">
        <v>Ogan of Sumatra</v>
      </c>
      <c r="AK112" s="135">
        <f t="shared" si="10"/>
        <v>561000</v>
      </c>
      <c r="AM112" s="133" t="str" cm="1">
        <f t="array" ref="AM112">IF(ROWS($AN$2:$AN111)&lt;=$AN$2,INDEX($V$3:$V$3000,_xlfn.AGGREGATE(15,3,($B$3:$B$3000=$AM$2)/($B$3:$B$3000=$AM$2)*(ROW($B$3:$B$3000)-ROW($B$2)),ROWS($AN$2:$AN111))),"")</f>
        <v/>
      </c>
      <c r="AN112" s="134" t="str" cm="1">
        <f t="array" ref="AN112">IF(ROWS($AN$2:$AN111)&lt;=$AN$2,INDEX($F$3:$F$3000,_xlfn.AGGREGATE(15,3,($B$3:$B$3000=$AM$2)/($B$3:$B$3000=$AM$2)*(ROW($B$3:$B$3000)-ROW($B$2)),ROWS($AN$2:$AN111))),"")</f>
        <v/>
      </c>
      <c r="AO112" s="135" t="str" cm="1">
        <f t="array" ref="AO112">IF(ROWS($AN$2:$AN111)&lt;=$AN$2,INDEX($G$3:$G$3000,_xlfn.AGGREGATE(15,3,($B$3:$B$3000=$AM$2)/($B$3:$B$3000=$AM$2)*(ROW($B$3:$B$3000)-ROW($B$2)),ROWS($AN$2:$AN111))),"")</f>
        <v/>
      </c>
      <c r="AP112" s="121"/>
      <c r="AT112" s="111"/>
      <c r="AV112" s="133" t="str" cm="1">
        <f t="array" ref="AV112">IF(ROWS($AW$2:$AW111)&lt;=$AW$2,INDEX($AM$3:$AM$792,_xlfn.AGGREGATE(15,3,($AM$3:$AM$792='Planning Template'!$F$45)/($AM$3:$AM$792='Planning Template'!$F$45)*(ROW($AM$3:$AM$792)-ROW($AM$2)),ROWS($AW$2:$AW111))),"")</f>
        <v/>
      </c>
      <c r="AW112" s="134" t="str" cm="1">
        <f t="array" ref="AW112">IF(ROWS($AU$3:$AU112)&lt;=$AW$2,INDEX($AN$3:$AN$792,_xlfn.AGGREGATE(15,3,($AM$3:$AM$792='Planning Template'!$F$45)/($AM$3:$AM$792='Planning Template'!$F$45)*(ROW($AM$3:$AM$792)-ROW($AM$2)),ROWS($AU$3:$AU112))),"")</f>
        <v/>
      </c>
      <c r="AX112" s="135" t="str">
        <f>IF(AW112="","",SUMIFS(TableSSDPeopleGroups[Population], TableSSDPeopleGroups[Ctry],'Planning Template'!$F$30,TableSSDPeopleGroups[PrimaryReligion],'Planning Template'!$F$301,TableSSDPeopleGroups[PeopleCluster],'Planning Template'!$F$45,TableSSDPeopleGroups[PeopNameInCountry],$AW112))</f>
        <v/>
      </c>
      <c r="AY112" s="234" t="str">
        <f t="shared" si="8"/>
        <v/>
      </c>
    </row>
    <row r="113" spans="1:51" s="110" customFormat="1" ht="20" customHeight="1">
      <c r="A113" s="125" t="s">
        <v>478</v>
      </c>
      <c r="B113" s="126" t="s">
        <v>56</v>
      </c>
      <c r="C113" s="127">
        <v>13129</v>
      </c>
      <c r="D113" s="163">
        <v>105894</v>
      </c>
      <c r="E113" s="164" t="s">
        <v>2040</v>
      </c>
      <c r="F113" s="164" t="s">
        <v>2040</v>
      </c>
      <c r="G113" s="165">
        <v>1600</v>
      </c>
      <c r="H113" s="165">
        <v>1</v>
      </c>
      <c r="I113" s="164" t="s">
        <v>187</v>
      </c>
      <c r="J113" s="164" t="s">
        <v>2041</v>
      </c>
      <c r="K113" s="164" t="s">
        <v>2042</v>
      </c>
      <c r="L113" s="165">
        <v>1</v>
      </c>
      <c r="M113" s="165">
        <v>2</v>
      </c>
      <c r="N113" s="164" t="s">
        <v>1718</v>
      </c>
      <c r="O113" s="165">
        <v>0</v>
      </c>
      <c r="P113" s="165">
        <v>0</v>
      </c>
      <c r="Q113" s="165">
        <v>20</v>
      </c>
      <c r="R113" s="164" t="s">
        <v>574</v>
      </c>
      <c r="S113" s="164" t="s">
        <v>575</v>
      </c>
      <c r="T113" s="165">
        <v>239</v>
      </c>
      <c r="U113" s="164" t="s">
        <v>1618</v>
      </c>
      <c r="V113" s="164" t="s">
        <v>1619</v>
      </c>
      <c r="W113" s="165">
        <v>2</v>
      </c>
      <c r="X113" s="165">
        <v>2</v>
      </c>
      <c r="Y113" s="164" t="s">
        <v>194</v>
      </c>
      <c r="Z113" s="164" t="s">
        <v>195</v>
      </c>
      <c r="AA113" s="164" t="s">
        <v>196</v>
      </c>
      <c r="AB113" s="164" t="s">
        <v>187</v>
      </c>
      <c r="AC113" s="164" t="s">
        <v>187</v>
      </c>
      <c r="AD113" s="165">
        <v>1</v>
      </c>
      <c r="AE113" s="164" t="s">
        <v>187</v>
      </c>
      <c r="AF113" s="165">
        <v>17.293810000000001</v>
      </c>
      <c r="AG113" s="166">
        <v>103.44555</v>
      </c>
      <c r="AI113" s="133">
        <f t="shared" si="9"/>
        <v>6</v>
      </c>
      <c r="AJ113" s="134" t="str">
        <v>Pasemah of Sumatra</v>
      </c>
      <c r="AK113" s="135">
        <f t="shared" si="10"/>
        <v>1657000</v>
      </c>
      <c r="AM113" s="133" t="str" cm="1">
        <f t="array" ref="AM113">IF(ROWS($AN$2:$AN112)&lt;=$AN$2,INDEX($V$3:$V$3000,_xlfn.AGGREGATE(15,3,($B$3:$B$3000=$AM$2)/($B$3:$B$3000=$AM$2)*(ROW($B$3:$B$3000)-ROW($B$2)),ROWS($AN$2:$AN112))),"")</f>
        <v/>
      </c>
      <c r="AN113" s="134" t="str" cm="1">
        <f t="array" ref="AN113">IF(ROWS($AN$2:$AN112)&lt;=$AN$2,INDEX($F$3:$F$3000,_xlfn.AGGREGATE(15,3,($B$3:$B$3000=$AM$2)/($B$3:$B$3000=$AM$2)*(ROW($B$3:$B$3000)-ROW($B$2)),ROWS($AN$2:$AN112))),"")</f>
        <v/>
      </c>
      <c r="AO113" s="135" t="str" cm="1">
        <f t="array" ref="AO113">IF(ROWS($AN$2:$AN112)&lt;=$AN$2,INDEX($G$3:$G$3000,_xlfn.AGGREGATE(15,3,($B$3:$B$3000=$AM$2)/($B$3:$B$3000=$AM$2)*(ROW($B$3:$B$3000)-ROW($B$2)),ROWS($AN$2:$AN112))),"")</f>
        <v/>
      </c>
      <c r="AP113" s="121"/>
      <c r="AT113" s="111"/>
      <c r="AV113" s="133" t="str" cm="1">
        <f t="array" ref="AV113">IF(ROWS($AW$2:$AW112)&lt;=$AW$2,INDEX($AM$3:$AM$792,_xlfn.AGGREGATE(15,3,($AM$3:$AM$792='Planning Template'!$F$45)/($AM$3:$AM$792='Planning Template'!$F$45)*(ROW($AM$3:$AM$792)-ROW($AM$2)),ROWS($AW$2:$AW112))),"")</f>
        <v/>
      </c>
      <c r="AW113" s="134" t="str" cm="1">
        <f t="array" ref="AW113">IF(ROWS($AU$3:$AU113)&lt;=$AW$2,INDEX($AN$3:$AN$792,_xlfn.AGGREGATE(15,3,($AM$3:$AM$792='Planning Template'!$F$45)/($AM$3:$AM$792='Planning Template'!$F$45)*(ROW($AM$3:$AM$792)-ROW($AM$2)),ROWS($AU$3:$AU113))),"")</f>
        <v/>
      </c>
      <c r="AX113" s="135" t="str">
        <f>IF(AW113="","",SUMIFS(TableSSDPeopleGroups[Population], TableSSDPeopleGroups[Ctry],'Planning Template'!$F$30,TableSSDPeopleGroups[PrimaryReligion],'Planning Template'!$F$301,TableSSDPeopleGroups[PeopleCluster],'Planning Template'!$F$45,TableSSDPeopleGroups[PeopNameInCountry],$AW113))</f>
        <v/>
      </c>
      <c r="AY113" s="234" t="str">
        <f t="shared" si="8"/>
        <v/>
      </c>
    </row>
    <row r="114" spans="1:51" s="110" customFormat="1" ht="20" customHeight="1">
      <c r="A114" s="125" t="s">
        <v>478</v>
      </c>
      <c r="B114" s="126" t="s">
        <v>56</v>
      </c>
      <c r="C114" s="127">
        <v>14077</v>
      </c>
      <c r="D114" s="163">
        <v>107529</v>
      </c>
      <c r="E114" s="164" t="s">
        <v>2603</v>
      </c>
      <c r="F114" s="164" t="s">
        <v>2603</v>
      </c>
      <c r="G114" s="165">
        <v>1600</v>
      </c>
      <c r="H114" s="165">
        <v>1</v>
      </c>
      <c r="I114" s="164" t="s">
        <v>187</v>
      </c>
      <c r="J114" s="164" t="s">
        <v>2604</v>
      </c>
      <c r="K114" s="164" t="s">
        <v>2603</v>
      </c>
      <c r="L114" s="165">
        <v>3</v>
      </c>
      <c r="M114" s="165">
        <v>2</v>
      </c>
      <c r="N114" s="164" t="s">
        <v>1718</v>
      </c>
      <c r="O114" s="165">
        <v>0</v>
      </c>
      <c r="P114" s="165">
        <v>0</v>
      </c>
      <c r="Q114" s="165">
        <v>20</v>
      </c>
      <c r="R114" s="164" t="s">
        <v>574</v>
      </c>
      <c r="S114" s="164" t="s">
        <v>575</v>
      </c>
      <c r="T114" s="165">
        <v>239</v>
      </c>
      <c r="U114" s="164" t="s">
        <v>1618</v>
      </c>
      <c r="V114" s="164" t="s">
        <v>1619</v>
      </c>
      <c r="W114" s="165">
        <v>1</v>
      </c>
      <c r="X114" s="165">
        <v>2</v>
      </c>
      <c r="Y114" s="164" t="s">
        <v>194</v>
      </c>
      <c r="Z114" s="164" t="s">
        <v>195</v>
      </c>
      <c r="AA114" s="164" t="s">
        <v>196</v>
      </c>
      <c r="AB114" s="164" t="s">
        <v>187</v>
      </c>
      <c r="AC114" s="164" t="s">
        <v>187</v>
      </c>
      <c r="AD114" s="165">
        <v>1</v>
      </c>
      <c r="AE114" s="164" t="s">
        <v>187</v>
      </c>
      <c r="AF114" s="165">
        <v>15.89091</v>
      </c>
      <c r="AG114" s="166">
        <v>101.51466000000001</v>
      </c>
      <c r="AI114" s="133">
        <f t="shared" si="9"/>
        <v>6</v>
      </c>
      <c r="AJ114" s="134" t="str">
        <v>Persian</v>
      </c>
      <c r="AK114" s="135">
        <f t="shared" si="10"/>
        <v>314000</v>
      </c>
      <c r="AM114" s="133" t="str" cm="1">
        <f t="array" ref="AM114">IF(ROWS($AN$2:$AN113)&lt;=$AN$2,INDEX($V$3:$V$3000,_xlfn.AGGREGATE(15,3,($B$3:$B$3000=$AM$2)/($B$3:$B$3000=$AM$2)*(ROW($B$3:$B$3000)-ROW($B$2)),ROWS($AN$2:$AN113))),"")</f>
        <v/>
      </c>
      <c r="AN114" s="134" t="str" cm="1">
        <f t="array" ref="AN114">IF(ROWS($AN$2:$AN113)&lt;=$AN$2,INDEX($F$3:$F$3000,_xlfn.AGGREGATE(15,3,($B$3:$B$3000=$AM$2)/($B$3:$B$3000=$AM$2)*(ROW($B$3:$B$3000)-ROW($B$2)),ROWS($AN$2:$AN113))),"")</f>
        <v/>
      </c>
      <c r="AO114" s="135" t="str" cm="1">
        <f t="array" ref="AO114">IF(ROWS($AN$2:$AN113)&lt;=$AN$2,INDEX($G$3:$G$3000,_xlfn.AGGREGATE(15,3,($B$3:$B$3000=$AM$2)/($B$3:$B$3000=$AM$2)*(ROW($B$3:$B$3000)-ROW($B$2)),ROWS($AN$2:$AN113))),"")</f>
        <v/>
      </c>
      <c r="AP114" s="121"/>
      <c r="AT114" s="111"/>
      <c r="AV114" s="133" t="str" cm="1">
        <f t="array" ref="AV114">IF(ROWS($AW$2:$AW113)&lt;=$AW$2,INDEX($AM$3:$AM$792,_xlfn.AGGREGATE(15,3,($AM$3:$AM$792='Planning Template'!$F$45)/($AM$3:$AM$792='Planning Template'!$F$45)*(ROW($AM$3:$AM$792)-ROW($AM$2)),ROWS($AW$2:$AW113))),"")</f>
        <v/>
      </c>
      <c r="AW114" s="134" t="str" cm="1">
        <f t="array" ref="AW114">IF(ROWS($AU$3:$AU114)&lt;=$AW$2,INDEX($AN$3:$AN$792,_xlfn.AGGREGATE(15,3,($AM$3:$AM$792='Planning Template'!$F$45)/($AM$3:$AM$792='Planning Template'!$F$45)*(ROW($AM$3:$AM$792)-ROW($AM$2)),ROWS($AU$3:$AU114))),"")</f>
        <v/>
      </c>
      <c r="AX114" s="135" t="str">
        <f>IF(AW114="","",SUMIFS(TableSSDPeopleGroups[Population], TableSSDPeopleGroups[Ctry],'Planning Template'!$F$30,TableSSDPeopleGroups[PrimaryReligion],'Planning Template'!$F$301,TableSSDPeopleGroups[PeopleCluster],'Planning Template'!$F$45,TableSSDPeopleGroups[PeopNameInCountry],$AW114))</f>
        <v/>
      </c>
      <c r="AY114" s="234" t="str">
        <f t="shared" si="8"/>
        <v/>
      </c>
    </row>
    <row r="115" spans="1:51" s="110" customFormat="1" ht="20" customHeight="1">
      <c r="A115" s="125" t="s">
        <v>478</v>
      </c>
      <c r="B115" s="126" t="s">
        <v>56</v>
      </c>
      <c r="C115" s="127">
        <v>12665</v>
      </c>
      <c r="D115" s="163">
        <v>104959</v>
      </c>
      <c r="E115" s="164" t="s">
        <v>2501</v>
      </c>
      <c r="F115" s="164" t="s">
        <v>2501</v>
      </c>
      <c r="G115" s="165">
        <v>1400</v>
      </c>
      <c r="H115" s="165">
        <v>1</v>
      </c>
      <c r="I115" s="164" t="s">
        <v>187</v>
      </c>
      <c r="J115" s="164" t="s">
        <v>2502</v>
      </c>
      <c r="K115" s="164" t="s">
        <v>2503</v>
      </c>
      <c r="L115" s="165">
        <v>4</v>
      </c>
      <c r="M115" s="165">
        <v>2</v>
      </c>
      <c r="N115" s="164" t="s">
        <v>1718</v>
      </c>
      <c r="O115" s="165">
        <v>4</v>
      </c>
      <c r="P115" s="165">
        <v>0.4</v>
      </c>
      <c r="Q115" s="165">
        <v>20</v>
      </c>
      <c r="R115" s="164" t="s">
        <v>574</v>
      </c>
      <c r="S115" s="164" t="s">
        <v>575</v>
      </c>
      <c r="T115" s="165">
        <v>239</v>
      </c>
      <c r="U115" s="164" t="s">
        <v>1618</v>
      </c>
      <c r="V115" s="164" t="s">
        <v>1619</v>
      </c>
      <c r="W115" s="165">
        <v>3</v>
      </c>
      <c r="X115" s="165">
        <v>2</v>
      </c>
      <c r="Y115" s="164" t="s">
        <v>194</v>
      </c>
      <c r="Z115" s="164" t="s">
        <v>195</v>
      </c>
      <c r="AA115" s="164" t="s">
        <v>196</v>
      </c>
      <c r="AB115" s="164" t="s">
        <v>187</v>
      </c>
      <c r="AC115" s="164" t="s">
        <v>187</v>
      </c>
      <c r="AD115" s="165">
        <v>1</v>
      </c>
      <c r="AE115" s="164" t="s">
        <v>209</v>
      </c>
      <c r="AF115" s="165">
        <v>20.149419999999999</v>
      </c>
      <c r="AG115" s="166">
        <v>99.841750000000005</v>
      </c>
      <c r="AI115" s="133">
        <f t="shared" si="9"/>
        <v>1</v>
      </c>
      <c r="AJ115" s="134" t="str">
        <v>Romani</v>
      </c>
      <c r="AK115" s="135">
        <f t="shared" si="10"/>
        <v>22000</v>
      </c>
      <c r="AM115" s="133" t="str" cm="1">
        <f t="array" ref="AM115">IF(ROWS($AN$2:$AN114)&lt;=$AN$2,INDEX($V$3:$V$3000,_xlfn.AGGREGATE(15,3,($B$3:$B$3000=$AM$2)/($B$3:$B$3000=$AM$2)*(ROW($B$3:$B$3000)-ROW($B$2)),ROWS($AN$2:$AN114))),"")</f>
        <v/>
      </c>
      <c r="AN115" s="134" t="str" cm="1">
        <f t="array" ref="AN115">IF(ROWS($AN$2:$AN114)&lt;=$AN$2,INDEX($F$3:$F$3000,_xlfn.AGGREGATE(15,3,($B$3:$B$3000=$AM$2)/($B$3:$B$3000=$AM$2)*(ROW($B$3:$B$3000)-ROW($B$2)),ROWS($AN$2:$AN114))),"")</f>
        <v/>
      </c>
      <c r="AO115" s="135" t="str" cm="1">
        <f t="array" ref="AO115">IF(ROWS($AN$2:$AN114)&lt;=$AN$2,INDEX($G$3:$G$3000,_xlfn.AGGREGATE(15,3,($B$3:$B$3000=$AM$2)/($B$3:$B$3000=$AM$2)*(ROW($B$3:$B$3000)-ROW($B$2)),ROWS($AN$2:$AN114))),"")</f>
        <v/>
      </c>
      <c r="AP115" s="121"/>
      <c r="AT115" s="111"/>
      <c r="AV115" s="133" t="str" cm="1">
        <f t="array" ref="AV115">IF(ROWS($AW$2:$AW114)&lt;=$AW$2,INDEX($AM$3:$AM$792,_xlfn.AGGREGATE(15,3,($AM$3:$AM$792='Planning Template'!$F$45)/($AM$3:$AM$792='Planning Template'!$F$45)*(ROW($AM$3:$AM$792)-ROW($AM$2)),ROWS($AW$2:$AW114))),"")</f>
        <v/>
      </c>
      <c r="AW115" s="134" t="str" cm="1">
        <f t="array" ref="AW115">IF(ROWS($AU$3:$AU115)&lt;=$AW$2,INDEX($AN$3:$AN$792,_xlfn.AGGREGATE(15,3,($AM$3:$AM$792='Planning Template'!$F$45)/($AM$3:$AM$792='Planning Template'!$F$45)*(ROW($AM$3:$AM$792)-ROW($AM$2)),ROWS($AU$3:$AU115))),"")</f>
        <v/>
      </c>
      <c r="AX115" s="135" t="str">
        <f>IF(AW115="","",SUMIFS(TableSSDPeopleGroups[Population], TableSSDPeopleGroups[Ctry],'Planning Template'!$F$30,TableSSDPeopleGroups[PrimaryReligion],'Planning Template'!$F$301,TableSSDPeopleGroups[PeopleCluster],'Planning Template'!$F$45,TableSSDPeopleGroups[PeopNameInCountry],$AW115))</f>
        <v/>
      </c>
      <c r="AY115" s="234" t="str">
        <f t="shared" si="8"/>
        <v/>
      </c>
    </row>
    <row r="116" spans="1:51" s="110" customFormat="1" ht="20" customHeight="1">
      <c r="A116" s="125" t="s">
        <v>478</v>
      </c>
      <c r="B116" s="126" t="s">
        <v>56</v>
      </c>
      <c r="C116" s="127">
        <v>21531</v>
      </c>
      <c r="D116" s="163">
        <v>106270</v>
      </c>
      <c r="E116" s="164" t="s">
        <v>2148</v>
      </c>
      <c r="F116" s="164" t="s">
        <v>2148</v>
      </c>
      <c r="G116" s="165">
        <v>700</v>
      </c>
      <c r="H116" s="165">
        <v>1</v>
      </c>
      <c r="I116" s="164" t="s">
        <v>187</v>
      </c>
      <c r="J116" s="164" t="s">
        <v>2149</v>
      </c>
      <c r="K116" s="164" t="s">
        <v>2148</v>
      </c>
      <c r="L116" s="165">
        <v>2</v>
      </c>
      <c r="M116" s="165">
        <v>2</v>
      </c>
      <c r="N116" s="164" t="s">
        <v>1718</v>
      </c>
      <c r="O116" s="165">
        <v>1.4</v>
      </c>
      <c r="P116" s="165">
        <v>1.4</v>
      </c>
      <c r="Q116" s="165">
        <v>20</v>
      </c>
      <c r="R116" s="164" t="s">
        <v>574</v>
      </c>
      <c r="S116" s="164" t="s">
        <v>575</v>
      </c>
      <c r="T116" s="165">
        <v>239</v>
      </c>
      <c r="U116" s="164" t="s">
        <v>1618</v>
      </c>
      <c r="V116" s="164" t="s">
        <v>1619</v>
      </c>
      <c r="W116" s="165">
        <v>2</v>
      </c>
      <c r="X116" s="165">
        <v>2</v>
      </c>
      <c r="Y116" s="164" t="s">
        <v>194</v>
      </c>
      <c r="Z116" s="164" t="s">
        <v>195</v>
      </c>
      <c r="AA116" s="164" t="s">
        <v>196</v>
      </c>
      <c r="AB116" s="164" t="s">
        <v>187</v>
      </c>
      <c r="AC116" s="164" t="s">
        <v>187</v>
      </c>
      <c r="AD116" s="165">
        <v>1</v>
      </c>
      <c r="AE116" s="164" t="s">
        <v>209</v>
      </c>
      <c r="AF116" s="165">
        <v>18.927440000000001</v>
      </c>
      <c r="AG116" s="166">
        <v>99.67</v>
      </c>
      <c r="AI116" s="133">
        <f t="shared" si="9"/>
        <v>3</v>
      </c>
      <c r="AJ116" s="134" t="str">
        <v>South Asia Muslim - Ansari</v>
      </c>
      <c r="AK116" s="135">
        <f t="shared" si="10"/>
        <v>5863000</v>
      </c>
      <c r="AM116" s="133" t="str" cm="1">
        <f t="array" ref="AM116">IF(ROWS($AN$2:$AN115)&lt;=$AN$2,INDEX($V$3:$V$3000,_xlfn.AGGREGATE(15,3,($B$3:$B$3000=$AM$2)/($B$3:$B$3000=$AM$2)*(ROW($B$3:$B$3000)-ROW($B$2)),ROWS($AN$2:$AN115))),"")</f>
        <v/>
      </c>
      <c r="AN116" s="134" t="str" cm="1">
        <f t="array" ref="AN116">IF(ROWS($AN$2:$AN115)&lt;=$AN$2,INDEX($F$3:$F$3000,_xlfn.AGGREGATE(15,3,($B$3:$B$3000=$AM$2)/($B$3:$B$3000=$AM$2)*(ROW($B$3:$B$3000)-ROW($B$2)),ROWS($AN$2:$AN115))),"")</f>
        <v/>
      </c>
      <c r="AO116" s="135" t="str" cm="1">
        <f t="array" ref="AO116">IF(ROWS($AN$2:$AN115)&lt;=$AN$2,INDEX($G$3:$G$3000,_xlfn.AGGREGATE(15,3,($B$3:$B$3000=$AM$2)/($B$3:$B$3000=$AM$2)*(ROW($B$3:$B$3000)-ROW($B$2)),ROWS($AN$2:$AN115))),"")</f>
        <v/>
      </c>
      <c r="AP116" s="121"/>
      <c r="AT116" s="111"/>
      <c r="AV116" s="133" t="str" cm="1">
        <f t="array" ref="AV116">IF(ROWS($AW$2:$AW115)&lt;=$AW$2,INDEX($AM$3:$AM$792,_xlfn.AGGREGATE(15,3,($AM$3:$AM$792='Planning Template'!$F$45)/($AM$3:$AM$792='Planning Template'!$F$45)*(ROW($AM$3:$AM$792)-ROW($AM$2)),ROWS($AW$2:$AW115))),"")</f>
        <v/>
      </c>
      <c r="AW116" s="134" t="str" cm="1">
        <f t="array" ref="AW116">IF(ROWS($AU$3:$AU116)&lt;=$AW$2,INDEX($AN$3:$AN$792,_xlfn.AGGREGATE(15,3,($AM$3:$AM$792='Planning Template'!$F$45)/($AM$3:$AM$792='Planning Template'!$F$45)*(ROW($AM$3:$AM$792)-ROW($AM$2)),ROWS($AU$3:$AU116))),"")</f>
        <v/>
      </c>
      <c r="AX116" s="135" t="str">
        <f>IF(AW116="","",SUMIFS(TableSSDPeopleGroups[Population], TableSSDPeopleGroups[Ctry],'Planning Template'!$F$30,TableSSDPeopleGroups[PrimaryReligion],'Planning Template'!$F$301,TableSSDPeopleGroups[PeopleCluster],'Planning Template'!$F$45,TableSSDPeopleGroups[PeopNameInCountry],$AW116))</f>
        <v/>
      </c>
      <c r="AY116" s="234" t="str">
        <f t="shared" si="8"/>
        <v/>
      </c>
    </row>
    <row r="117" spans="1:51" s="110" customFormat="1" ht="20" customHeight="1">
      <c r="A117" s="125" t="s">
        <v>478</v>
      </c>
      <c r="B117" s="126" t="s">
        <v>56</v>
      </c>
      <c r="C117" s="127">
        <v>19257</v>
      </c>
      <c r="D117" s="163">
        <v>115532</v>
      </c>
      <c r="E117" s="164" t="s">
        <v>2064</v>
      </c>
      <c r="F117" s="164" t="s">
        <v>2064</v>
      </c>
      <c r="G117" s="165">
        <v>600</v>
      </c>
      <c r="H117" s="165">
        <v>1</v>
      </c>
      <c r="I117" s="164" t="s">
        <v>187</v>
      </c>
      <c r="J117" s="164" t="s">
        <v>634</v>
      </c>
      <c r="K117" s="164" t="s">
        <v>635</v>
      </c>
      <c r="L117" s="165">
        <v>0</v>
      </c>
      <c r="M117" s="165">
        <v>2</v>
      </c>
      <c r="N117" s="164" t="s">
        <v>1718</v>
      </c>
      <c r="O117" s="165">
        <v>0</v>
      </c>
      <c r="P117" s="165">
        <v>0</v>
      </c>
      <c r="Q117" s="165">
        <v>20</v>
      </c>
      <c r="R117" s="164" t="s">
        <v>574</v>
      </c>
      <c r="S117" s="164" t="s">
        <v>575</v>
      </c>
      <c r="T117" s="165">
        <v>239</v>
      </c>
      <c r="U117" s="164" t="s">
        <v>1618</v>
      </c>
      <c r="V117" s="164" t="s">
        <v>1619</v>
      </c>
      <c r="W117" s="165">
        <v>1</v>
      </c>
      <c r="X117" s="165">
        <v>2</v>
      </c>
      <c r="Y117" s="164" t="s">
        <v>194</v>
      </c>
      <c r="Z117" s="164" t="s">
        <v>195</v>
      </c>
      <c r="AA117" s="164" t="s">
        <v>196</v>
      </c>
      <c r="AB117" s="164" t="s">
        <v>187</v>
      </c>
      <c r="AC117" s="164" t="s">
        <v>187</v>
      </c>
      <c r="AD117" s="165">
        <v>1</v>
      </c>
      <c r="AE117" s="164" t="s">
        <v>187</v>
      </c>
      <c r="AF117" s="165">
        <v>19.387222000000001</v>
      </c>
      <c r="AG117" s="166">
        <v>100.875833</v>
      </c>
      <c r="AI117" s="133">
        <f t="shared" si="9"/>
        <v>2</v>
      </c>
      <c r="AJ117" s="134" t="str">
        <v>South Asia Muslim - Arain</v>
      </c>
      <c r="AK117" s="135">
        <f t="shared" si="10"/>
        <v>11269600</v>
      </c>
      <c r="AM117" s="133" t="str" cm="1">
        <f t="array" ref="AM117">IF(ROWS($AN$2:$AN116)&lt;=$AN$2,INDEX($V$3:$V$3000,_xlfn.AGGREGATE(15,3,($B$3:$B$3000=$AM$2)/($B$3:$B$3000=$AM$2)*(ROW($B$3:$B$3000)-ROW($B$2)),ROWS($AN$2:$AN116))),"")</f>
        <v/>
      </c>
      <c r="AN117" s="134" t="str" cm="1">
        <f t="array" ref="AN117">IF(ROWS($AN$2:$AN116)&lt;=$AN$2,INDEX($F$3:$F$3000,_xlfn.AGGREGATE(15,3,($B$3:$B$3000=$AM$2)/($B$3:$B$3000=$AM$2)*(ROW($B$3:$B$3000)-ROW($B$2)),ROWS($AN$2:$AN116))),"")</f>
        <v/>
      </c>
      <c r="AO117" s="135" t="str" cm="1">
        <f t="array" ref="AO117">IF(ROWS($AN$2:$AN116)&lt;=$AN$2,INDEX($G$3:$G$3000,_xlfn.AGGREGATE(15,3,($B$3:$B$3000=$AM$2)/($B$3:$B$3000=$AM$2)*(ROW($B$3:$B$3000)-ROW($B$2)),ROWS($AN$2:$AN116))),"")</f>
        <v/>
      </c>
      <c r="AP117" s="121"/>
      <c r="AT117" s="111"/>
      <c r="AV117" s="133" t="str" cm="1">
        <f t="array" ref="AV117">IF(ROWS($AW$2:$AW116)&lt;=$AW$2,INDEX($AM$3:$AM$792,_xlfn.AGGREGATE(15,3,($AM$3:$AM$792='Planning Template'!$F$45)/($AM$3:$AM$792='Planning Template'!$F$45)*(ROW($AM$3:$AM$792)-ROW($AM$2)),ROWS($AW$2:$AW116))),"")</f>
        <v/>
      </c>
      <c r="AW117" s="134" t="str" cm="1">
        <f t="array" ref="AW117">IF(ROWS($AU$3:$AU117)&lt;=$AW$2,INDEX($AN$3:$AN$792,_xlfn.AGGREGATE(15,3,($AM$3:$AM$792='Planning Template'!$F$45)/($AM$3:$AM$792='Planning Template'!$F$45)*(ROW($AM$3:$AM$792)-ROW($AM$2)),ROWS($AU$3:$AU117))),"")</f>
        <v/>
      </c>
      <c r="AX117" s="135" t="str">
        <f>IF(AW117="","",SUMIFS(TableSSDPeopleGroups[Population], TableSSDPeopleGroups[Ctry],'Planning Template'!$F$30,TableSSDPeopleGroups[PrimaryReligion],'Planning Template'!$F$301,TableSSDPeopleGroups[PeopleCluster],'Planning Template'!$F$45,TableSSDPeopleGroups[PeopNameInCountry],$AW117))</f>
        <v/>
      </c>
      <c r="AY117" s="234" t="str">
        <f t="shared" si="8"/>
        <v/>
      </c>
    </row>
    <row r="118" spans="1:51" s="110" customFormat="1" ht="20" customHeight="1">
      <c r="A118" s="125" t="s">
        <v>478</v>
      </c>
      <c r="B118" s="126" t="s">
        <v>56</v>
      </c>
      <c r="C118" s="127">
        <v>15375</v>
      </c>
      <c r="D118" s="157">
        <v>110791</v>
      </c>
      <c r="E118" s="158" t="s">
        <v>3539</v>
      </c>
      <c r="F118" s="158" t="s">
        <v>3539</v>
      </c>
      <c r="G118" s="159">
        <v>8800</v>
      </c>
      <c r="H118" s="159">
        <v>2</v>
      </c>
      <c r="I118" s="158" t="s">
        <v>209</v>
      </c>
      <c r="J118" s="158" t="s">
        <v>3540</v>
      </c>
      <c r="K118" s="158" t="s">
        <v>3539</v>
      </c>
      <c r="L118" s="159">
        <v>5</v>
      </c>
      <c r="M118" s="159">
        <v>2</v>
      </c>
      <c r="N118" s="158" t="s">
        <v>1718</v>
      </c>
      <c r="O118" s="159">
        <v>16</v>
      </c>
      <c r="P118" s="159">
        <v>2</v>
      </c>
      <c r="Q118" s="159">
        <v>20</v>
      </c>
      <c r="R118" s="158" t="s">
        <v>574</v>
      </c>
      <c r="S118" s="158" t="s">
        <v>575</v>
      </c>
      <c r="T118" s="159">
        <v>239</v>
      </c>
      <c r="U118" s="158" t="s">
        <v>1618</v>
      </c>
      <c r="V118" s="158" t="s">
        <v>1619</v>
      </c>
      <c r="W118" s="159">
        <v>1</v>
      </c>
      <c r="X118" s="159">
        <v>2</v>
      </c>
      <c r="Y118" s="158" t="s">
        <v>194</v>
      </c>
      <c r="Z118" s="158" t="s">
        <v>195</v>
      </c>
      <c r="AA118" s="158" t="s">
        <v>196</v>
      </c>
      <c r="AB118" s="158" t="s">
        <v>187</v>
      </c>
      <c r="AC118" s="158" t="s">
        <v>187</v>
      </c>
      <c r="AD118" s="160"/>
      <c r="AE118" s="158" t="s">
        <v>209</v>
      </c>
      <c r="AF118" s="159">
        <v>18.304259999999999</v>
      </c>
      <c r="AG118" s="161">
        <v>97.845429999999993</v>
      </c>
      <c r="AI118" s="133">
        <f t="shared" si="9"/>
        <v>76</v>
      </c>
      <c r="AJ118" s="134" t="str">
        <v>South Asia Muslim - Jat</v>
      </c>
      <c r="AK118" s="135">
        <f t="shared" si="10"/>
        <v>41225900</v>
      </c>
      <c r="AM118" s="133" t="str" cm="1">
        <f t="array" ref="AM118">IF(ROWS($AN$2:$AN117)&lt;=$AN$2,INDEX($V$3:$V$3000,_xlfn.AGGREGATE(15,3,($B$3:$B$3000=$AM$2)/($B$3:$B$3000=$AM$2)*(ROW($B$3:$B$3000)-ROW($B$2)),ROWS($AN$2:$AN117))),"")</f>
        <v/>
      </c>
      <c r="AN118" s="134" t="str" cm="1">
        <f t="array" ref="AN118">IF(ROWS($AN$2:$AN117)&lt;=$AN$2,INDEX($F$3:$F$3000,_xlfn.AGGREGATE(15,3,($B$3:$B$3000=$AM$2)/($B$3:$B$3000=$AM$2)*(ROW($B$3:$B$3000)-ROW($B$2)),ROWS($AN$2:$AN117))),"")</f>
        <v/>
      </c>
      <c r="AO118" s="135" t="str" cm="1">
        <f t="array" ref="AO118">IF(ROWS($AN$2:$AN117)&lt;=$AN$2,INDEX($G$3:$G$3000,_xlfn.AGGREGATE(15,3,($B$3:$B$3000=$AM$2)/($B$3:$B$3000=$AM$2)*(ROW($B$3:$B$3000)-ROW($B$2)),ROWS($AN$2:$AN117))),"")</f>
        <v/>
      </c>
      <c r="AP118" s="121"/>
      <c r="AT118" s="111"/>
      <c r="AV118" s="133" t="str" cm="1">
        <f t="array" ref="AV118">IF(ROWS($AW$2:$AW117)&lt;=$AW$2,INDEX($AM$3:$AM$792,_xlfn.AGGREGATE(15,3,($AM$3:$AM$792='Planning Template'!$F$45)/($AM$3:$AM$792='Planning Template'!$F$45)*(ROW($AM$3:$AM$792)-ROW($AM$2)),ROWS($AW$2:$AW117))),"")</f>
        <v/>
      </c>
      <c r="AW118" s="134" t="str" cm="1">
        <f t="array" ref="AW118">IF(ROWS($AU$3:$AU118)&lt;=$AW$2,INDEX($AN$3:$AN$792,_xlfn.AGGREGATE(15,3,($AM$3:$AM$792='Planning Template'!$F$45)/($AM$3:$AM$792='Planning Template'!$F$45)*(ROW($AM$3:$AM$792)-ROW($AM$2)),ROWS($AU$3:$AU118))),"")</f>
        <v/>
      </c>
      <c r="AX118" s="135" t="str">
        <f>IF(AW118="","",SUMIFS(TableSSDPeopleGroups[Population], TableSSDPeopleGroups[Ctry],'Planning Template'!$F$30,TableSSDPeopleGroups[PrimaryReligion],'Planning Template'!$F$301,TableSSDPeopleGroups[PeopleCluster],'Planning Template'!$F$45,TableSSDPeopleGroups[PeopNameInCountry],$AW118))</f>
        <v/>
      </c>
      <c r="AY118" s="234" t="str">
        <f t="shared" si="8"/>
        <v/>
      </c>
    </row>
    <row r="119" spans="1:51" s="110" customFormat="1" ht="20" customHeight="1">
      <c r="A119" s="125" t="s">
        <v>478</v>
      </c>
      <c r="B119" s="126" t="s">
        <v>56</v>
      </c>
      <c r="C119" s="127">
        <v>15358</v>
      </c>
      <c r="D119" s="145">
        <v>110773</v>
      </c>
      <c r="E119" s="146" t="s">
        <v>4131</v>
      </c>
      <c r="F119" s="146" t="s">
        <v>4131</v>
      </c>
      <c r="G119" s="147">
        <v>24000</v>
      </c>
      <c r="H119" s="147">
        <v>4</v>
      </c>
      <c r="I119" s="146" t="s">
        <v>209</v>
      </c>
      <c r="J119" s="146" t="s">
        <v>4132</v>
      </c>
      <c r="K119" s="146" t="s">
        <v>4131</v>
      </c>
      <c r="L119" s="147">
        <v>3</v>
      </c>
      <c r="M119" s="147">
        <v>2</v>
      </c>
      <c r="N119" s="146" t="s">
        <v>1718</v>
      </c>
      <c r="O119" s="147">
        <v>8</v>
      </c>
      <c r="P119" s="147">
        <v>6</v>
      </c>
      <c r="Q119" s="147">
        <v>20</v>
      </c>
      <c r="R119" s="146" t="s">
        <v>574</v>
      </c>
      <c r="S119" s="146" t="s">
        <v>575</v>
      </c>
      <c r="T119" s="147">
        <v>239</v>
      </c>
      <c r="U119" s="146" t="s">
        <v>1618</v>
      </c>
      <c r="V119" s="146" t="s">
        <v>1619</v>
      </c>
      <c r="W119" s="147">
        <v>2</v>
      </c>
      <c r="X119" s="147">
        <v>2</v>
      </c>
      <c r="Y119" s="146" t="s">
        <v>194</v>
      </c>
      <c r="Z119" s="146" t="s">
        <v>195</v>
      </c>
      <c r="AA119" s="146" t="s">
        <v>196</v>
      </c>
      <c r="AB119" s="146" t="s">
        <v>187</v>
      </c>
      <c r="AC119" s="146" t="s">
        <v>187</v>
      </c>
      <c r="AD119" s="148"/>
      <c r="AE119" s="146" t="s">
        <v>209</v>
      </c>
      <c r="AF119" s="147">
        <v>16.375520000000002</v>
      </c>
      <c r="AG119" s="149">
        <v>104.86711</v>
      </c>
      <c r="AI119" s="133">
        <f t="shared" si="9"/>
        <v>6</v>
      </c>
      <c r="AJ119" s="134" t="str">
        <v>South Asia Muslim - Pashtun</v>
      </c>
      <c r="AK119" s="135">
        <f t="shared" si="10"/>
        <v>29454000</v>
      </c>
      <c r="AM119" s="133" t="str" cm="1">
        <f t="array" ref="AM119">IF(ROWS($AN$2:$AN118)&lt;=$AN$2,INDEX($V$3:$V$3000,_xlfn.AGGREGATE(15,3,($B$3:$B$3000=$AM$2)/($B$3:$B$3000=$AM$2)*(ROW($B$3:$B$3000)-ROW($B$2)),ROWS($AN$2:$AN118))),"")</f>
        <v/>
      </c>
      <c r="AN119" s="134" t="str" cm="1">
        <f t="array" ref="AN119">IF(ROWS($AN$2:$AN118)&lt;=$AN$2,INDEX($F$3:$F$3000,_xlfn.AGGREGATE(15,3,($B$3:$B$3000=$AM$2)/($B$3:$B$3000=$AM$2)*(ROW($B$3:$B$3000)-ROW($B$2)),ROWS($AN$2:$AN118))),"")</f>
        <v/>
      </c>
      <c r="AO119" s="135" t="str" cm="1">
        <f t="array" ref="AO119">IF(ROWS($AN$2:$AN118)&lt;=$AN$2,INDEX($G$3:$G$3000,_xlfn.AGGREGATE(15,3,($B$3:$B$3000=$AM$2)/($B$3:$B$3000=$AM$2)*(ROW($B$3:$B$3000)-ROW($B$2)),ROWS($AN$2:$AN118))),"")</f>
        <v/>
      </c>
      <c r="AP119" s="121"/>
      <c r="AT119" s="111"/>
      <c r="AV119" s="133" t="str" cm="1">
        <f t="array" ref="AV119">IF(ROWS($AW$2:$AW118)&lt;=$AW$2,INDEX($AM$3:$AM$792,_xlfn.AGGREGATE(15,3,($AM$3:$AM$792='Planning Template'!$F$45)/($AM$3:$AM$792='Planning Template'!$F$45)*(ROW($AM$3:$AM$792)-ROW($AM$2)),ROWS($AW$2:$AW118))),"")</f>
        <v/>
      </c>
      <c r="AW119" s="134" t="str" cm="1">
        <f t="array" ref="AW119">IF(ROWS($AU$3:$AU119)&lt;=$AW$2,INDEX($AN$3:$AN$792,_xlfn.AGGREGATE(15,3,($AM$3:$AM$792='Planning Template'!$F$45)/($AM$3:$AM$792='Planning Template'!$F$45)*(ROW($AM$3:$AM$792)-ROW($AM$2)),ROWS($AU$3:$AU119))),"")</f>
        <v/>
      </c>
      <c r="AX119" s="135" t="str">
        <f>IF(AW119="","",SUMIFS(TableSSDPeopleGroups[Population], TableSSDPeopleGroups[Ctry],'Planning Template'!$F$30,TableSSDPeopleGroups[PrimaryReligion],'Planning Template'!$F$301,TableSSDPeopleGroups[PeopleCluster],'Planning Template'!$F$45,TableSSDPeopleGroups[PeopNameInCountry],$AW119))</f>
        <v/>
      </c>
      <c r="AY119" s="234" t="str">
        <f t="shared" si="8"/>
        <v/>
      </c>
    </row>
    <row r="120" spans="1:51" s="110" customFormat="1" ht="20" customHeight="1">
      <c r="A120" s="125" t="s">
        <v>480</v>
      </c>
      <c r="B120" s="126" t="s">
        <v>63</v>
      </c>
      <c r="C120" s="127">
        <v>12662</v>
      </c>
      <c r="D120" s="163">
        <v>104946</v>
      </c>
      <c r="E120" s="164" t="s">
        <v>1751</v>
      </c>
      <c r="F120" s="164" t="s">
        <v>1751</v>
      </c>
      <c r="G120" s="165">
        <v>1302000</v>
      </c>
      <c r="H120" s="165">
        <v>1</v>
      </c>
      <c r="I120" s="164" t="s">
        <v>187</v>
      </c>
      <c r="J120" s="164" t="s">
        <v>1750</v>
      </c>
      <c r="K120" s="164" t="s">
        <v>1751</v>
      </c>
      <c r="L120" s="165">
        <v>5</v>
      </c>
      <c r="M120" s="165">
        <v>2</v>
      </c>
      <c r="N120" s="164" t="s">
        <v>1718</v>
      </c>
      <c r="O120" s="165">
        <v>3</v>
      </c>
      <c r="P120" s="165">
        <v>1.87</v>
      </c>
      <c r="Q120" s="165">
        <v>20</v>
      </c>
      <c r="R120" s="164" t="s">
        <v>574</v>
      </c>
      <c r="S120" s="164" t="s">
        <v>575</v>
      </c>
      <c r="T120" s="165">
        <v>239</v>
      </c>
      <c r="U120" s="164" t="s">
        <v>1618</v>
      </c>
      <c r="V120" s="164" t="s">
        <v>1619</v>
      </c>
      <c r="W120" s="165">
        <v>14</v>
      </c>
      <c r="X120" s="165">
        <v>2</v>
      </c>
      <c r="Y120" s="164" t="s">
        <v>194</v>
      </c>
      <c r="Z120" s="164" t="s">
        <v>195</v>
      </c>
      <c r="AA120" s="164" t="s">
        <v>196</v>
      </c>
      <c r="AB120" s="164" t="s">
        <v>187</v>
      </c>
      <c r="AC120" s="164" t="s">
        <v>187</v>
      </c>
      <c r="AD120" s="165">
        <v>26</v>
      </c>
      <c r="AE120" s="164" t="s">
        <v>209</v>
      </c>
      <c r="AF120" s="165">
        <v>9.7389500000000009</v>
      </c>
      <c r="AG120" s="166">
        <v>106.35155</v>
      </c>
      <c r="AI120" s="133">
        <f t="shared" si="9"/>
        <v>65</v>
      </c>
      <c r="AJ120" s="134" t="str">
        <v>South Asia Muslim - Rajput</v>
      </c>
      <c r="AK120" s="135">
        <f t="shared" si="10"/>
        <v>22945800</v>
      </c>
      <c r="AM120" s="133" t="str" cm="1">
        <f t="array" ref="AM120">IF(ROWS($AN$2:$AN119)&lt;=$AN$2,INDEX($V$3:$V$3000,_xlfn.AGGREGATE(15,3,($B$3:$B$3000=$AM$2)/($B$3:$B$3000=$AM$2)*(ROW($B$3:$B$3000)-ROW($B$2)),ROWS($AN$2:$AN119))),"")</f>
        <v/>
      </c>
      <c r="AN120" s="134" t="str" cm="1">
        <f t="array" ref="AN120">IF(ROWS($AN$2:$AN119)&lt;=$AN$2,INDEX($F$3:$F$3000,_xlfn.AGGREGATE(15,3,($B$3:$B$3000=$AM$2)/($B$3:$B$3000=$AM$2)*(ROW($B$3:$B$3000)-ROW($B$2)),ROWS($AN$2:$AN119))),"")</f>
        <v/>
      </c>
      <c r="AO120" s="135" t="str" cm="1">
        <f t="array" ref="AO120">IF(ROWS($AN$2:$AN119)&lt;=$AN$2,INDEX($G$3:$G$3000,_xlfn.AGGREGATE(15,3,($B$3:$B$3000=$AM$2)/($B$3:$B$3000=$AM$2)*(ROW($B$3:$B$3000)-ROW($B$2)),ROWS($AN$2:$AN119))),"")</f>
        <v/>
      </c>
      <c r="AP120" s="121"/>
      <c r="AT120" s="111"/>
      <c r="AV120" s="133" t="str" cm="1">
        <f t="array" ref="AV120">IF(ROWS($AW$2:$AW119)&lt;=$AW$2,INDEX($AM$3:$AM$792,_xlfn.AGGREGATE(15,3,($AM$3:$AM$792='Planning Template'!$F$45)/($AM$3:$AM$792='Planning Template'!$F$45)*(ROW($AM$3:$AM$792)-ROW($AM$2)),ROWS($AW$2:$AW119))),"")</f>
        <v/>
      </c>
      <c r="AW120" s="134" t="str" cm="1">
        <f t="array" ref="AW120">IF(ROWS($AU$3:$AU120)&lt;=$AW$2,INDEX($AN$3:$AN$792,_xlfn.AGGREGATE(15,3,($AM$3:$AM$792='Planning Template'!$F$45)/($AM$3:$AM$792='Planning Template'!$F$45)*(ROW($AM$3:$AM$792)-ROW($AM$2)),ROWS($AU$3:$AU120))),"")</f>
        <v/>
      </c>
      <c r="AX120" s="135" t="str">
        <f>IF(AW120="","",SUMIFS(TableSSDPeopleGroups[Population], TableSSDPeopleGroups[Ctry],'Planning Template'!$F$30,TableSSDPeopleGroups[PrimaryReligion],'Planning Template'!$F$301,TableSSDPeopleGroups[PeopleCluster],'Planning Template'!$F$45,TableSSDPeopleGroups[PeopNameInCountry],$AW120))</f>
        <v/>
      </c>
      <c r="AY120" s="234" t="str">
        <f t="shared" si="8"/>
        <v/>
      </c>
    </row>
    <row r="121" spans="1:51" s="110" customFormat="1" ht="20" customHeight="1">
      <c r="A121" s="125" t="s">
        <v>1620</v>
      </c>
      <c r="B121" s="126" t="s">
        <v>61</v>
      </c>
      <c r="C121" s="127">
        <v>18205</v>
      </c>
      <c r="D121" s="163">
        <v>113721</v>
      </c>
      <c r="E121" s="164" t="s">
        <v>4597</v>
      </c>
      <c r="F121" s="164" t="s">
        <v>4597</v>
      </c>
      <c r="G121" s="165">
        <v>4493000</v>
      </c>
      <c r="H121" s="165">
        <v>1</v>
      </c>
      <c r="I121" s="164" t="s">
        <v>187</v>
      </c>
      <c r="J121" s="164" t="s">
        <v>4046</v>
      </c>
      <c r="K121" s="164" t="s">
        <v>4047</v>
      </c>
      <c r="L121" s="165">
        <v>5</v>
      </c>
      <c r="M121" s="165">
        <v>2</v>
      </c>
      <c r="N121" s="164" t="s">
        <v>1718</v>
      </c>
      <c r="O121" s="165">
        <v>0.9</v>
      </c>
      <c r="P121" s="165">
        <v>0.82299999999999995</v>
      </c>
      <c r="Q121" s="165">
        <v>20</v>
      </c>
      <c r="R121" s="164" t="s">
        <v>574</v>
      </c>
      <c r="S121" s="164" t="s">
        <v>575</v>
      </c>
      <c r="T121" s="165">
        <v>280</v>
      </c>
      <c r="U121" s="164" t="s">
        <v>4048</v>
      </c>
      <c r="V121" s="164" t="s">
        <v>4047</v>
      </c>
      <c r="W121" s="165">
        <v>4</v>
      </c>
      <c r="X121" s="165">
        <v>2</v>
      </c>
      <c r="Y121" s="164" t="s">
        <v>194</v>
      </c>
      <c r="Z121" s="164" t="s">
        <v>195</v>
      </c>
      <c r="AA121" s="164" t="s">
        <v>196</v>
      </c>
      <c r="AB121" s="164" t="s">
        <v>187</v>
      </c>
      <c r="AC121" s="164" t="s">
        <v>187</v>
      </c>
      <c r="AD121" s="165">
        <v>90</v>
      </c>
      <c r="AE121" s="164" t="s">
        <v>209</v>
      </c>
      <c r="AF121" s="165">
        <v>21.581969999615801</v>
      </c>
      <c r="AG121" s="166">
        <v>98.136330000029403</v>
      </c>
      <c r="AI121" s="133">
        <f t="shared" si="9"/>
        <v>4</v>
      </c>
      <c r="AJ121" s="134" t="str">
        <v>South Asia Muslim - Sayyid</v>
      </c>
      <c r="AK121" s="135">
        <f t="shared" si="10"/>
        <v>9181000</v>
      </c>
      <c r="AM121" s="133" t="str" cm="1">
        <f t="array" ref="AM121">IF(ROWS($AN$2:$AN120)&lt;=$AN$2,INDEX($V$3:$V$3000,_xlfn.AGGREGATE(15,3,($B$3:$B$3000=$AM$2)/($B$3:$B$3000=$AM$2)*(ROW($B$3:$B$3000)-ROW($B$2)),ROWS($AN$2:$AN120))),"")</f>
        <v/>
      </c>
      <c r="AN121" s="134" t="str" cm="1">
        <f t="array" ref="AN121">IF(ROWS($AN$2:$AN120)&lt;=$AN$2,INDEX($F$3:$F$3000,_xlfn.AGGREGATE(15,3,($B$3:$B$3000=$AM$2)/($B$3:$B$3000=$AM$2)*(ROW($B$3:$B$3000)-ROW($B$2)),ROWS($AN$2:$AN120))),"")</f>
        <v/>
      </c>
      <c r="AO121" s="135" t="str" cm="1">
        <f t="array" ref="AO121">IF(ROWS($AN$2:$AN120)&lt;=$AN$2,INDEX($G$3:$G$3000,_xlfn.AGGREGATE(15,3,($B$3:$B$3000=$AM$2)/($B$3:$B$3000=$AM$2)*(ROW($B$3:$B$3000)-ROW($B$2)),ROWS($AN$2:$AN120))),"")</f>
        <v/>
      </c>
      <c r="AP121" s="121"/>
      <c r="AT121" s="111"/>
      <c r="AV121" s="133" t="str" cm="1">
        <f t="array" ref="AV121">IF(ROWS($AW$2:$AW120)&lt;=$AW$2,INDEX($AM$3:$AM$792,_xlfn.AGGREGATE(15,3,($AM$3:$AM$792='Planning Template'!$F$45)/($AM$3:$AM$792='Planning Template'!$F$45)*(ROW($AM$3:$AM$792)-ROW($AM$2)),ROWS($AW$2:$AW120))),"")</f>
        <v/>
      </c>
      <c r="AW121" s="134" t="str" cm="1">
        <f t="array" ref="AW121">IF(ROWS($AU$3:$AU121)&lt;=$AW$2,INDEX($AN$3:$AN$792,_xlfn.AGGREGATE(15,3,($AM$3:$AM$792='Planning Template'!$F$45)/($AM$3:$AM$792='Planning Template'!$F$45)*(ROW($AM$3:$AM$792)-ROW($AM$2)),ROWS($AU$3:$AU121))),"")</f>
        <v/>
      </c>
      <c r="AX121" s="135" t="str">
        <f>IF(AW121="","",SUMIFS(TableSSDPeopleGroups[Population], TableSSDPeopleGroups[Ctry],'Planning Template'!$F$30,TableSSDPeopleGroups[PrimaryReligion],'Planning Template'!$F$301,TableSSDPeopleGroups[PeopleCluster],'Planning Template'!$F$45,TableSSDPeopleGroups[PeopNameInCountry],$AW121))</f>
        <v/>
      </c>
      <c r="AY121" s="234" t="str">
        <f t="shared" si="8"/>
        <v/>
      </c>
    </row>
    <row r="122" spans="1:51" s="110" customFormat="1" ht="20" customHeight="1">
      <c r="A122" s="125" t="s">
        <v>1620</v>
      </c>
      <c r="B122" s="126" t="s">
        <v>61</v>
      </c>
      <c r="C122" s="127">
        <v>20335</v>
      </c>
      <c r="D122" s="163">
        <v>116081</v>
      </c>
      <c r="E122" s="164" t="s">
        <v>4045</v>
      </c>
      <c r="F122" s="164" t="s">
        <v>4045</v>
      </c>
      <c r="G122" s="165">
        <v>20000</v>
      </c>
      <c r="H122" s="165">
        <v>1</v>
      </c>
      <c r="I122" s="164" t="s">
        <v>187</v>
      </c>
      <c r="J122" s="164" t="s">
        <v>4046</v>
      </c>
      <c r="K122" s="164" t="s">
        <v>4047</v>
      </c>
      <c r="L122" s="165">
        <v>5</v>
      </c>
      <c r="M122" s="165">
        <v>2</v>
      </c>
      <c r="N122" s="164" t="s">
        <v>1718</v>
      </c>
      <c r="O122" s="165">
        <v>0.05</v>
      </c>
      <c r="P122" s="165">
        <v>0.05</v>
      </c>
      <c r="Q122" s="165">
        <v>20</v>
      </c>
      <c r="R122" s="164" t="s">
        <v>574</v>
      </c>
      <c r="S122" s="164" t="s">
        <v>575</v>
      </c>
      <c r="T122" s="165">
        <v>280</v>
      </c>
      <c r="U122" s="164" t="s">
        <v>4048</v>
      </c>
      <c r="V122" s="164" t="s">
        <v>4047</v>
      </c>
      <c r="W122" s="165">
        <v>1</v>
      </c>
      <c r="X122" s="165">
        <v>2</v>
      </c>
      <c r="Y122" s="164" t="s">
        <v>194</v>
      </c>
      <c r="Z122" s="164" t="s">
        <v>195</v>
      </c>
      <c r="AA122" s="164" t="s">
        <v>196</v>
      </c>
      <c r="AB122" s="164" t="s">
        <v>187</v>
      </c>
      <c r="AC122" s="164" t="s">
        <v>187</v>
      </c>
      <c r="AD122" s="165">
        <v>1</v>
      </c>
      <c r="AE122" s="164" t="s">
        <v>187</v>
      </c>
      <c r="AF122" s="165">
        <v>21.884111000000001</v>
      </c>
      <c r="AG122" s="166">
        <v>95.940899999999999</v>
      </c>
      <c r="AI122" s="133">
        <f t="shared" si="9"/>
        <v>5</v>
      </c>
      <c r="AJ122" s="134" t="str">
        <v>South Asia Muslim - Shaikh</v>
      </c>
      <c r="AK122" s="135">
        <f t="shared" si="10"/>
        <v>148246500</v>
      </c>
      <c r="AM122" s="133" t="str" cm="1">
        <f t="array" ref="AM122">IF(ROWS($AN$2:$AN121)&lt;=$AN$2,INDEX($V$3:$V$3000,_xlfn.AGGREGATE(15,3,($B$3:$B$3000=$AM$2)/($B$3:$B$3000=$AM$2)*(ROW($B$3:$B$3000)-ROW($B$2)),ROWS($AN$2:$AN121))),"")</f>
        <v/>
      </c>
      <c r="AN122" s="134" t="str" cm="1">
        <f t="array" ref="AN122">IF(ROWS($AN$2:$AN121)&lt;=$AN$2,INDEX($F$3:$F$3000,_xlfn.AGGREGATE(15,3,($B$3:$B$3000=$AM$2)/($B$3:$B$3000=$AM$2)*(ROW($B$3:$B$3000)-ROW($B$2)),ROWS($AN$2:$AN121))),"")</f>
        <v/>
      </c>
      <c r="AO122" s="135" t="str" cm="1">
        <f t="array" ref="AO122">IF(ROWS($AN$2:$AN121)&lt;=$AN$2,INDEX($G$3:$G$3000,_xlfn.AGGREGATE(15,3,($B$3:$B$3000=$AM$2)/($B$3:$B$3000=$AM$2)*(ROW($B$3:$B$3000)-ROW($B$2)),ROWS($AN$2:$AN121))),"")</f>
        <v/>
      </c>
      <c r="AP122" s="121"/>
      <c r="AT122" s="111"/>
      <c r="AV122" s="133" t="str" cm="1">
        <f t="array" ref="AV122">IF(ROWS($AW$2:$AW121)&lt;=$AW$2,INDEX($AM$3:$AM$792,_xlfn.AGGREGATE(15,3,($AM$3:$AM$792='Planning Template'!$F$45)/($AM$3:$AM$792='Planning Template'!$F$45)*(ROW($AM$3:$AM$792)-ROW($AM$2)),ROWS($AW$2:$AW121))),"")</f>
        <v/>
      </c>
      <c r="AW122" s="134" t="str" cm="1">
        <f t="array" ref="AW122">IF(ROWS($AU$3:$AU122)&lt;=$AW$2,INDEX($AN$3:$AN$792,_xlfn.AGGREGATE(15,3,($AM$3:$AM$792='Planning Template'!$F$45)/($AM$3:$AM$792='Planning Template'!$F$45)*(ROW($AM$3:$AM$792)-ROW($AM$2)),ROWS($AU$3:$AU122))),"")</f>
        <v/>
      </c>
      <c r="AX122" s="135" t="str">
        <f>IF(AW122="","",SUMIFS(TableSSDPeopleGroups[Population], TableSSDPeopleGroups[Ctry],'Planning Template'!$F$30,TableSSDPeopleGroups[PrimaryReligion],'Planning Template'!$F$301,TableSSDPeopleGroups[PeopleCluster],'Planning Template'!$F$45,TableSSDPeopleGroups[PeopNameInCountry],$AW122))</f>
        <v/>
      </c>
      <c r="AY122" s="234" t="str">
        <f t="shared" si="8"/>
        <v/>
      </c>
    </row>
    <row r="123" spans="1:51" s="110" customFormat="1" ht="20" customHeight="1">
      <c r="A123" s="125" t="s">
        <v>478</v>
      </c>
      <c r="B123" s="126" t="s">
        <v>56</v>
      </c>
      <c r="C123" s="127">
        <v>18205</v>
      </c>
      <c r="D123" s="163">
        <v>113721</v>
      </c>
      <c r="E123" s="164" t="s">
        <v>4597</v>
      </c>
      <c r="F123" s="164" t="s">
        <v>4597</v>
      </c>
      <c r="G123" s="165">
        <v>99000</v>
      </c>
      <c r="H123" s="165">
        <v>1</v>
      </c>
      <c r="I123" s="164" t="s">
        <v>187</v>
      </c>
      <c r="J123" s="164" t="s">
        <v>4046</v>
      </c>
      <c r="K123" s="164" t="s">
        <v>4047</v>
      </c>
      <c r="L123" s="165">
        <v>5</v>
      </c>
      <c r="M123" s="165">
        <v>2</v>
      </c>
      <c r="N123" s="164" t="s">
        <v>1718</v>
      </c>
      <c r="O123" s="165">
        <v>0.35799999999999998</v>
      </c>
      <c r="P123" s="165">
        <v>0.35799999999999998</v>
      </c>
      <c r="Q123" s="165">
        <v>20</v>
      </c>
      <c r="R123" s="164" t="s">
        <v>574</v>
      </c>
      <c r="S123" s="164" t="s">
        <v>575</v>
      </c>
      <c r="T123" s="165">
        <v>280</v>
      </c>
      <c r="U123" s="164" t="s">
        <v>4048</v>
      </c>
      <c r="V123" s="164" t="s">
        <v>4047</v>
      </c>
      <c r="W123" s="165">
        <v>4</v>
      </c>
      <c r="X123" s="165">
        <v>2</v>
      </c>
      <c r="Y123" s="164" t="s">
        <v>194</v>
      </c>
      <c r="Z123" s="164" t="s">
        <v>195</v>
      </c>
      <c r="AA123" s="164" t="s">
        <v>196</v>
      </c>
      <c r="AB123" s="164" t="s">
        <v>187</v>
      </c>
      <c r="AC123" s="164" t="s">
        <v>187</v>
      </c>
      <c r="AD123" s="165">
        <v>2</v>
      </c>
      <c r="AE123" s="164" t="s">
        <v>209</v>
      </c>
      <c r="AF123" s="165">
        <v>18.82179</v>
      </c>
      <c r="AG123" s="166">
        <v>97.868089999999995</v>
      </c>
      <c r="AI123" s="133">
        <f t="shared" si="9"/>
        <v>2</v>
      </c>
      <c r="AJ123" s="134" t="str">
        <v>South Asia Tribal - Bhil</v>
      </c>
      <c r="AK123" s="135">
        <f t="shared" si="10"/>
        <v>457400</v>
      </c>
      <c r="AM123" s="133" t="str" cm="1">
        <f t="array" ref="AM123">IF(ROWS($AN$2:$AN122)&lt;=$AN$2,INDEX($V$3:$V$3000,_xlfn.AGGREGATE(15,3,($B$3:$B$3000=$AM$2)/($B$3:$B$3000=$AM$2)*(ROW($B$3:$B$3000)-ROW($B$2)),ROWS($AN$2:$AN122))),"")</f>
        <v/>
      </c>
      <c r="AN123" s="134" t="str" cm="1">
        <f t="array" ref="AN123">IF(ROWS($AN$2:$AN122)&lt;=$AN$2,INDEX($F$3:$F$3000,_xlfn.AGGREGATE(15,3,($B$3:$B$3000=$AM$2)/($B$3:$B$3000=$AM$2)*(ROW($B$3:$B$3000)-ROW($B$2)),ROWS($AN$2:$AN122))),"")</f>
        <v/>
      </c>
      <c r="AO123" s="135" t="str" cm="1">
        <f t="array" ref="AO123">IF(ROWS($AN$2:$AN122)&lt;=$AN$2,INDEX($G$3:$G$3000,_xlfn.AGGREGATE(15,3,($B$3:$B$3000=$AM$2)/($B$3:$B$3000=$AM$2)*(ROW($B$3:$B$3000)-ROW($B$2)),ROWS($AN$2:$AN122))),"")</f>
        <v/>
      </c>
      <c r="AP123" s="121"/>
      <c r="AT123" s="111"/>
      <c r="AV123" s="133" t="str" cm="1">
        <f t="array" ref="AV123">IF(ROWS($AW$2:$AW122)&lt;=$AW$2,INDEX($AM$3:$AM$792,_xlfn.AGGREGATE(15,3,($AM$3:$AM$792='Planning Template'!$F$45)/($AM$3:$AM$792='Planning Template'!$F$45)*(ROW($AM$3:$AM$792)-ROW($AM$2)),ROWS($AW$2:$AW122))),"")</f>
        <v/>
      </c>
      <c r="AW123" s="134" t="str" cm="1">
        <f t="array" ref="AW123">IF(ROWS($AU$3:$AU123)&lt;=$AW$2,INDEX($AN$3:$AN$792,_xlfn.AGGREGATE(15,3,($AM$3:$AM$792='Planning Template'!$F$45)/($AM$3:$AM$792='Planning Template'!$F$45)*(ROW($AM$3:$AM$792)-ROW($AM$2)),ROWS($AU$3:$AU123))),"")</f>
        <v/>
      </c>
      <c r="AX123" s="135" t="str">
        <f>IF(AW123="","",SUMIFS(TableSSDPeopleGroups[Population], TableSSDPeopleGroups[Ctry],'Planning Template'!$F$30,TableSSDPeopleGroups[PrimaryReligion],'Planning Template'!$F$301,TableSSDPeopleGroups[PeopleCluster],'Planning Template'!$F$45,TableSSDPeopleGroups[PeopNameInCountry],$AW123))</f>
        <v/>
      </c>
      <c r="AY123" s="234" t="str">
        <f t="shared" si="8"/>
        <v/>
      </c>
    </row>
    <row r="124" spans="1:51" s="110" customFormat="1" ht="20" customHeight="1">
      <c r="A124" s="125" t="s">
        <v>486</v>
      </c>
      <c r="B124" s="126" t="s">
        <v>57</v>
      </c>
      <c r="C124" s="127">
        <v>16382</v>
      </c>
      <c r="D124" s="163">
        <v>111524</v>
      </c>
      <c r="E124" s="164" t="s">
        <v>1964</v>
      </c>
      <c r="F124" s="164" t="s">
        <v>1964</v>
      </c>
      <c r="G124" s="165">
        <v>11000</v>
      </c>
      <c r="H124" s="165">
        <v>1</v>
      </c>
      <c r="I124" s="164" t="s">
        <v>187</v>
      </c>
      <c r="J124" s="164" t="s">
        <v>713</v>
      </c>
      <c r="K124" s="164" t="s">
        <v>714</v>
      </c>
      <c r="L124" s="165">
        <v>4</v>
      </c>
      <c r="M124" s="165">
        <v>2</v>
      </c>
      <c r="N124" s="164" t="s">
        <v>1718</v>
      </c>
      <c r="O124" s="165">
        <v>0</v>
      </c>
      <c r="P124" s="165">
        <v>0</v>
      </c>
      <c r="Q124" s="165">
        <v>21</v>
      </c>
      <c r="R124" s="164" t="s">
        <v>200</v>
      </c>
      <c r="S124" s="164" t="s">
        <v>201</v>
      </c>
      <c r="T124" s="165">
        <v>402</v>
      </c>
      <c r="U124" s="164" t="s">
        <v>200</v>
      </c>
      <c r="V124" s="164" t="s">
        <v>1968</v>
      </c>
      <c r="W124" s="165">
        <v>3</v>
      </c>
      <c r="X124" s="165">
        <v>4</v>
      </c>
      <c r="Y124" s="164" t="s">
        <v>203</v>
      </c>
      <c r="Z124" s="164" t="s">
        <v>195</v>
      </c>
      <c r="AA124" s="164" t="s">
        <v>196</v>
      </c>
      <c r="AB124" s="164" t="s">
        <v>187</v>
      </c>
      <c r="AC124" s="164" t="s">
        <v>187</v>
      </c>
      <c r="AD124" s="165">
        <v>1</v>
      </c>
      <c r="AE124" s="164" t="s">
        <v>187</v>
      </c>
      <c r="AF124" s="165">
        <v>22.736547075557301</v>
      </c>
      <c r="AG124" s="166">
        <v>92.102959284532204</v>
      </c>
      <c r="AI124" s="133">
        <f t="shared" si="9"/>
        <v>4</v>
      </c>
      <c r="AJ124" s="134" t="str">
        <v>Sunda-Betawi of Java</v>
      </c>
      <c r="AK124" s="135">
        <f t="shared" si="10"/>
        <v>46333000</v>
      </c>
      <c r="AM124" s="133" t="str" cm="1">
        <f t="array" ref="AM124">IF(ROWS($AN$2:$AN123)&lt;=$AN$2,INDEX($V$3:$V$3000,_xlfn.AGGREGATE(15,3,($B$3:$B$3000=$AM$2)/($B$3:$B$3000=$AM$2)*(ROW($B$3:$B$3000)-ROW($B$2)),ROWS($AN$2:$AN123))),"")</f>
        <v/>
      </c>
      <c r="AN124" s="134" t="str" cm="1">
        <f t="array" ref="AN124">IF(ROWS($AN$2:$AN123)&lt;=$AN$2,INDEX($F$3:$F$3000,_xlfn.AGGREGATE(15,3,($B$3:$B$3000=$AM$2)/($B$3:$B$3000=$AM$2)*(ROW($B$3:$B$3000)-ROW($B$2)),ROWS($AN$2:$AN123))),"")</f>
        <v/>
      </c>
      <c r="AO124" s="135" t="str" cm="1">
        <f t="array" ref="AO124">IF(ROWS($AN$2:$AN123)&lt;=$AN$2,INDEX($G$3:$G$3000,_xlfn.AGGREGATE(15,3,($B$3:$B$3000=$AM$2)/($B$3:$B$3000=$AM$2)*(ROW($B$3:$B$3000)-ROW($B$2)),ROWS($AN$2:$AN123))),"")</f>
        <v/>
      </c>
      <c r="AP124" s="121"/>
      <c r="AT124" s="111"/>
      <c r="AV124" s="133" t="str" cm="1">
        <f t="array" ref="AV124">IF(ROWS($AW$2:$AW123)&lt;=$AW$2,INDEX($AM$3:$AM$792,_xlfn.AGGREGATE(15,3,($AM$3:$AM$792='Planning Template'!$F$45)/($AM$3:$AM$792='Planning Template'!$F$45)*(ROW($AM$3:$AM$792)-ROW($AM$2)),ROWS($AW$2:$AW123))),"")</f>
        <v/>
      </c>
      <c r="AW124" s="134" t="str" cm="1">
        <f t="array" ref="AW124">IF(ROWS($AU$3:$AU124)&lt;=$AW$2,INDEX($AN$3:$AN$792,_xlfn.AGGREGATE(15,3,($AM$3:$AM$792='Planning Template'!$F$45)/($AM$3:$AM$792='Planning Template'!$F$45)*(ROW($AM$3:$AM$792)-ROW($AM$2)),ROWS($AU$3:$AU124))),"")</f>
        <v/>
      </c>
      <c r="AX124" s="135" t="str">
        <f>IF(AW124="","",SUMIFS(TableSSDPeopleGroups[Population], TableSSDPeopleGroups[Ctry],'Planning Template'!$F$30,TableSSDPeopleGroups[PrimaryReligion],'Planning Template'!$F$301,TableSSDPeopleGroups[PeopleCluster],'Planning Template'!$F$45,TableSSDPeopleGroups[PeopNameInCountry],$AW124))</f>
        <v/>
      </c>
      <c r="AY124" s="234" t="str">
        <f t="shared" si="8"/>
        <v/>
      </c>
    </row>
    <row r="125" spans="1:51" s="110" customFormat="1" ht="20" customHeight="1">
      <c r="A125" s="125" t="s">
        <v>486</v>
      </c>
      <c r="B125" s="126" t="s">
        <v>57</v>
      </c>
      <c r="C125" s="127">
        <v>14300</v>
      </c>
      <c r="D125" s="163">
        <v>107850</v>
      </c>
      <c r="E125" s="164" t="s">
        <v>3021</v>
      </c>
      <c r="F125" s="164" t="s">
        <v>3022</v>
      </c>
      <c r="G125" s="165">
        <v>3900</v>
      </c>
      <c r="H125" s="165">
        <v>1</v>
      </c>
      <c r="I125" s="164" t="s">
        <v>187</v>
      </c>
      <c r="J125" s="164" t="s">
        <v>3023</v>
      </c>
      <c r="K125" s="164" t="s">
        <v>3024</v>
      </c>
      <c r="L125" s="165">
        <v>1</v>
      </c>
      <c r="M125" s="165">
        <v>2</v>
      </c>
      <c r="N125" s="164" t="s">
        <v>1718</v>
      </c>
      <c r="O125" s="165">
        <v>4.4939999999999998</v>
      </c>
      <c r="P125" s="168"/>
      <c r="Q125" s="165">
        <v>21</v>
      </c>
      <c r="R125" s="164" t="s">
        <v>200</v>
      </c>
      <c r="S125" s="164" t="s">
        <v>201</v>
      </c>
      <c r="T125" s="165">
        <v>402</v>
      </c>
      <c r="U125" s="164" t="s">
        <v>200</v>
      </c>
      <c r="V125" s="164" t="s">
        <v>1968</v>
      </c>
      <c r="W125" s="165">
        <v>1</v>
      </c>
      <c r="X125" s="165">
        <v>4</v>
      </c>
      <c r="Y125" s="164" t="s">
        <v>203</v>
      </c>
      <c r="Z125" s="164" t="s">
        <v>195</v>
      </c>
      <c r="AA125" s="164" t="s">
        <v>196</v>
      </c>
      <c r="AB125" s="164" t="s">
        <v>187</v>
      </c>
      <c r="AC125" s="164" t="s">
        <v>187</v>
      </c>
      <c r="AD125" s="165">
        <v>1</v>
      </c>
      <c r="AE125" s="164" t="s">
        <v>209</v>
      </c>
      <c r="AF125" s="165">
        <v>22.453973999999999</v>
      </c>
      <c r="AG125" s="166">
        <v>92.414490000000001</v>
      </c>
      <c r="AI125" s="133">
        <f t="shared" si="9"/>
        <v>2</v>
      </c>
      <c r="AJ125" s="134" t="str">
        <v>Tajik</v>
      </c>
      <c r="AK125" s="135">
        <f t="shared" si="10"/>
        <v>959000</v>
      </c>
      <c r="AM125" s="133" t="str" cm="1">
        <f t="array" ref="AM125">IF(ROWS($AN$2:$AN124)&lt;=$AN$2,INDEX($V$3:$V$3000,_xlfn.AGGREGATE(15,3,($B$3:$B$3000=$AM$2)/($B$3:$B$3000=$AM$2)*(ROW($B$3:$B$3000)-ROW($B$2)),ROWS($AN$2:$AN124))),"")</f>
        <v/>
      </c>
      <c r="AN125" s="134" t="str" cm="1">
        <f t="array" ref="AN125">IF(ROWS($AN$2:$AN124)&lt;=$AN$2,INDEX($F$3:$F$3000,_xlfn.AGGREGATE(15,3,($B$3:$B$3000=$AM$2)/($B$3:$B$3000=$AM$2)*(ROW($B$3:$B$3000)-ROW($B$2)),ROWS($AN$2:$AN124))),"")</f>
        <v/>
      </c>
      <c r="AO125" s="135" t="str" cm="1">
        <f t="array" ref="AO125">IF(ROWS($AN$2:$AN124)&lt;=$AN$2,INDEX($G$3:$G$3000,_xlfn.AGGREGATE(15,3,($B$3:$B$3000=$AM$2)/($B$3:$B$3000=$AM$2)*(ROW($B$3:$B$3000)-ROW($B$2)),ROWS($AN$2:$AN124))),"")</f>
        <v/>
      </c>
      <c r="AP125" s="121"/>
      <c r="AT125" s="111"/>
      <c r="AV125" s="133" t="str" cm="1">
        <f t="array" ref="AV125">IF(ROWS($AW$2:$AW124)&lt;=$AW$2,INDEX($AM$3:$AM$792,_xlfn.AGGREGATE(15,3,($AM$3:$AM$792='Planning Template'!$F$45)/($AM$3:$AM$792='Planning Template'!$F$45)*(ROW($AM$3:$AM$792)-ROW($AM$2)),ROWS($AW$2:$AW124))),"")</f>
        <v/>
      </c>
      <c r="AW125" s="134" t="str" cm="1">
        <f t="array" ref="AW125">IF(ROWS($AU$3:$AU125)&lt;=$AW$2,INDEX($AN$3:$AN$792,_xlfn.AGGREGATE(15,3,($AM$3:$AM$792='Planning Template'!$F$45)/($AM$3:$AM$792='Planning Template'!$F$45)*(ROW($AM$3:$AM$792)-ROW($AM$2)),ROWS($AU$3:$AU125))),"")</f>
        <v/>
      </c>
      <c r="AX125" s="135" t="str">
        <f>IF(AW125="","",SUMIFS(TableSSDPeopleGroups[Population], TableSSDPeopleGroups[Ctry],'Planning Template'!$F$30,TableSSDPeopleGroups[PrimaryReligion],'Planning Template'!$F$301,TableSSDPeopleGroups[PeopleCluster],'Planning Template'!$F$45,TableSSDPeopleGroups[PeopNameInCountry],$AW125))</f>
        <v/>
      </c>
      <c r="AY125" s="234" t="str">
        <f t="shared" si="8"/>
        <v/>
      </c>
    </row>
    <row r="126" spans="1:51" s="110" customFormat="1" ht="20" customHeight="1">
      <c r="A126" s="125" t="s">
        <v>486</v>
      </c>
      <c r="B126" s="126" t="s">
        <v>57</v>
      </c>
      <c r="C126" s="127">
        <v>11291</v>
      </c>
      <c r="D126" s="163">
        <v>101968</v>
      </c>
      <c r="E126" s="164" t="s">
        <v>2671</v>
      </c>
      <c r="F126" s="164" t="s">
        <v>2671</v>
      </c>
      <c r="G126" s="165">
        <v>3000</v>
      </c>
      <c r="H126" s="165">
        <v>1</v>
      </c>
      <c r="I126" s="164" t="s">
        <v>187</v>
      </c>
      <c r="J126" s="164" t="s">
        <v>2673</v>
      </c>
      <c r="K126" s="164" t="s">
        <v>2671</v>
      </c>
      <c r="L126" s="165">
        <v>0</v>
      </c>
      <c r="M126" s="165">
        <v>2</v>
      </c>
      <c r="N126" s="164" t="s">
        <v>1718</v>
      </c>
      <c r="O126" s="165">
        <v>0.73199999999999998</v>
      </c>
      <c r="P126" s="168"/>
      <c r="Q126" s="165">
        <v>21</v>
      </c>
      <c r="R126" s="164" t="s">
        <v>200</v>
      </c>
      <c r="S126" s="164" t="s">
        <v>201</v>
      </c>
      <c r="T126" s="165">
        <v>402</v>
      </c>
      <c r="U126" s="164" t="s">
        <v>200</v>
      </c>
      <c r="V126" s="164" t="s">
        <v>1968</v>
      </c>
      <c r="W126" s="165">
        <v>3</v>
      </c>
      <c r="X126" s="165">
        <v>4</v>
      </c>
      <c r="Y126" s="164" t="s">
        <v>203</v>
      </c>
      <c r="Z126" s="164" t="s">
        <v>195</v>
      </c>
      <c r="AA126" s="164" t="s">
        <v>196</v>
      </c>
      <c r="AB126" s="164" t="s">
        <v>187</v>
      </c>
      <c r="AC126" s="164" t="s">
        <v>187</v>
      </c>
      <c r="AD126" s="165">
        <v>1</v>
      </c>
      <c r="AE126" s="164" t="s">
        <v>209</v>
      </c>
      <c r="AF126" s="165">
        <v>21.742388999999999</v>
      </c>
      <c r="AG126" s="166">
        <v>92.380150999999998</v>
      </c>
      <c r="AI126" s="133">
        <f t="shared" si="9"/>
        <v>19</v>
      </c>
      <c r="AJ126" s="134" t="str">
        <v>Tukangbesi of Sulawesi</v>
      </c>
      <c r="AK126" s="135">
        <f t="shared" si="10"/>
        <v>1604080</v>
      </c>
      <c r="AM126" s="133" t="str" cm="1">
        <f t="array" ref="AM126">IF(ROWS($AN$2:$AN125)&lt;=$AN$2,INDEX($V$3:$V$3000,_xlfn.AGGREGATE(15,3,($B$3:$B$3000=$AM$2)/($B$3:$B$3000=$AM$2)*(ROW($B$3:$B$3000)-ROW($B$2)),ROWS($AN$2:$AN125))),"")</f>
        <v/>
      </c>
      <c r="AN126" s="134" t="str" cm="1">
        <f t="array" ref="AN126">IF(ROWS($AN$2:$AN125)&lt;=$AN$2,INDEX($F$3:$F$3000,_xlfn.AGGREGATE(15,3,($B$3:$B$3000=$AM$2)/($B$3:$B$3000=$AM$2)*(ROW($B$3:$B$3000)-ROW($B$2)),ROWS($AN$2:$AN125))),"")</f>
        <v/>
      </c>
      <c r="AO126" s="135" t="str" cm="1">
        <f t="array" ref="AO126">IF(ROWS($AN$2:$AN125)&lt;=$AN$2,INDEX($G$3:$G$3000,_xlfn.AGGREGATE(15,3,($B$3:$B$3000=$AM$2)/($B$3:$B$3000=$AM$2)*(ROW($B$3:$B$3000)-ROW($B$2)),ROWS($AN$2:$AN125))),"")</f>
        <v/>
      </c>
      <c r="AP126" s="121"/>
      <c r="AT126" s="111"/>
      <c r="AV126" s="133" t="str" cm="1">
        <f t="array" ref="AV126">IF(ROWS($AW$2:$AW125)&lt;=$AW$2,INDEX($AM$3:$AM$792,_xlfn.AGGREGATE(15,3,($AM$3:$AM$792='Planning Template'!$F$45)/($AM$3:$AM$792='Planning Template'!$F$45)*(ROW($AM$3:$AM$792)-ROW($AM$2)),ROWS($AW$2:$AW125))),"")</f>
        <v/>
      </c>
      <c r="AW126" s="134" t="str" cm="1">
        <f t="array" ref="AW126">IF(ROWS($AU$3:$AU126)&lt;=$AW$2,INDEX($AN$3:$AN$792,_xlfn.AGGREGATE(15,3,($AM$3:$AM$792='Planning Template'!$F$45)/($AM$3:$AM$792='Planning Template'!$F$45)*(ROW($AM$3:$AM$792)-ROW($AM$2)),ROWS($AU$3:$AU126))),"")</f>
        <v/>
      </c>
      <c r="AX126" s="135" t="str">
        <f>IF(AW126="","",SUMIFS(TableSSDPeopleGroups[Population], TableSSDPeopleGroups[Ctry],'Planning Template'!$F$30,TableSSDPeopleGroups[PrimaryReligion],'Planning Template'!$F$301,TableSSDPeopleGroups[PeopleCluster],'Planning Template'!$F$45,TableSSDPeopleGroups[PeopNameInCountry],$AW126))</f>
        <v/>
      </c>
      <c r="AY126" s="234" t="str">
        <f t="shared" si="8"/>
        <v/>
      </c>
    </row>
    <row r="127" spans="1:51" s="110" customFormat="1" ht="20" customHeight="1">
      <c r="A127" s="125" t="s">
        <v>486</v>
      </c>
      <c r="B127" s="126" t="s">
        <v>57</v>
      </c>
      <c r="C127" s="127">
        <v>15366</v>
      </c>
      <c r="D127" s="163">
        <v>110781</v>
      </c>
      <c r="E127" s="164" t="s">
        <v>2150</v>
      </c>
      <c r="F127" s="164" t="s">
        <v>2150</v>
      </c>
      <c r="G127" s="165">
        <v>800</v>
      </c>
      <c r="H127" s="165">
        <v>1</v>
      </c>
      <c r="I127" s="164" t="s">
        <v>187</v>
      </c>
      <c r="J127" s="164" t="s">
        <v>2151</v>
      </c>
      <c r="K127" s="164" t="s">
        <v>2150</v>
      </c>
      <c r="L127" s="165">
        <v>4</v>
      </c>
      <c r="M127" s="165">
        <v>2</v>
      </c>
      <c r="N127" s="164" t="s">
        <v>1718</v>
      </c>
      <c r="O127" s="165">
        <v>0</v>
      </c>
      <c r="P127" s="165">
        <v>0</v>
      </c>
      <c r="Q127" s="165">
        <v>21</v>
      </c>
      <c r="R127" s="164" t="s">
        <v>200</v>
      </c>
      <c r="S127" s="164" t="s">
        <v>201</v>
      </c>
      <c r="T127" s="165">
        <v>402</v>
      </c>
      <c r="U127" s="164" t="s">
        <v>200</v>
      </c>
      <c r="V127" s="164" t="s">
        <v>1968</v>
      </c>
      <c r="W127" s="165">
        <v>4</v>
      </c>
      <c r="X127" s="165">
        <v>4</v>
      </c>
      <c r="Y127" s="164" t="s">
        <v>203</v>
      </c>
      <c r="Z127" s="164" t="s">
        <v>195</v>
      </c>
      <c r="AA127" s="164" t="s">
        <v>196</v>
      </c>
      <c r="AB127" s="164" t="s">
        <v>187</v>
      </c>
      <c r="AC127" s="164" t="s">
        <v>187</v>
      </c>
      <c r="AD127" s="165">
        <v>1</v>
      </c>
      <c r="AE127" s="164" t="s">
        <v>187</v>
      </c>
      <c r="AF127" s="165">
        <v>25.744156723596198</v>
      </c>
      <c r="AG127" s="166">
        <v>89.003736567210893</v>
      </c>
      <c r="AI127" s="133">
        <f t="shared" si="9"/>
        <v>2</v>
      </c>
      <c r="AJ127" s="134" t="str">
        <v>Turkish</v>
      </c>
      <c r="AK127" s="135">
        <f t="shared" si="10"/>
        <v>5700</v>
      </c>
      <c r="AM127" s="133" t="str" cm="1">
        <f t="array" ref="AM127">IF(ROWS($AN$2:$AN126)&lt;=$AN$2,INDEX($V$3:$V$3000,_xlfn.AGGREGATE(15,3,($B$3:$B$3000=$AM$2)/($B$3:$B$3000=$AM$2)*(ROW($B$3:$B$3000)-ROW($B$2)),ROWS($AN$2:$AN126))),"")</f>
        <v/>
      </c>
      <c r="AN127" s="134" t="str" cm="1">
        <f t="array" ref="AN127">IF(ROWS($AN$2:$AN126)&lt;=$AN$2,INDEX($F$3:$F$3000,_xlfn.AGGREGATE(15,3,($B$3:$B$3000=$AM$2)/($B$3:$B$3000=$AM$2)*(ROW($B$3:$B$3000)-ROW($B$2)),ROWS($AN$2:$AN126))),"")</f>
        <v/>
      </c>
      <c r="AO127" s="135" t="str" cm="1">
        <f t="array" ref="AO127">IF(ROWS($AN$2:$AN126)&lt;=$AN$2,INDEX($G$3:$G$3000,_xlfn.AGGREGATE(15,3,($B$3:$B$3000=$AM$2)/($B$3:$B$3000=$AM$2)*(ROW($B$3:$B$3000)-ROW($B$2)),ROWS($AN$2:$AN126))),"")</f>
        <v/>
      </c>
      <c r="AP127" s="121"/>
      <c r="AT127" s="111"/>
      <c r="AV127" s="133" t="str" cm="1">
        <f t="array" ref="AV127">IF(ROWS($AW$2:$AW126)&lt;=$AW$2,INDEX($AM$3:$AM$792,_xlfn.AGGREGATE(15,3,($AM$3:$AM$792='Planning Template'!$F$45)/($AM$3:$AM$792='Planning Template'!$F$45)*(ROW($AM$3:$AM$792)-ROW($AM$2)),ROWS($AW$2:$AW126))),"")</f>
        <v/>
      </c>
      <c r="AW127" s="134" t="str" cm="1">
        <f t="array" ref="AW127">IF(ROWS($AU$3:$AU127)&lt;=$AW$2,INDEX($AN$3:$AN$792,_xlfn.AGGREGATE(15,3,($AM$3:$AM$792='Planning Template'!$F$45)/($AM$3:$AM$792='Planning Template'!$F$45)*(ROW($AM$3:$AM$792)-ROW($AM$2)),ROWS($AU$3:$AU127))),"")</f>
        <v/>
      </c>
      <c r="AX127" s="135" t="str">
        <f>IF(AW127="","",SUMIFS(TableSSDPeopleGroups[Population], TableSSDPeopleGroups[Ctry],'Planning Template'!$F$30,TableSSDPeopleGroups[PrimaryReligion],'Planning Template'!$F$301,TableSSDPeopleGroups[PeopleCluster],'Planning Template'!$F$45,TableSSDPeopleGroups[PeopNameInCountry],$AW127))</f>
        <v/>
      </c>
      <c r="AY127" s="234" t="str">
        <f t="shared" si="8"/>
        <v/>
      </c>
    </row>
    <row r="128" spans="1:51" s="110" customFormat="1" ht="20" customHeight="1">
      <c r="A128" s="125" t="s">
        <v>486</v>
      </c>
      <c r="B128" s="126" t="s">
        <v>57</v>
      </c>
      <c r="C128" s="127">
        <v>18212</v>
      </c>
      <c r="D128" s="163">
        <v>102861</v>
      </c>
      <c r="E128" s="164" t="s">
        <v>2154</v>
      </c>
      <c r="F128" s="164" t="s">
        <v>2154</v>
      </c>
      <c r="G128" s="165">
        <v>800</v>
      </c>
      <c r="H128" s="165">
        <v>1</v>
      </c>
      <c r="I128" s="164" t="s">
        <v>187</v>
      </c>
      <c r="J128" s="164" t="s">
        <v>2155</v>
      </c>
      <c r="K128" s="164" t="s">
        <v>2156</v>
      </c>
      <c r="L128" s="165">
        <v>4</v>
      </c>
      <c r="M128" s="165">
        <v>2</v>
      </c>
      <c r="N128" s="164" t="s">
        <v>1718</v>
      </c>
      <c r="O128" s="165">
        <v>1.9690000000000001</v>
      </c>
      <c r="P128" s="168"/>
      <c r="Q128" s="165">
        <v>21</v>
      </c>
      <c r="R128" s="164" t="s">
        <v>200</v>
      </c>
      <c r="S128" s="164" t="s">
        <v>201</v>
      </c>
      <c r="T128" s="165">
        <v>402</v>
      </c>
      <c r="U128" s="164" t="s">
        <v>200</v>
      </c>
      <c r="V128" s="164" t="s">
        <v>1968</v>
      </c>
      <c r="W128" s="165">
        <v>4</v>
      </c>
      <c r="X128" s="165">
        <v>4</v>
      </c>
      <c r="Y128" s="164" t="s">
        <v>203</v>
      </c>
      <c r="Z128" s="164" t="s">
        <v>195</v>
      </c>
      <c r="AA128" s="164" t="s">
        <v>196</v>
      </c>
      <c r="AB128" s="164" t="s">
        <v>187</v>
      </c>
      <c r="AC128" s="164" t="s">
        <v>187</v>
      </c>
      <c r="AD128" s="165">
        <v>1</v>
      </c>
      <c r="AE128" s="164" t="s">
        <v>209</v>
      </c>
      <c r="AF128" s="165">
        <v>24.954156579123602</v>
      </c>
      <c r="AG128" s="166">
        <v>89.424453182696695</v>
      </c>
      <c r="AI128" s="133">
        <f t="shared" si="9"/>
        <v>1</v>
      </c>
      <c r="AJ128" s="134" t="str">
        <v>Turkmen</v>
      </c>
      <c r="AK128" s="135">
        <f t="shared" si="10"/>
        <v>153000</v>
      </c>
      <c r="AM128" s="133" t="str" cm="1">
        <f t="array" ref="AM128">IF(ROWS($AN$2:$AN127)&lt;=$AN$2,INDEX($V$3:$V$3000,_xlfn.AGGREGATE(15,3,($B$3:$B$3000=$AM$2)/($B$3:$B$3000=$AM$2)*(ROW($B$3:$B$3000)-ROW($B$2)),ROWS($AN$2:$AN127))),"")</f>
        <v/>
      </c>
      <c r="AN128" s="134" t="str" cm="1">
        <f t="array" ref="AN128">IF(ROWS($AN$2:$AN127)&lt;=$AN$2,INDEX($F$3:$F$3000,_xlfn.AGGREGATE(15,3,($B$3:$B$3000=$AM$2)/($B$3:$B$3000=$AM$2)*(ROW($B$3:$B$3000)-ROW($B$2)),ROWS($AN$2:$AN127))),"")</f>
        <v/>
      </c>
      <c r="AO128" s="135" t="str" cm="1">
        <f t="array" ref="AO128">IF(ROWS($AN$2:$AN127)&lt;=$AN$2,INDEX($G$3:$G$3000,_xlfn.AGGREGATE(15,3,($B$3:$B$3000=$AM$2)/($B$3:$B$3000=$AM$2)*(ROW($B$3:$B$3000)-ROW($B$2)),ROWS($AN$2:$AN127))),"")</f>
        <v/>
      </c>
      <c r="AP128" s="121"/>
      <c r="AT128" s="111"/>
      <c r="AV128" s="133" t="str" cm="1">
        <f t="array" ref="AV128">IF(ROWS($AW$2:$AW127)&lt;=$AW$2,INDEX($AM$3:$AM$792,_xlfn.AGGREGATE(15,3,($AM$3:$AM$792='Planning Template'!$F$45)/($AM$3:$AM$792='Planning Template'!$F$45)*(ROW($AM$3:$AM$792)-ROW($AM$2)),ROWS($AW$2:$AW127))),"")</f>
        <v/>
      </c>
      <c r="AW128" s="134" t="str" cm="1">
        <f t="array" ref="AW128">IF(ROWS($AU$3:$AU128)&lt;=$AW$2,INDEX($AN$3:$AN$792,_xlfn.AGGREGATE(15,3,($AM$3:$AM$792='Planning Template'!$F$45)/($AM$3:$AM$792='Planning Template'!$F$45)*(ROW($AM$3:$AM$792)-ROW($AM$2)),ROWS($AU$3:$AU128))),"")</f>
        <v/>
      </c>
      <c r="AX128" s="135" t="str">
        <f>IF(AW128="","",SUMIFS(TableSSDPeopleGroups[Population], TableSSDPeopleGroups[Ctry],'Planning Template'!$F$30,TableSSDPeopleGroups[PrimaryReligion],'Planning Template'!$F$301,TableSSDPeopleGroups[PeopleCluster],'Planning Template'!$F$45,TableSSDPeopleGroups[PeopNameInCountry],$AW128))</f>
        <v/>
      </c>
      <c r="AY128" s="234" t="str">
        <f t="shared" si="8"/>
        <v/>
      </c>
    </row>
    <row r="129" spans="1:51" s="110" customFormat="1" ht="20" customHeight="1">
      <c r="A129" s="125" t="s">
        <v>486</v>
      </c>
      <c r="B129" s="126" t="s">
        <v>57</v>
      </c>
      <c r="C129" s="127">
        <v>15249</v>
      </c>
      <c r="D129" s="157">
        <v>109815</v>
      </c>
      <c r="E129" s="158" t="s">
        <v>4304</v>
      </c>
      <c r="F129" s="158" t="s">
        <v>4304</v>
      </c>
      <c r="G129" s="159">
        <v>36000</v>
      </c>
      <c r="H129" s="159">
        <v>2</v>
      </c>
      <c r="I129" s="158" t="s">
        <v>209</v>
      </c>
      <c r="J129" s="158" t="s">
        <v>4305</v>
      </c>
      <c r="K129" s="158" t="s">
        <v>4306</v>
      </c>
      <c r="L129" s="159">
        <v>1</v>
      </c>
      <c r="M129" s="159">
        <v>2</v>
      </c>
      <c r="N129" s="158" t="s">
        <v>1718</v>
      </c>
      <c r="O129" s="159">
        <v>23.655999999999999</v>
      </c>
      <c r="P129" s="160"/>
      <c r="Q129" s="159">
        <v>21</v>
      </c>
      <c r="R129" s="158" t="s">
        <v>200</v>
      </c>
      <c r="S129" s="158" t="s">
        <v>201</v>
      </c>
      <c r="T129" s="159">
        <v>402</v>
      </c>
      <c r="U129" s="158" t="s">
        <v>200</v>
      </c>
      <c r="V129" s="158" t="s">
        <v>1968</v>
      </c>
      <c r="W129" s="159">
        <v>1</v>
      </c>
      <c r="X129" s="159">
        <v>4</v>
      </c>
      <c r="Y129" s="158" t="s">
        <v>203</v>
      </c>
      <c r="Z129" s="158" t="s">
        <v>195</v>
      </c>
      <c r="AA129" s="158" t="s">
        <v>196</v>
      </c>
      <c r="AB129" s="158" t="s">
        <v>187</v>
      </c>
      <c r="AC129" s="158" t="s">
        <v>187</v>
      </c>
      <c r="AD129" s="160"/>
      <c r="AE129" s="158" t="s">
        <v>209</v>
      </c>
      <c r="AF129" s="159">
        <v>22.317895</v>
      </c>
      <c r="AG129" s="161">
        <v>92.324126000000007</v>
      </c>
      <c r="AI129" s="133">
        <f t="shared" si="9"/>
        <v>1</v>
      </c>
      <c r="AJ129" s="134" t="str">
        <v>Uzbek</v>
      </c>
      <c r="AK129" s="135">
        <f t="shared" si="10"/>
        <v>263000</v>
      </c>
      <c r="AM129" s="133" t="str" cm="1">
        <f t="array" ref="AM129">IF(ROWS($AN$2:$AN128)&lt;=$AN$2,INDEX($V$3:$V$3000,_xlfn.AGGREGATE(15,3,($B$3:$B$3000=$AM$2)/($B$3:$B$3000=$AM$2)*(ROW($B$3:$B$3000)-ROW($B$2)),ROWS($AN$2:$AN128))),"")</f>
        <v/>
      </c>
      <c r="AN129" s="134" t="str" cm="1">
        <f t="array" ref="AN129">IF(ROWS($AN$2:$AN128)&lt;=$AN$2,INDEX($F$3:$F$3000,_xlfn.AGGREGATE(15,3,($B$3:$B$3000=$AM$2)/($B$3:$B$3000=$AM$2)*(ROW($B$3:$B$3000)-ROW($B$2)),ROWS($AN$2:$AN128))),"")</f>
        <v/>
      </c>
      <c r="AO129" s="135" t="str" cm="1">
        <f t="array" ref="AO129">IF(ROWS($AN$2:$AN128)&lt;=$AN$2,INDEX($G$3:$G$3000,_xlfn.AGGREGATE(15,3,($B$3:$B$3000=$AM$2)/($B$3:$B$3000=$AM$2)*(ROW($B$3:$B$3000)-ROW($B$2)),ROWS($AN$2:$AN128))),"")</f>
        <v/>
      </c>
      <c r="AP129" s="121"/>
      <c r="AT129" s="111"/>
      <c r="AV129" s="133" t="str" cm="1">
        <f t="array" ref="AV129">IF(ROWS($AW$2:$AW128)&lt;=$AW$2,INDEX($AM$3:$AM$792,_xlfn.AGGREGATE(15,3,($AM$3:$AM$792='Planning Template'!$F$45)/($AM$3:$AM$792='Planning Template'!$F$45)*(ROW($AM$3:$AM$792)-ROW($AM$2)),ROWS($AW$2:$AW128))),"")</f>
        <v/>
      </c>
      <c r="AW129" s="134" t="str" cm="1">
        <f t="array" ref="AW129">IF(ROWS($AU$3:$AU129)&lt;=$AW$2,INDEX($AN$3:$AN$792,_xlfn.AGGREGATE(15,3,($AM$3:$AM$792='Planning Template'!$F$45)/($AM$3:$AM$792='Planning Template'!$F$45)*(ROW($AM$3:$AM$792)-ROW($AM$2)),ROWS($AU$3:$AU129))),"")</f>
        <v/>
      </c>
      <c r="AX129" s="135" t="str">
        <f>IF(AW129="","",SUMIFS(TableSSDPeopleGroups[Population], TableSSDPeopleGroups[Ctry],'Planning Template'!$F$30,TableSSDPeopleGroups[PrimaryReligion],'Planning Template'!$F$301,TableSSDPeopleGroups[PeopleCluster],'Planning Template'!$F$45,TableSSDPeopleGroups[PeopNameInCountry],$AW129))</f>
        <v/>
      </c>
      <c r="AY129" s="234" t="str">
        <f t="shared" si="8"/>
        <v/>
      </c>
    </row>
    <row r="130" spans="1:51" s="110" customFormat="1" ht="20" customHeight="1">
      <c r="A130" s="125" t="s">
        <v>370</v>
      </c>
      <c r="B130" s="126" t="s">
        <v>58</v>
      </c>
      <c r="C130" s="127">
        <v>14196</v>
      </c>
      <c r="D130" s="157">
        <v>109305</v>
      </c>
      <c r="E130" s="158" t="s">
        <v>2406</v>
      </c>
      <c r="F130" s="158" t="s">
        <v>2406</v>
      </c>
      <c r="G130" s="159">
        <v>1200</v>
      </c>
      <c r="H130" s="159">
        <v>2</v>
      </c>
      <c r="I130" s="158" t="s">
        <v>209</v>
      </c>
      <c r="J130" s="158" t="s">
        <v>2407</v>
      </c>
      <c r="K130" s="158" t="s">
        <v>2408</v>
      </c>
      <c r="L130" s="159">
        <v>5</v>
      </c>
      <c r="M130" s="159">
        <v>2</v>
      </c>
      <c r="N130" s="158" t="s">
        <v>1718</v>
      </c>
      <c r="O130" s="159">
        <v>8</v>
      </c>
      <c r="P130" s="159">
        <v>1</v>
      </c>
      <c r="Q130" s="159">
        <v>21</v>
      </c>
      <c r="R130" s="158" t="s">
        <v>200</v>
      </c>
      <c r="S130" s="158" t="s">
        <v>201</v>
      </c>
      <c r="T130" s="159">
        <v>402</v>
      </c>
      <c r="U130" s="158" t="s">
        <v>200</v>
      </c>
      <c r="V130" s="158" t="s">
        <v>1968</v>
      </c>
      <c r="W130" s="159">
        <v>17</v>
      </c>
      <c r="X130" s="159">
        <v>2</v>
      </c>
      <c r="Y130" s="158" t="s">
        <v>194</v>
      </c>
      <c r="Z130" s="158" t="s">
        <v>195</v>
      </c>
      <c r="AA130" s="158" t="s">
        <v>196</v>
      </c>
      <c r="AB130" s="158" t="s">
        <v>187</v>
      </c>
      <c r="AC130" s="158" t="s">
        <v>209</v>
      </c>
      <c r="AD130" s="160"/>
      <c r="AE130" s="158" t="s">
        <v>209</v>
      </c>
      <c r="AF130" s="159">
        <v>4.9140050000000004</v>
      </c>
      <c r="AG130" s="161">
        <v>114.963418</v>
      </c>
      <c r="AI130" s="133">
        <f t="shared" si="9"/>
        <v>1</v>
      </c>
      <c r="AJ130" s="134" t="str">
        <v>South Asia Dalit - Chamar (Bhambi)</v>
      </c>
      <c r="AK130" s="135">
        <f t="shared" si="10"/>
        <v>800</v>
      </c>
      <c r="AM130" s="133" t="str" cm="1">
        <f t="array" ref="AM130">IF(ROWS($AN$2:$AN129)&lt;=$AN$2,INDEX($V$3:$V$3000,_xlfn.AGGREGATE(15,3,($B$3:$B$3000=$AM$2)/($B$3:$B$3000=$AM$2)*(ROW($B$3:$B$3000)-ROW($B$2)),ROWS($AN$2:$AN129))),"")</f>
        <v/>
      </c>
      <c r="AN130" s="134" t="str" cm="1">
        <f t="array" ref="AN130">IF(ROWS($AN$2:$AN129)&lt;=$AN$2,INDEX($F$3:$F$3000,_xlfn.AGGREGATE(15,3,($B$3:$B$3000=$AM$2)/($B$3:$B$3000=$AM$2)*(ROW($B$3:$B$3000)-ROW($B$2)),ROWS($AN$2:$AN129))),"")</f>
        <v/>
      </c>
      <c r="AO130" s="135" t="str" cm="1">
        <f t="array" ref="AO130">IF(ROWS($AN$2:$AN129)&lt;=$AN$2,INDEX($G$3:$G$3000,_xlfn.AGGREGATE(15,3,($B$3:$B$3000=$AM$2)/($B$3:$B$3000=$AM$2)*(ROW($B$3:$B$3000)-ROW($B$2)),ROWS($AN$2:$AN129))),"")</f>
        <v/>
      </c>
      <c r="AP130" s="121"/>
      <c r="AT130" s="111"/>
      <c r="AV130" s="133" t="str" cm="1">
        <f t="array" ref="AV130">IF(ROWS($AW$2:$AW129)&lt;=$AW$2,INDEX($AM$3:$AM$792,_xlfn.AGGREGATE(15,3,($AM$3:$AM$792='Planning Template'!$F$45)/($AM$3:$AM$792='Planning Template'!$F$45)*(ROW($AM$3:$AM$792)-ROW($AM$2)),ROWS($AW$2:$AW129))),"")</f>
        <v/>
      </c>
      <c r="AW130" s="134" t="str" cm="1">
        <f t="array" ref="AW130">IF(ROWS($AU$3:$AU130)&lt;=$AW$2,INDEX($AN$3:$AN$792,_xlfn.AGGREGATE(15,3,($AM$3:$AM$792='Planning Template'!$F$45)/($AM$3:$AM$792='Planning Template'!$F$45)*(ROW($AM$3:$AM$792)-ROW($AM$2)),ROWS($AU$3:$AU130))),"")</f>
        <v/>
      </c>
      <c r="AX130" s="135" t="str">
        <f>IF(AW130="","",SUMIFS(TableSSDPeopleGroups[Population], TableSSDPeopleGroups[Ctry],'Planning Template'!$F$30,TableSSDPeopleGroups[PrimaryReligion],'Planning Template'!$F$301,TableSSDPeopleGroups[PeopleCluster],'Planning Template'!$F$45,TableSSDPeopleGroups[PeopNameInCountry],$AW130))</f>
        <v/>
      </c>
      <c r="AY130" s="234" t="str">
        <f t="shared" si="8"/>
        <v/>
      </c>
    </row>
    <row r="131" spans="1:51" s="110" customFormat="1" ht="20" customHeight="1">
      <c r="A131" s="125" t="s">
        <v>237</v>
      </c>
      <c r="B131" s="126" t="s">
        <v>60</v>
      </c>
      <c r="C131" s="127">
        <v>14196</v>
      </c>
      <c r="D131" s="163">
        <v>109305</v>
      </c>
      <c r="E131" s="164" t="s">
        <v>2406</v>
      </c>
      <c r="F131" s="164" t="s">
        <v>2406</v>
      </c>
      <c r="G131" s="165">
        <v>4300</v>
      </c>
      <c r="H131" s="165">
        <v>1</v>
      </c>
      <c r="I131" s="164" t="s">
        <v>187</v>
      </c>
      <c r="J131" s="164" t="s">
        <v>2407</v>
      </c>
      <c r="K131" s="164" t="s">
        <v>2408</v>
      </c>
      <c r="L131" s="165">
        <v>5</v>
      </c>
      <c r="M131" s="165">
        <v>2</v>
      </c>
      <c r="N131" s="164" t="s">
        <v>1718</v>
      </c>
      <c r="O131" s="165">
        <v>2</v>
      </c>
      <c r="P131" s="165">
        <v>0.1</v>
      </c>
      <c r="Q131" s="165">
        <v>21</v>
      </c>
      <c r="R131" s="164" t="s">
        <v>200</v>
      </c>
      <c r="S131" s="164" t="s">
        <v>201</v>
      </c>
      <c r="T131" s="165">
        <v>402</v>
      </c>
      <c r="U131" s="164" t="s">
        <v>200</v>
      </c>
      <c r="V131" s="164" t="s">
        <v>1968</v>
      </c>
      <c r="W131" s="165">
        <v>17</v>
      </c>
      <c r="X131" s="165">
        <v>2</v>
      </c>
      <c r="Y131" s="164" t="s">
        <v>194</v>
      </c>
      <c r="Z131" s="164" t="s">
        <v>195</v>
      </c>
      <c r="AA131" s="164" t="s">
        <v>196</v>
      </c>
      <c r="AB131" s="164" t="s">
        <v>187</v>
      </c>
      <c r="AC131" s="164" t="s">
        <v>209</v>
      </c>
      <c r="AD131" s="165">
        <v>1</v>
      </c>
      <c r="AE131" s="164" t="s">
        <v>209</v>
      </c>
      <c r="AF131" s="165">
        <v>3.1320504142951799</v>
      </c>
      <c r="AG131" s="166">
        <v>101.670353337137</v>
      </c>
      <c r="AI131" s="133">
        <f t="shared" si="9"/>
        <v>2</v>
      </c>
      <c r="AJ131" s="134" t="str">
        <v>South Asia Sikh - Jat</v>
      </c>
      <c r="AK131" s="135">
        <f t="shared" si="10"/>
        <v>20900</v>
      </c>
      <c r="AM131" s="133" t="str" cm="1">
        <f t="array" ref="AM131">IF(ROWS($AN$2:$AN130)&lt;=$AN$2,INDEX($V$3:$V$3000,_xlfn.AGGREGATE(15,3,($B$3:$B$3000=$AM$2)/($B$3:$B$3000=$AM$2)*(ROW($B$3:$B$3000)-ROW($B$2)),ROWS($AN$2:$AN130))),"")</f>
        <v/>
      </c>
      <c r="AN131" s="134" t="str" cm="1">
        <f t="array" ref="AN131">IF(ROWS($AN$2:$AN130)&lt;=$AN$2,INDEX($F$3:$F$3000,_xlfn.AGGREGATE(15,3,($B$3:$B$3000=$AM$2)/($B$3:$B$3000=$AM$2)*(ROW($B$3:$B$3000)-ROW($B$2)),ROWS($AN$2:$AN130))),"")</f>
        <v/>
      </c>
      <c r="AO131" s="135" t="str" cm="1">
        <f t="array" ref="AO131">IF(ROWS($AN$2:$AN130)&lt;=$AN$2,INDEX($G$3:$G$3000,_xlfn.AGGREGATE(15,3,($B$3:$B$3000=$AM$2)/($B$3:$B$3000=$AM$2)*(ROW($B$3:$B$3000)-ROW($B$2)),ROWS($AN$2:$AN130))),"")</f>
        <v/>
      </c>
      <c r="AP131" s="121"/>
      <c r="AT131" s="111"/>
      <c r="AV131" s="133" t="str" cm="1">
        <f t="array" ref="AV131">IF(ROWS($AW$2:$AW130)&lt;=$AW$2,INDEX($AM$3:$AM$792,_xlfn.AGGREGATE(15,3,($AM$3:$AM$792='Planning Template'!$F$45)/($AM$3:$AM$792='Planning Template'!$F$45)*(ROW($AM$3:$AM$792)-ROW($AM$2)),ROWS($AW$2:$AW130))),"")</f>
        <v/>
      </c>
      <c r="AW131" s="134" t="str" cm="1">
        <f t="array" ref="AW131">IF(ROWS($AU$3:$AU131)&lt;=$AW$2,INDEX($AN$3:$AN$792,_xlfn.AGGREGATE(15,3,($AM$3:$AM$792='Planning Template'!$F$45)/($AM$3:$AM$792='Planning Template'!$F$45)*(ROW($AM$3:$AM$792)-ROW($AM$2)),ROWS($AU$3:$AU131))),"")</f>
        <v/>
      </c>
      <c r="AX131" s="135" t="str">
        <f>IF(AW131="","",SUMIFS(TableSSDPeopleGroups[Population], TableSSDPeopleGroups[Ctry],'Planning Template'!$F$30,TableSSDPeopleGroups[PrimaryReligion],'Planning Template'!$F$301,TableSSDPeopleGroups[PeopleCluster],'Planning Template'!$F$45,TableSSDPeopleGroups[PeopNameInCountry],$AW131))</f>
        <v/>
      </c>
      <c r="AY131" s="234" t="str">
        <f t="shared" si="8"/>
        <v/>
      </c>
    </row>
    <row r="132" spans="1:51" s="110" customFormat="1" ht="20" customHeight="1">
      <c r="A132" s="125" t="s">
        <v>1620</v>
      </c>
      <c r="B132" s="126" t="s">
        <v>61</v>
      </c>
      <c r="C132" s="127">
        <v>12650</v>
      </c>
      <c r="D132" s="163">
        <v>104896</v>
      </c>
      <c r="E132" s="164" t="s">
        <v>3546</v>
      </c>
      <c r="F132" s="164" t="s">
        <v>3547</v>
      </c>
      <c r="G132" s="165">
        <v>8900</v>
      </c>
      <c r="H132" s="165">
        <v>1</v>
      </c>
      <c r="I132" s="164" t="s">
        <v>187</v>
      </c>
      <c r="J132" s="164" t="s">
        <v>3548</v>
      </c>
      <c r="K132" s="164" t="s">
        <v>3549</v>
      </c>
      <c r="L132" s="165">
        <v>0</v>
      </c>
      <c r="M132" s="165">
        <v>2</v>
      </c>
      <c r="N132" s="164" t="s">
        <v>1718</v>
      </c>
      <c r="O132" s="165">
        <v>0.1</v>
      </c>
      <c r="P132" s="165">
        <v>0.04</v>
      </c>
      <c r="Q132" s="165">
        <v>21</v>
      </c>
      <c r="R132" s="164" t="s">
        <v>200</v>
      </c>
      <c r="S132" s="164" t="s">
        <v>201</v>
      </c>
      <c r="T132" s="165">
        <v>402</v>
      </c>
      <c r="U132" s="164" t="s">
        <v>200</v>
      </c>
      <c r="V132" s="164" t="s">
        <v>1968</v>
      </c>
      <c r="W132" s="165">
        <v>2</v>
      </c>
      <c r="X132" s="165">
        <v>2</v>
      </c>
      <c r="Y132" s="164" t="s">
        <v>194</v>
      </c>
      <c r="Z132" s="164" t="s">
        <v>195</v>
      </c>
      <c r="AA132" s="164" t="s">
        <v>196</v>
      </c>
      <c r="AB132" s="164" t="s">
        <v>187</v>
      </c>
      <c r="AC132" s="164" t="s">
        <v>187</v>
      </c>
      <c r="AD132" s="165">
        <v>1</v>
      </c>
      <c r="AE132" s="164" t="s">
        <v>187</v>
      </c>
      <c r="AF132" s="165">
        <v>26.690079999999998</v>
      </c>
      <c r="AG132" s="166">
        <v>97.825770000000006</v>
      </c>
      <c r="AI132" s="133">
        <f t="shared" si="9"/>
        <v>4</v>
      </c>
      <c r="AJ132" s="134" t="str">
        <v>South Asia Sikh - other</v>
      </c>
      <c r="AK132" s="135">
        <f t="shared" si="10"/>
        <v>4400</v>
      </c>
      <c r="AM132" s="133" t="str" cm="1">
        <f t="array" ref="AM132">IF(ROWS($AN$2:$AN131)&lt;=$AN$2,INDEX($V$3:$V$3000,_xlfn.AGGREGATE(15,3,($B$3:$B$3000=$AM$2)/($B$3:$B$3000=$AM$2)*(ROW($B$3:$B$3000)-ROW($B$2)),ROWS($AN$2:$AN131))),"")</f>
        <v/>
      </c>
      <c r="AN132" s="134" t="str" cm="1">
        <f t="array" ref="AN132">IF(ROWS($AN$2:$AN131)&lt;=$AN$2,INDEX($F$3:$F$3000,_xlfn.AGGREGATE(15,3,($B$3:$B$3000=$AM$2)/($B$3:$B$3000=$AM$2)*(ROW($B$3:$B$3000)-ROW($B$2)),ROWS($AN$2:$AN131))),"")</f>
        <v/>
      </c>
      <c r="AO132" s="135" t="str" cm="1">
        <f t="array" ref="AO132">IF(ROWS($AN$2:$AN131)&lt;=$AN$2,INDEX($G$3:$G$3000,_xlfn.AGGREGATE(15,3,($B$3:$B$3000=$AM$2)/($B$3:$B$3000=$AM$2)*(ROW($B$3:$B$3000)-ROW($B$2)),ROWS($AN$2:$AN131))),"")</f>
        <v/>
      </c>
      <c r="AP132" s="121"/>
      <c r="AT132" s="111"/>
      <c r="AV132" s="133" t="str" cm="1">
        <f t="array" ref="AV132">IF(ROWS($AW$2:$AW131)&lt;=$AW$2,INDEX($AM$3:$AM$792,_xlfn.AGGREGATE(15,3,($AM$3:$AM$792='Planning Template'!$F$45)/($AM$3:$AM$792='Planning Template'!$F$45)*(ROW($AM$3:$AM$792)-ROW($AM$2)),ROWS($AW$2:$AW131))),"")</f>
        <v/>
      </c>
      <c r="AW132" s="134" t="str" cm="1">
        <f t="array" ref="AW132">IF(ROWS($AU$3:$AU132)&lt;=$AW$2,INDEX($AN$3:$AN$792,_xlfn.AGGREGATE(15,3,($AM$3:$AM$792='Planning Template'!$F$45)/($AM$3:$AM$792='Planning Template'!$F$45)*(ROW($AM$3:$AM$792)-ROW($AM$2)),ROWS($AU$3:$AU132))),"")</f>
        <v/>
      </c>
      <c r="AX132" s="135" t="str">
        <f>IF(AW132="","",SUMIFS(TableSSDPeopleGroups[Population], TableSSDPeopleGroups[Ctry],'Planning Template'!$F$30,TableSSDPeopleGroups[PrimaryReligion],'Planning Template'!$F$301,TableSSDPeopleGroups[PeopleCluster],'Planning Template'!$F$45,TableSSDPeopleGroups[PeopNameInCountry],$AW132))</f>
        <v/>
      </c>
      <c r="AY132" s="234" t="str">
        <f t="shared" ref="AY132:AY195" si="11">IF(AW132="","",AW132&amp;" ("&amp;FIXED(AX132,0)&amp;")")</f>
        <v/>
      </c>
    </row>
    <row r="133" spans="1:51" s="110" customFormat="1" ht="20" customHeight="1">
      <c r="A133" s="125" t="s">
        <v>1620</v>
      </c>
      <c r="B133" s="126" t="s">
        <v>61</v>
      </c>
      <c r="C133" s="127">
        <v>11291</v>
      </c>
      <c r="D133" s="163">
        <v>101968</v>
      </c>
      <c r="E133" s="164" t="s">
        <v>2671</v>
      </c>
      <c r="F133" s="164" t="s">
        <v>2672</v>
      </c>
      <c r="G133" s="165">
        <v>1900</v>
      </c>
      <c r="H133" s="165">
        <v>1</v>
      </c>
      <c r="I133" s="164" t="s">
        <v>187</v>
      </c>
      <c r="J133" s="164" t="s">
        <v>2673</v>
      </c>
      <c r="K133" s="164" t="s">
        <v>2671</v>
      </c>
      <c r="L133" s="165">
        <v>0</v>
      </c>
      <c r="M133" s="165">
        <v>2</v>
      </c>
      <c r="N133" s="164" t="s">
        <v>1718</v>
      </c>
      <c r="O133" s="165">
        <v>0.4</v>
      </c>
      <c r="P133" s="165">
        <v>0.2</v>
      </c>
      <c r="Q133" s="165">
        <v>21</v>
      </c>
      <c r="R133" s="164" t="s">
        <v>200</v>
      </c>
      <c r="S133" s="164" t="s">
        <v>201</v>
      </c>
      <c r="T133" s="165">
        <v>402</v>
      </c>
      <c r="U133" s="164" t="s">
        <v>200</v>
      </c>
      <c r="V133" s="164" t="s">
        <v>1968</v>
      </c>
      <c r="W133" s="165">
        <v>3</v>
      </c>
      <c r="X133" s="165">
        <v>2</v>
      </c>
      <c r="Y133" s="164" t="s">
        <v>194</v>
      </c>
      <c r="Z133" s="164" t="s">
        <v>195</v>
      </c>
      <c r="AA133" s="164" t="s">
        <v>196</v>
      </c>
      <c r="AB133" s="164" t="s">
        <v>187</v>
      </c>
      <c r="AC133" s="164" t="s">
        <v>187</v>
      </c>
      <c r="AD133" s="165">
        <v>1</v>
      </c>
      <c r="AE133" s="164" t="s">
        <v>209</v>
      </c>
      <c r="AF133" s="165">
        <v>21.074079999999999</v>
      </c>
      <c r="AG133" s="166">
        <v>92.61318</v>
      </c>
      <c r="AI133" s="139"/>
      <c r="AJ133" s="143"/>
      <c r="AK133" s="144"/>
      <c r="AM133" s="133" t="str" cm="1">
        <f t="array" ref="AM133">IF(ROWS($AN$2:$AN132)&lt;=$AN$2,INDEX($V$3:$V$3000,_xlfn.AGGREGATE(15,3,($B$3:$B$3000=$AM$2)/($B$3:$B$3000=$AM$2)*(ROW($B$3:$B$3000)-ROW($B$2)),ROWS($AN$2:$AN132))),"")</f>
        <v/>
      </c>
      <c r="AN133" s="134" t="str" cm="1">
        <f t="array" ref="AN133">IF(ROWS($AN$2:$AN132)&lt;=$AN$2,INDEX($F$3:$F$3000,_xlfn.AGGREGATE(15,3,($B$3:$B$3000=$AM$2)/($B$3:$B$3000=$AM$2)*(ROW($B$3:$B$3000)-ROW($B$2)),ROWS($AN$2:$AN132))),"")</f>
        <v/>
      </c>
      <c r="AO133" s="135" t="str" cm="1">
        <f t="array" ref="AO133">IF(ROWS($AN$2:$AN132)&lt;=$AN$2,INDEX($G$3:$G$3000,_xlfn.AGGREGATE(15,3,($B$3:$B$3000=$AM$2)/($B$3:$B$3000=$AM$2)*(ROW($B$3:$B$3000)-ROW($B$2)),ROWS($AN$2:$AN132))),"")</f>
        <v/>
      </c>
      <c r="AP133" s="121"/>
      <c r="AT133" s="111"/>
      <c r="AV133" s="133" t="str" cm="1">
        <f t="array" ref="AV133">IF(ROWS($AW$2:$AW132)&lt;=$AW$2,INDEX($AM$3:$AM$792,_xlfn.AGGREGATE(15,3,($AM$3:$AM$792='Planning Template'!$F$45)/($AM$3:$AM$792='Planning Template'!$F$45)*(ROW($AM$3:$AM$792)-ROW($AM$2)),ROWS($AW$2:$AW132))),"")</f>
        <v/>
      </c>
      <c r="AW133" s="134" t="str" cm="1">
        <f t="array" ref="AW133">IF(ROWS($AU$3:$AU133)&lt;=$AW$2,INDEX($AN$3:$AN$792,_xlfn.AGGREGATE(15,3,($AM$3:$AM$792='Planning Template'!$F$45)/($AM$3:$AM$792='Planning Template'!$F$45)*(ROW($AM$3:$AM$792)-ROW($AM$2)),ROWS($AU$3:$AU133))),"")</f>
        <v/>
      </c>
      <c r="AX133" s="135" t="str">
        <f>IF(AW133="","",SUMIFS(TableSSDPeopleGroups[Population], TableSSDPeopleGroups[Ctry],'Planning Template'!$F$30,TableSSDPeopleGroups[PrimaryReligion],'Planning Template'!$F$301,TableSSDPeopleGroups[PeopleCluster],'Planning Template'!$F$45,TableSSDPeopleGroups[PeopNameInCountry],$AW133))</f>
        <v/>
      </c>
      <c r="AY133" s="234" t="str">
        <f t="shared" si="11"/>
        <v/>
      </c>
    </row>
    <row r="134" spans="1:51" s="110" customFormat="1" ht="20" customHeight="1">
      <c r="A134" s="125" t="s">
        <v>1620</v>
      </c>
      <c r="B134" s="126" t="s">
        <v>61</v>
      </c>
      <c r="C134" s="127">
        <v>16382</v>
      </c>
      <c r="D134" s="163">
        <v>111524</v>
      </c>
      <c r="E134" s="164" t="s">
        <v>1964</v>
      </c>
      <c r="F134" s="164" t="s">
        <v>1965</v>
      </c>
      <c r="G134" s="165">
        <v>500</v>
      </c>
      <c r="H134" s="165">
        <v>1</v>
      </c>
      <c r="I134" s="164" t="s">
        <v>187</v>
      </c>
      <c r="J134" s="164" t="s">
        <v>1966</v>
      </c>
      <c r="K134" s="164" t="s">
        <v>1967</v>
      </c>
      <c r="L134" s="165">
        <v>3</v>
      </c>
      <c r="M134" s="165">
        <v>2</v>
      </c>
      <c r="N134" s="164" t="s">
        <v>1718</v>
      </c>
      <c r="O134" s="165">
        <v>0</v>
      </c>
      <c r="P134" s="165">
        <v>0</v>
      </c>
      <c r="Q134" s="165">
        <v>21</v>
      </c>
      <c r="R134" s="164" t="s">
        <v>200</v>
      </c>
      <c r="S134" s="164" t="s">
        <v>201</v>
      </c>
      <c r="T134" s="165">
        <v>402</v>
      </c>
      <c r="U134" s="164" t="s">
        <v>200</v>
      </c>
      <c r="V134" s="164" t="s">
        <v>1968</v>
      </c>
      <c r="W134" s="165">
        <v>3</v>
      </c>
      <c r="X134" s="165">
        <v>2</v>
      </c>
      <c r="Y134" s="164" t="s">
        <v>194</v>
      </c>
      <c r="Z134" s="164" t="s">
        <v>195</v>
      </c>
      <c r="AA134" s="164" t="s">
        <v>196</v>
      </c>
      <c r="AB134" s="164" t="s">
        <v>187</v>
      </c>
      <c r="AC134" s="164" t="s">
        <v>187</v>
      </c>
      <c r="AD134" s="165">
        <v>1</v>
      </c>
      <c r="AE134" s="164" t="s">
        <v>187</v>
      </c>
      <c r="AF134" s="165">
        <v>20.100000000000001</v>
      </c>
      <c r="AG134" s="166">
        <v>92.75</v>
      </c>
      <c r="AM134" s="133" t="str" cm="1">
        <f t="array" ref="AM134">IF(ROWS($AN$2:$AN133)&lt;=$AN$2,INDEX($V$3:$V$3000,_xlfn.AGGREGATE(15,3,($B$3:$B$3000=$AM$2)/($B$3:$B$3000=$AM$2)*(ROW($B$3:$B$3000)-ROW($B$2)),ROWS($AN$2:$AN133))),"")</f>
        <v/>
      </c>
      <c r="AN134" s="134" t="str" cm="1">
        <f t="array" ref="AN134">IF(ROWS($AN$2:$AN133)&lt;=$AN$2,INDEX($F$3:$F$3000,_xlfn.AGGREGATE(15,3,($B$3:$B$3000=$AM$2)/($B$3:$B$3000=$AM$2)*(ROW($B$3:$B$3000)-ROW($B$2)),ROWS($AN$2:$AN133))),"")</f>
        <v/>
      </c>
      <c r="AO134" s="135" t="str" cm="1">
        <f t="array" ref="AO134">IF(ROWS($AN$2:$AN133)&lt;=$AN$2,INDEX($G$3:$G$3000,_xlfn.AGGREGATE(15,3,($B$3:$B$3000=$AM$2)/($B$3:$B$3000=$AM$2)*(ROW($B$3:$B$3000)-ROW($B$2)),ROWS($AN$2:$AN133))),"")</f>
        <v/>
      </c>
      <c r="AP134" s="121"/>
      <c r="AT134" s="111"/>
      <c r="AV134" s="133" t="str" cm="1">
        <f t="array" ref="AV134">IF(ROWS($AW$2:$AW133)&lt;=$AW$2,INDEX($AM$3:$AM$792,_xlfn.AGGREGATE(15,3,($AM$3:$AM$792='Planning Template'!$F$45)/($AM$3:$AM$792='Planning Template'!$F$45)*(ROW($AM$3:$AM$792)-ROW($AM$2)),ROWS($AW$2:$AW133))),"")</f>
        <v/>
      </c>
      <c r="AW134" s="134" t="str" cm="1">
        <f t="array" ref="AW134">IF(ROWS($AU$3:$AU134)&lt;=$AW$2,INDEX($AN$3:$AN$792,_xlfn.AGGREGATE(15,3,($AM$3:$AM$792='Planning Template'!$F$45)/($AM$3:$AM$792='Planning Template'!$F$45)*(ROW($AM$3:$AM$792)-ROW($AM$2)),ROWS($AU$3:$AU134))),"")</f>
        <v/>
      </c>
      <c r="AX134" s="135" t="str">
        <f>IF(AW134="","",SUMIFS(TableSSDPeopleGroups[Population], TableSSDPeopleGroups[Ctry],'Planning Template'!$F$30,TableSSDPeopleGroups[PrimaryReligion],'Planning Template'!$F$301,TableSSDPeopleGroups[PeopleCluster],'Planning Template'!$F$45,TableSSDPeopleGroups[PeopNameInCountry],$AW134))</f>
        <v/>
      </c>
      <c r="AY134" s="234" t="str">
        <f t="shared" si="11"/>
        <v/>
      </c>
    </row>
    <row r="135" spans="1:51" s="110" customFormat="1" ht="20" customHeight="1">
      <c r="A135" s="125" t="s">
        <v>1620</v>
      </c>
      <c r="B135" s="126" t="s">
        <v>61</v>
      </c>
      <c r="C135" s="127">
        <v>10454</v>
      </c>
      <c r="D135" s="145">
        <v>100557</v>
      </c>
      <c r="E135" s="146" t="s">
        <v>2658</v>
      </c>
      <c r="F135" s="146" t="s">
        <v>2658</v>
      </c>
      <c r="G135" s="147">
        <v>168000</v>
      </c>
      <c r="H135" s="147">
        <v>4</v>
      </c>
      <c r="I135" s="146" t="s">
        <v>209</v>
      </c>
      <c r="J135" s="146" t="s">
        <v>2612</v>
      </c>
      <c r="K135" s="146" t="s">
        <v>2613</v>
      </c>
      <c r="L135" s="147">
        <v>5</v>
      </c>
      <c r="M135" s="147">
        <v>2</v>
      </c>
      <c r="N135" s="146" t="s">
        <v>1718</v>
      </c>
      <c r="O135" s="147">
        <v>15</v>
      </c>
      <c r="P135" s="147">
        <v>10</v>
      </c>
      <c r="Q135" s="147">
        <v>21</v>
      </c>
      <c r="R135" s="146" t="s">
        <v>200</v>
      </c>
      <c r="S135" s="146" t="s">
        <v>201</v>
      </c>
      <c r="T135" s="147">
        <v>402</v>
      </c>
      <c r="U135" s="146" t="s">
        <v>200</v>
      </c>
      <c r="V135" s="146" t="s">
        <v>1968</v>
      </c>
      <c r="W135" s="147">
        <v>3</v>
      </c>
      <c r="X135" s="147">
        <v>2</v>
      </c>
      <c r="Y135" s="146" t="s">
        <v>194</v>
      </c>
      <c r="Z135" s="146" t="s">
        <v>195</v>
      </c>
      <c r="AA135" s="146" t="s">
        <v>196</v>
      </c>
      <c r="AB135" s="146" t="s">
        <v>187</v>
      </c>
      <c r="AC135" s="146" t="s">
        <v>187</v>
      </c>
      <c r="AD135" s="148"/>
      <c r="AE135" s="146" t="s">
        <v>209</v>
      </c>
      <c r="AF135" s="147">
        <v>20.503990000000002</v>
      </c>
      <c r="AG135" s="149">
        <v>94.649839999999998</v>
      </c>
      <c r="AM135" s="133" t="str" cm="1">
        <f t="array" ref="AM135">IF(ROWS($AN$2:$AN134)&lt;=$AN$2,INDEX($V$3:$V$3000,_xlfn.AGGREGATE(15,3,($B$3:$B$3000=$AM$2)/($B$3:$B$3000=$AM$2)*(ROW($B$3:$B$3000)-ROW($B$2)),ROWS($AN$2:$AN134))),"")</f>
        <v/>
      </c>
      <c r="AN135" s="134" t="str" cm="1">
        <f t="array" ref="AN135">IF(ROWS($AN$2:$AN134)&lt;=$AN$2,INDEX($F$3:$F$3000,_xlfn.AGGREGATE(15,3,($B$3:$B$3000=$AM$2)/($B$3:$B$3000=$AM$2)*(ROW($B$3:$B$3000)-ROW($B$2)),ROWS($AN$2:$AN134))),"")</f>
        <v/>
      </c>
      <c r="AO135" s="135" t="str" cm="1">
        <f t="array" ref="AO135">IF(ROWS($AN$2:$AN134)&lt;=$AN$2,INDEX($G$3:$G$3000,_xlfn.AGGREGATE(15,3,($B$3:$B$3000=$AM$2)/($B$3:$B$3000=$AM$2)*(ROW($B$3:$B$3000)-ROW($B$2)),ROWS($AN$2:$AN134))),"")</f>
        <v/>
      </c>
      <c r="AP135" s="121"/>
      <c r="AT135" s="111"/>
      <c r="AV135" s="133" t="str" cm="1">
        <f t="array" ref="AV135">IF(ROWS($AW$2:$AW134)&lt;=$AW$2,INDEX($AM$3:$AM$792,_xlfn.AGGREGATE(15,3,($AM$3:$AM$792='Planning Template'!$F$45)/($AM$3:$AM$792='Planning Template'!$F$45)*(ROW($AM$3:$AM$792)-ROW($AM$2)),ROWS($AW$2:$AW134))),"")</f>
        <v/>
      </c>
      <c r="AW135" s="134" t="str" cm="1">
        <f t="array" ref="AW135">IF(ROWS($AU$3:$AU135)&lt;=$AW$2,INDEX($AN$3:$AN$792,_xlfn.AGGREGATE(15,3,($AM$3:$AM$792='Planning Template'!$F$45)/($AM$3:$AM$792='Planning Template'!$F$45)*(ROW($AM$3:$AM$792)-ROW($AM$2)),ROWS($AU$3:$AU135))),"")</f>
        <v/>
      </c>
      <c r="AX135" s="135" t="str">
        <f>IF(AW135="","",SUMIFS(TableSSDPeopleGroups[Population], TableSSDPeopleGroups[Ctry],'Planning Template'!$F$30,TableSSDPeopleGroups[PrimaryReligion],'Planning Template'!$F$301,TableSSDPeopleGroups[PeopleCluster],'Planning Template'!$F$45,TableSSDPeopleGroups[PeopNameInCountry],$AW135))</f>
        <v/>
      </c>
      <c r="AY135" s="234" t="str">
        <f t="shared" si="11"/>
        <v/>
      </c>
    </row>
    <row r="136" spans="1:51" s="110" customFormat="1" ht="20" customHeight="1">
      <c r="A136" s="125" t="s">
        <v>231</v>
      </c>
      <c r="B136" s="126" t="s">
        <v>66</v>
      </c>
      <c r="C136" s="127">
        <v>17443</v>
      </c>
      <c r="D136" s="163">
        <v>112847</v>
      </c>
      <c r="E136" s="164" t="s">
        <v>4424</v>
      </c>
      <c r="F136" s="164" t="s">
        <v>4424</v>
      </c>
      <c r="G136" s="165">
        <v>50000</v>
      </c>
      <c r="H136" s="165">
        <v>1</v>
      </c>
      <c r="I136" s="164" t="s">
        <v>187</v>
      </c>
      <c r="J136" s="164" t="s">
        <v>293</v>
      </c>
      <c r="K136" s="164" t="s">
        <v>294</v>
      </c>
      <c r="L136" s="165">
        <v>3</v>
      </c>
      <c r="M136" s="165">
        <v>2</v>
      </c>
      <c r="N136" s="164" t="s">
        <v>1718</v>
      </c>
      <c r="O136" s="165">
        <v>0</v>
      </c>
      <c r="P136" s="165">
        <v>0</v>
      </c>
      <c r="Q136" s="165">
        <v>21</v>
      </c>
      <c r="R136" s="164" t="s">
        <v>200</v>
      </c>
      <c r="S136" s="164" t="s">
        <v>201</v>
      </c>
      <c r="T136" s="165">
        <v>402</v>
      </c>
      <c r="U136" s="164" t="s">
        <v>200</v>
      </c>
      <c r="V136" s="164" t="s">
        <v>1968</v>
      </c>
      <c r="W136" s="165">
        <v>2</v>
      </c>
      <c r="X136" s="165">
        <v>4</v>
      </c>
      <c r="Y136" s="164" t="s">
        <v>203</v>
      </c>
      <c r="Z136" s="164" t="s">
        <v>195</v>
      </c>
      <c r="AA136" s="164" t="s">
        <v>196</v>
      </c>
      <c r="AB136" s="164" t="s">
        <v>187</v>
      </c>
      <c r="AC136" s="164" t="s">
        <v>187</v>
      </c>
      <c r="AD136" s="165">
        <v>1</v>
      </c>
      <c r="AE136" s="164" t="s">
        <v>187</v>
      </c>
      <c r="AF136" s="165">
        <v>35.401728223924799</v>
      </c>
      <c r="AG136" s="166">
        <v>76.637997952011702</v>
      </c>
      <c r="AM136" s="133" t="str" cm="1">
        <f t="array" ref="AM136">IF(ROWS($AN$2:$AN135)&lt;=$AN$2,INDEX($V$3:$V$3000,_xlfn.AGGREGATE(15,3,($B$3:$B$3000=$AM$2)/($B$3:$B$3000=$AM$2)*(ROW($B$3:$B$3000)-ROW($B$2)),ROWS($AN$2:$AN135))),"")</f>
        <v/>
      </c>
      <c r="AN136" s="134" t="str" cm="1">
        <f t="array" ref="AN136">IF(ROWS($AN$2:$AN135)&lt;=$AN$2,INDEX($F$3:$F$3000,_xlfn.AGGREGATE(15,3,($B$3:$B$3000=$AM$2)/($B$3:$B$3000=$AM$2)*(ROW($B$3:$B$3000)-ROW($B$2)),ROWS($AN$2:$AN135))),"")</f>
        <v/>
      </c>
      <c r="AO136" s="135" t="str" cm="1">
        <f t="array" ref="AO136">IF(ROWS($AN$2:$AN135)&lt;=$AN$2,INDEX($G$3:$G$3000,_xlfn.AGGREGATE(15,3,($B$3:$B$3000=$AM$2)/($B$3:$B$3000=$AM$2)*(ROW($B$3:$B$3000)-ROW($B$2)),ROWS($AN$2:$AN135))),"")</f>
        <v/>
      </c>
      <c r="AP136" s="121"/>
      <c r="AT136" s="111"/>
      <c r="AV136" s="133" t="str" cm="1">
        <f t="array" ref="AV136">IF(ROWS($AW$2:$AW135)&lt;=$AW$2,INDEX($AM$3:$AM$792,_xlfn.AGGREGATE(15,3,($AM$3:$AM$792='Planning Template'!$F$45)/($AM$3:$AM$792='Planning Template'!$F$45)*(ROW($AM$3:$AM$792)-ROW($AM$2)),ROWS($AW$2:$AW135))),"")</f>
        <v/>
      </c>
      <c r="AW136" s="134" t="str" cm="1">
        <f t="array" ref="AW136">IF(ROWS($AU$3:$AU136)&lt;=$AW$2,INDEX($AN$3:$AN$792,_xlfn.AGGREGATE(15,3,($AM$3:$AM$792='Planning Template'!$F$45)/($AM$3:$AM$792='Planning Template'!$F$45)*(ROW($AM$3:$AM$792)-ROW($AM$2)),ROWS($AU$3:$AU136))),"")</f>
        <v/>
      </c>
      <c r="AX136" s="135" t="str">
        <f>IF(AW136="","",SUMIFS(TableSSDPeopleGroups[Population], TableSSDPeopleGroups[Ctry],'Planning Template'!$F$30,TableSSDPeopleGroups[PrimaryReligion],'Planning Template'!$F$301,TableSSDPeopleGroups[PeopleCluster],'Planning Template'!$F$45,TableSSDPeopleGroups[PeopNameInCountry],$AW136))</f>
        <v/>
      </c>
      <c r="AY136" s="234" t="str">
        <f t="shared" si="11"/>
        <v/>
      </c>
    </row>
    <row r="137" spans="1:51" s="110" customFormat="1" ht="20" customHeight="1">
      <c r="A137" s="125" t="s">
        <v>231</v>
      </c>
      <c r="B137" s="126" t="s">
        <v>66</v>
      </c>
      <c r="C137" s="127">
        <v>17967</v>
      </c>
      <c r="D137" s="163">
        <v>113456</v>
      </c>
      <c r="E137" s="164" t="s">
        <v>2594</v>
      </c>
      <c r="F137" s="164" t="s">
        <v>2594</v>
      </c>
      <c r="G137" s="165">
        <v>1600</v>
      </c>
      <c r="H137" s="165">
        <v>1</v>
      </c>
      <c r="I137" s="164" t="s">
        <v>187</v>
      </c>
      <c r="J137" s="164" t="s">
        <v>293</v>
      </c>
      <c r="K137" s="164" t="s">
        <v>294</v>
      </c>
      <c r="L137" s="165">
        <v>3</v>
      </c>
      <c r="M137" s="165">
        <v>2</v>
      </c>
      <c r="N137" s="164" t="s">
        <v>1718</v>
      </c>
      <c r="O137" s="165">
        <v>0</v>
      </c>
      <c r="P137" s="165">
        <v>0</v>
      </c>
      <c r="Q137" s="165">
        <v>21</v>
      </c>
      <c r="R137" s="164" t="s">
        <v>200</v>
      </c>
      <c r="S137" s="164" t="s">
        <v>201</v>
      </c>
      <c r="T137" s="165">
        <v>402</v>
      </c>
      <c r="U137" s="164" t="s">
        <v>200</v>
      </c>
      <c r="V137" s="164" t="s">
        <v>1968</v>
      </c>
      <c r="W137" s="165">
        <v>2</v>
      </c>
      <c r="X137" s="165">
        <v>4</v>
      </c>
      <c r="Y137" s="164" t="s">
        <v>203</v>
      </c>
      <c r="Z137" s="164" t="s">
        <v>195</v>
      </c>
      <c r="AA137" s="164" t="s">
        <v>196</v>
      </c>
      <c r="AB137" s="164" t="s">
        <v>187</v>
      </c>
      <c r="AC137" s="164" t="s">
        <v>187</v>
      </c>
      <c r="AD137" s="165">
        <v>1</v>
      </c>
      <c r="AE137" s="164" t="s">
        <v>187</v>
      </c>
      <c r="AF137" s="165">
        <v>35.402576428694999</v>
      </c>
      <c r="AG137" s="166">
        <v>76.635517130913598</v>
      </c>
      <c r="AM137" s="133" t="str" cm="1">
        <f t="array" ref="AM137">IF(ROWS($AN$2:$AN136)&lt;=$AN$2,INDEX($V$3:$V$3000,_xlfn.AGGREGATE(15,3,($B$3:$B$3000=$AM$2)/($B$3:$B$3000=$AM$2)*(ROW($B$3:$B$3000)-ROW($B$2)),ROWS($AN$2:$AN136))),"")</f>
        <v/>
      </c>
      <c r="AN137" s="134" t="str" cm="1">
        <f t="array" ref="AN137">IF(ROWS($AN$2:$AN136)&lt;=$AN$2,INDEX($F$3:$F$3000,_xlfn.AGGREGATE(15,3,($B$3:$B$3000=$AM$2)/($B$3:$B$3000=$AM$2)*(ROW($B$3:$B$3000)-ROW($B$2)),ROWS($AN$2:$AN136))),"")</f>
        <v/>
      </c>
      <c r="AO137" s="135" t="str" cm="1">
        <f t="array" ref="AO137">IF(ROWS($AN$2:$AN136)&lt;=$AN$2,INDEX($G$3:$G$3000,_xlfn.AGGREGATE(15,3,($B$3:$B$3000=$AM$2)/($B$3:$B$3000=$AM$2)*(ROW($B$3:$B$3000)-ROW($B$2)),ROWS($AN$2:$AN136))),"")</f>
        <v/>
      </c>
      <c r="AP137" s="121"/>
      <c r="AT137" s="111"/>
      <c r="AV137" s="133" t="str" cm="1">
        <f t="array" ref="AV137">IF(ROWS($AW$2:$AW136)&lt;=$AW$2,INDEX($AM$3:$AM$792,_xlfn.AGGREGATE(15,3,($AM$3:$AM$792='Planning Template'!$F$45)/($AM$3:$AM$792='Planning Template'!$F$45)*(ROW($AM$3:$AM$792)-ROW($AM$2)),ROWS($AW$2:$AW136))),"")</f>
        <v/>
      </c>
      <c r="AW137" s="134" t="str" cm="1">
        <f t="array" ref="AW137">IF(ROWS($AU$3:$AU137)&lt;=$AW$2,INDEX($AN$3:$AN$792,_xlfn.AGGREGATE(15,3,($AM$3:$AM$792='Planning Template'!$F$45)/($AM$3:$AM$792='Planning Template'!$F$45)*(ROW($AM$3:$AM$792)-ROW($AM$2)),ROWS($AU$3:$AU137))),"")</f>
        <v/>
      </c>
      <c r="AX137" s="135" t="str">
        <f>IF(AW137="","",SUMIFS(TableSSDPeopleGroups[Population], TableSSDPeopleGroups[Ctry],'Planning Template'!$F$30,TableSSDPeopleGroups[PrimaryReligion],'Planning Template'!$F$301,TableSSDPeopleGroups[PeopleCluster],'Planning Template'!$F$45,TableSSDPeopleGroups[PeopNameInCountry],$AW137))</f>
        <v/>
      </c>
      <c r="AY137" s="234" t="str">
        <f t="shared" si="11"/>
        <v/>
      </c>
    </row>
    <row r="138" spans="1:51" s="110" customFormat="1" ht="20" customHeight="1">
      <c r="A138" s="125" t="s">
        <v>408</v>
      </c>
      <c r="B138" s="126" t="s">
        <v>64</v>
      </c>
      <c r="C138" s="127">
        <v>14196</v>
      </c>
      <c r="D138" s="157">
        <v>109305</v>
      </c>
      <c r="E138" s="158" t="s">
        <v>2406</v>
      </c>
      <c r="F138" s="158" t="s">
        <v>2406</v>
      </c>
      <c r="G138" s="159">
        <v>16000</v>
      </c>
      <c r="H138" s="159">
        <v>2</v>
      </c>
      <c r="I138" s="158" t="s">
        <v>209</v>
      </c>
      <c r="J138" s="158" t="s">
        <v>2407</v>
      </c>
      <c r="K138" s="158" t="s">
        <v>2408</v>
      </c>
      <c r="L138" s="159">
        <v>5</v>
      </c>
      <c r="M138" s="159">
        <v>2</v>
      </c>
      <c r="N138" s="158" t="s">
        <v>1718</v>
      </c>
      <c r="O138" s="159">
        <v>8</v>
      </c>
      <c r="P138" s="159">
        <v>1.2</v>
      </c>
      <c r="Q138" s="159">
        <v>21</v>
      </c>
      <c r="R138" s="158" t="s">
        <v>200</v>
      </c>
      <c r="S138" s="158" t="s">
        <v>201</v>
      </c>
      <c r="T138" s="159">
        <v>402</v>
      </c>
      <c r="U138" s="158" t="s">
        <v>200</v>
      </c>
      <c r="V138" s="158" t="s">
        <v>1968</v>
      </c>
      <c r="W138" s="159">
        <v>17</v>
      </c>
      <c r="X138" s="159">
        <v>2</v>
      </c>
      <c r="Y138" s="158" t="s">
        <v>194</v>
      </c>
      <c r="Z138" s="158" t="s">
        <v>195</v>
      </c>
      <c r="AA138" s="158" t="s">
        <v>196</v>
      </c>
      <c r="AB138" s="158" t="s">
        <v>209</v>
      </c>
      <c r="AC138" s="158" t="s">
        <v>209</v>
      </c>
      <c r="AD138" s="160"/>
      <c r="AE138" s="158" t="s">
        <v>209</v>
      </c>
      <c r="AF138" s="159">
        <v>1.3342000000000001</v>
      </c>
      <c r="AG138" s="161">
        <v>103.75734</v>
      </c>
      <c r="AM138" s="133" t="str" cm="1">
        <f t="array" ref="AM138">IF(ROWS($AN$2:$AN137)&lt;=$AN$2,INDEX($V$3:$V$3000,_xlfn.AGGREGATE(15,3,($B$3:$B$3000=$AM$2)/($B$3:$B$3000=$AM$2)*(ROW($B$3:$B$3000)-ROW($B$2)),ROWS($AN$2:$AN137))),"")</f>
        <v/>
      </c>
      <c r="AN138" s="134" t="str" cm="1">
        <f t="array" ref="AN138">IF(ROWS($AN$2:$AN137)&lt;=$AN$2,INDEX($F$3:$F$3000,_xlfn.AGGREGATE(15,3,($B$3:$B$3000=$AM$2)/($B$3:$B$3000=$AM$2)*(ROW($B$3:$B$3000)-ROW($B$2)),ROWS($AN$2:$AN137))),"")</f>
        <v/>
      </c>
      <c r="AO138" s="135" t="str" cm="1">
        <f t="array" ref="AO138">IF(ROWS($AN$2:$AN137)&lt;=$AN$2,INDEX($G$3:$G$3000,_xlfn.AGGREGATE(15,3,($B$3:$B$3000=$AM$2)/($B$3:$B$3000=$AM$2)*(ROW($B$3:$B$3000)-ROW($B$2)),ROWS($AN$2:$AN137))),"")</f>
        <v/>
      </c>
      <c r="AP138" s="121"/>
      <c r="AT138" s="111"/>
      <c r="AV138" s="133" t="str" cm="1">
        <f t="array" ref="AV138">IF(ROWS($AW$2:$AW137)&lt;=$AW$2,INDEX($AM$3:$AM$792,_xlfn.AGGREGATE(15,3,($AM$3:$AM$792='Planning Template'!$F$45)/($AM$3:$AM$792='Planning Template'!$F$45)*(ROW($AM$3:$AM$792)-ROW($AM$2)),ROWS($AW$2:$AW137))),"")</f>
        <v/>
      </c>
      <c r="AW138" s="134" t="str" cm="1">
        <f t="array" ref="AW138">IF(ROWS($AU$3:$AU138)&lt;=$AW$2,INDEX($AN$3:$AN$792,_xlfn.AGGREGATE(15,3,($AM$3:$AM$792='Planning Template'!$F$45)/($AM$3:$AM$792='Planning Template'!$F$45)*(ROW($AM$3:$AM$792)-ROW($AM$2)),ROWS($AU$3:$AU138))),"")</f>
        <v/>
      </c>
      <c r="AX138" s="135" t="str">
        <f>IF(AW138="","",SUMIFS(TableSSDPeopleGroups[Population], TableSSDPeopleGroups[Ctry],'Planning Template'!$F$30,TableSSDPeopleGroups[PrimaryReligion],'Planning Template'!$F$301,TableSSDPeopleGroups[PeopleCluster],'Planning Template'!$F$45,TableSSDPeopleGroups[PeopNameInCountry],$AW138))</f>
        <v/>
      </c>
      <c r="AY138" s="234" t="str">
        <f t="shared" si="11"/>
        <v/>
      </c>
    </row>
    <row r="139" spans="1:51" s="110" customFormat="1" ht="20" customHeight="1">
      <c r="A139" s="125" t="s">
        <v>224</v>
      </c>
      <c r="B139" s="126" t="s">
        <v>68</v>
      </c>
      <c r="C139" s="127">
        <v>21388</v>
      </c>
      <c r="D139" s="163">
        <v>118193</v>
      </c>
      <c r="E139" s="164" t="s">
        <v>4807</v>
      </c>
      <c r="F139" s="164" t="s">
        <v>4807</v>
      </c>
      <c r="G139" s="165">
        <v>373000</v>
      </c>
      <c r="H139" s="165">
        <v>1</v>
      </c>
      <c r="I139" s="164" t="s">
        <v>187</v>
      </c>
      <c r="J139" s="164" t="s">
        <v>2407</v>
      </c>
      <c r="K139" s="164" t="s">
        <v>2408</v>
      </c>
      <c r="L139" s="165">
        <v>5</v>
      </c>
      <c r="M139" s="165">
        <v>2</v>
      </c>
      <c r="N139" s="164" t="s">
        <v>1718</v>
      </c>
      <c r="O139" s="165">
        <v>1.482</v>
      </c>
      <c r="P139" s="168"/>
      <c r="Q139" s="165">
        <v>21</v>
      </c>
      <c r="R139" s="164" t="s">
        <v>200</v>
      </c>
      <c r="S139" s="164" t="s">
        <v>201</v>
      </c>
      <c r="T139" s="165">
        <v>402</v>
      </c>
      <c r="U139" s="164" t="s">
        <v>200</v>
      </c>
      <c r="V139" s="164" t="s">
        <v>1968</v>
      </c>
      <c r="W139" s="165">
        <v>1</v>
      </c>
      <c r="X139" s="165">
        <v>4</v>
      </c>
      <c r="Y139" s="164" t="s">
        <v>203</v>
      </c>
      <c r="Z139" s="164" t="s">
        <v>195</v>
      </c>
      <c r="AA139" s="164" t="s">
        <v>196</v>
      </c>
      <c r="AB139" s="164" t="s">
        <v>187</v>
      </c>
      <c r="AC139" s="164" t="s">
        <v>187</v>
      </c>
      <c r="AD139" s="165">
        <v>7</v>
      </c>
      <c r="AE139" s="164" t="s">
        <v>209</v>
      </c>
      <c r="AF139" s="165">
        <v>7.6672798597332896</v>
      </c>
      <c r="AG139" s="166">
        <v>80.233028275547497</v>
      </c>
      <c r="AM139" s="133" t="str" cm="1">
        <f t="array" ref="AM139">IF(ROWS($AN$2:$AN138)&lt;=$AN$2,INDEX($V$3:$V$3000,_xlfn.AGGREGATE(15,3,($B$3:$B$3000=$AM$2)/($B$3:$B$3000=$AM$2)*(ROW($B$3:$B$3000)-ROW($B$2)),ROWS($AN$2:$AN138))),"")</f>
        <v/>
      </c>
      <c r="AN139" s="134" t="str" cm="1">
        <f t="array" ref="AN139">IF(ROWS($AN$2:$AN138)&lt;=$AN$2,INDEX($F$3:$F$3000,_xlfn.AGGREGATE(15,3,($B$3:$B$3000=$AM$2)/($B$3:$B$3000=$AM$2)*(ROW($B$3:$B$3000)-ROW($B$2)),ROWS($AN$2:$AN138))),"")</f>
        <v/>
      </c>
      <c r="AO139" s="135" t="str" cm="1">
        <f t="array" ref="AO139">IF(ROWS($AN$2:$AN138)&lt;=$AN$2,INDEX($G$3:$G$3000,_xlfn.AGGREGATE(15,3,($B$3:$B$3000=$AM$2)/($B$3:$B$3000=$AM$2)*(ROW($B$3:$B$3000)-ROW($B$2)),ROWS($AN$2:$AN138))),"")</f>
        <v/>
      </c>
      <c r="AP139" s="121"/>
      <c r="AT139" s="111"/>
      <c r="AV139" s="133" t="str" cm="1">
        <f t="array" ref="AV139">IF(ROWS($AW$2:$AW138)&lt;=$AW$2,INDEX($AM$3:$AM$792,_xlfn.AGGREGATE(15,3,($AM$3:$AM$792='Planning Template'!$F$45)/($AM$3:$AM$792='Planning Template'!$F$45)*(ROW($AM$3:$AM$792)-ROW($AM$2)),ROWS($AW$2:$AW138))),"")</f>
        <v/>
      </c>
      <c r="AW139" s="134" t="str" cm="1">
        <f t="array" ref="AW139">IF(ROWS($AU$3:$AU139)&lt;=$AW$2,INDEX($AN$3:$AN$792,_xlfn.AGGREGATE(15,3,($AM$3:$AM$792='Planning Template'!$F$45)/($AM$3:$AM$792='Planning Template'!$F$45)*(ROW($AM$3:$AM$792)-ROW($AM$2)),ROWS($AU$3:$AU139))),"")</f>
        <v/>
      </c>
      <c r="AX139" s="135" t="str">
        <f>IF(AW139="","",SUMIFS(TableSSDPeopleGroups[Population], TableSSDPeopleGroups[Ctry],'Planning Template'!$F$30,TableSSDPeopleGroups[PrimaryReligion],'Planning Template'!$F$301,TableSSDPeopleGroups[PeopleCluster],'Planning Template'!$F$45,TableSSDPeopleGroups[PeopNameInCountry],$AW139))</f>
        <v/>
      </c>
      <c r="AY139" s="234" t="str">
        <f t="shared" si="11"/>
        <v/>
      </c>
    </row>
    <row r="140" spans="1:51" s="110" customFormat="1" ht="20" customHeight="1">
      <c r="A140" s="125" t="s">
        <v>224</v>
      </c>
      <c r="B140" s="126" t="s">
        <v>68</v>
      </c>
      <c r="C140" s="127">
        <v>21452</v>
      </c>
      <c r="D140" s="163">
        <v>118269</v>
      </c>
      <c r="E140" s="164" t="s">
        <v>4534</v>
      </c>
      <c r="F140" s="164" t="s">
        <v>4534</v>
      </c>
      <c r="G140" s="165">
        <v>76000</v>
      </c>
      <c r="H140" s="165">
        <v>1</v>
      </c>
      <c r="I140" s="164" t="s">
        <v>187</v>
      </c>
      <c r="J140" s="164" t="s">
        <v>2407</v>
      </c>
      <c r="K140" s="164" t="s">
        <v>2408</v>
      </c>
      <c r="L140" s="165">
        <v>5</v>
      </c>
      <c r="M140" s="165">
        <v>2</v>
      </c>
      <c r="N140" s="164" t="s">
        <v>1718</v>
      </c>
      <c r="O140" s="165">
        <v>3.6819999999999999</v>
      </c>
      <c r="P140" s="168"/>
      <c r="Q140" s="165">
        <v>21</v>
      </c>
      <c r="R140" s="164" t="s">
        <v>200</v>
      </c>
      <c r="S140" s="164" t="s">
        <v>201</v>
      </c>
      <c r="T140" s="165">
        <v>402</v>
      </c>
      <c r="U140" s="164" t="s">
        <v>200</v>
      </c>
      <c r="V140" s="164" t="s">
        <v>1968</v>
      </c>
      <c r="W140" s="165">
        <v>1</v>
      </c>
      <c r="X140" s="165">
        <v>4</v>
      </c>
      <c r="Y140" s="164" t="s">
        <v>203</v>
      </c>
      <c r="Z140" s="164" t="s">
        <v>195</v>
      </c>
      <c r="AA140" s="164" t="s">
        <v>196</v>
      </c>
      <c r="AB140" s="164" t="s">
        <v>187</v>
      </c>
      <c r="AC140" s="164" t="s">
        <v>187</v>
      </c>
      <c r="AD140" s="165">
        <v>2</v>
      </c>
      <c r="AE140" s="164" t="s">
        <v>209</v>
      </c>
      <c r="AF140" s="165">
        <v>7.6678606863604797</v>
      </c>
      <c r="AG140" s="166">
        <v>80.232574631482706</v>
      </c>
      <c r="AM140" s="133" t="str" cm="1">
        <f t="array" ref="AM140">IF(ROWS($AN$2:$AN139)&lt;=$AN$2,INDEX($V$3:$V$3000,_xlfn.AGGREGATE(15,3,($B$3:$B$3000=$AM$2)/($B$3:$B$3000=$AM$2)*(ROW($B$3:$B$3000)-ROW($B$2)),ROWS($AN$2:$AN139))),"")</f>
        <v/>
      </c>
      <c r="AN140" s="134" t="str" cm="1">
        <f t="array" ref="AN140">IF(ROWS($AN$2:$AN139)&lt;=$AN$2,INDEX($F$3:$F$3000,_xlfn.AGGREGATE(15,3,($B$3:$B$3000=$AM$2)/($B$3:$B$3000=$AM$2)*(ROW($B$3:$B$3000)-ROW($B$2)),ROWS($AN$2:$AN139))),"")</f>
        <v/>
      </c>
      <c r="AO140" s="135" t="str" cm="1">
        <f t="array" ref="AO140">IF(ROWS($AN$2:$AN139)&lt;=$AN$2,INDEX($G$3:$G$3000,_xlfn.AGGREGATE(15,3,($B$3:$B$3000=$AM$2)/($B$3:$B$3000=$AM$2)*(ROW($B$3:$B$3000)-ROW($B$2)),ROWS($AN$2:$AN139))),"")</f>
        <v/>
      </c>
      <c r="AP140" s="121"/>
      <c r="AT140" s="111"/>
      <c r="AV140" s="133" t="str" cm="1">
        <f t="array" ref="AV140">IF(ROWS($AW$2:$AW139)&lt;=$AW$2,INDEX($AM$3:$AM$792,_xlfn.AGGREGATE(15,3,($AM$3:$AM$792='Planning Template'!$F$45)/($AM$3:$AM$792='Planning Template'!$F$45)*(ROW($AM$3:$AM$792)-ROW($AM$2)),ROWS($AW$2:$AW139))),"")</f>
        <v/>
      </c>
      <c r="AW140" s="134" t="str" cm="1">
        <f t="array" ref="AW140">IF(ROWS($AU$3:$AU140)&lt;=$AW$2,INDEX($AN$3:$AN$792,_xlfn.AGGREGATE(15,3,($AM$3:$AM$792='Planning Template'!$F$45)/($AM$3:$AM$792='Planning Template'!$F$45)*(ROW($AM$3:$AM$792)-ROW($AM$2)),ROWS($AU$3:$AU140))),"")</f>
        <v/>
      </c>
      <c r="AX140" s="135" t="str">
        <f>IF(AW140="","",SUMIFS(TableSSDPeopleGroups[Population], TableSSDPeopleGroups[Ctry],'Planning Template'!$F$30,TableSSDPeopleGroups[PrimaryReligion],'Planning Template'!$F$301,TableSSDPeopleGroups[PeopleCluster],'Planning Template'!$F$45,TableSSDPeopleGroups[PeopNameInCountry],$AW140))</f>
        <v/>
      </c>
      <c r="AY140" s="234" t="str">
        <f t="shared" si="11"/>
        <v/>
      </c>
    </row>
    <row r="141" spans="1:51" s="110" customFormat="1" ht="20" customHeight="1">
      <c r="A141" s="125" t="s">
        <v>224</v>
      </c>
      <c r="B141" s="126" t="s">
        <v>68</v>
      </c>
      <c r="C141" s="127">
        <v>21413</v>
      </c>
      <c r="D141" s="163">
        <v>118219</v>
      </c>
      <c r="E141" s="164" t="s">
        <v>4200</v>
      </c>
      <c r="F141" s="164" t="s">
        <v>4200</v>
      </c>
      <c r="G141" s="165">
        <v>28000</v>
      </c>
      <c r="H141" s="165">
        <v>1</v>
      </c>
      <c r="I141" s="164" t="s">
        <v>187</v>
      </c>
      <c r="J141" s="164" t="s">
        <v>2407</v>
      </c>
      <c r="K141" s="164" t="s">
        <v>2408</v>
      </c>
      <c r="L141" s="165">
        <v>5</v>
      </c>
      <c r="M141" s="165">
        <v>2</v>
      </c>
      <c r="N141" s="164" t="s">
        <v>1718</v>
      </c>
      <c r="O141" s="165">
        <v>0.45500000000000002</v>
      </c>
      <c r="P141" s="168"/>
      <c r="Q141" s="165">
        <v>21</v>
      </c>
      <c r="R141" s="164" t="s">
        <v>200</v>
      </c>
      <c r="S141" s="164" t="s">
        <v>201</v>
      </c>
      <c r="T141" s="165">
        <v>402</v>
      </c>
      <c r="U141" s="164" t="s">
        <v>200</v>
      </c>
      <c r="V141" s="164" t="s">
        <v>1968</v>
      </c>
      <c r="W141" s="165">
        <v>1</v>
      </c>
      <c r="X141" s="165">
        <v>4</v>
      </c>
      <c r="Y141" s="164" t="s">
        <v>203</v>
      </c>
      <c r="Z141" s="164" t="s">
        <v>195</v>
      </c>
      <c r="AA141" s="164" t="s">
        <v>196</v>
      </c>
      <c r="AB141" s="164" t="s">
        <v>187</v>
      </c>
      <c r="AC141" s="164" t="s">
        <v>187</v>
      </c>
      <c r="AD141" s="165">
        <v>1</v>
      </c>
      <c r="AE141" s="164" t="s">
        <v>209</v>
      </c>
      <c r="AF141" s="165">
        <v>7.6675812299983299</v>
      </c>
      <c r="AG141" s="166">
        <v>80.232822731086998</v>
      </c>
      <c r="AM141" s="133" t="str" cm="1">
        <f t="array" ref="AM141">IF(ROWS($AN$2:$AN140)&lt;=$AN$2,INDEX($V$3:$V$3000,_xlfn.AGGREGATE(15,3,($B$3:$B$3000=$AM$2)/($B$3:$B$3000=$AM$2)*(ROW($B$3:$B$3000)-ROW($B$2)),ROWS($AN$2:$AN140))),"")</f>
        <v/>
      </c>
      <c r="AN141" s="134" t="str" cm="1">
        <f t="array" ref="AN141">IF(ROWS($AN$2:$AN140)&lt;=$AN$2,INDEX($F$3:$F$3000,_xlfn.AGGREGATE(15,3,($B$3:$B$3000=$AM$2)/($B$3:$B$3000=$AM$2)*(ROW($B$3:$B$3000)-ROW($B$2)),ROWS($AN$2:$AN140))),"")</f>
        <v/>
      </c>
      <c r="AO141" s="135" t="str" cm="1">
        <f t="array" ref="AO141">IF(ROWS($AN$2:$AN140)&lt;=$AN$2,INDEX($G$3:$G$3000,_xlfn.AGGREGATE(15,3,($B$3:$B$3000=$AM$2)/($B$3:$B$3000=$AM$2)*(ROW($B$3:$B$3000)-ROW($B$2)),ROWS($AN$2:$AN140))),"")</f>
        <v/>
      </c>
      <c r="AP141" s="121"/>
      <c r="AT141" s="111"/>
      <c r="AV141" s="133" t="str" cm="1">
        <f t="array" ref="AV141">IF(ROWS($AW$2:$AW140)&lt;=$AW$2,INDEX($AM$3:$AM$792,_xlfn.AGGREGATE(15,3,($AM$3:$AM$792='Planning Template'!$F$45)/($AM$3:$AM$792='Planning Template'!$F$45)*(ROW($AM$3:$AM$792)-ROW($AM$2)),ROWS($AW$2:$AW140))),"")</f>
        <v/>
      </c>
      <c r="AW141" s="134" t="str" cm="1">
        <f t="array" ref="AW141">IF(ROWS($AU$3:$AU141)&lt;=$AW$2,INDEX($AN$3:$AN$792,_xlfn.AGGREGATE(15,3,($AM$3:$AM$792='Planning Template'!$F$45)/($AM$3:$AM$792='Planning Template'!$F$45)*(ROW($AM$3:$AM$792)-ROW($AM$2)),ROWS($AU$3:$AU141))),"")</f>
        <v/>
      </c>
      <c r="AX141" s="135" t="str">
        <f>IF(AW141="","",SUMIFS(TableSSDPeopleGroups[Population], TableSSDPeopleGroups[Ctry],'Planning Template'!$F$30,TableSSDPeopleGroups[PrimaryReligion],'Planning Template'!$F$301,TableSSDPeopleGroups[PeopleCluster],'Planning Template'!$F$45,TableSSDPeopleGroups[PeopNameInCountry],$AW141))</f>
        <v/>
      </c>
      <c r="AY141" s="234" t="str">
        <f t="shared" si="11"/>
        <v/>
      </c>
    </row>
    <row r="142" spans="1:51" s="110" customFormat="1" ht="20" customHeight="1">
      <c r="A142" s="125" t="s">
        <v>224</v>
      </c>
      <c r="B142" s="126" t="s">
        <v>68</v>
      </c>
      <c r="C142" s="127">
        <v>21398</v>
      </c>
      <c r="D142" s="163">
        <v>118205</v>
      </c>
      <c r="E142" s="164" t="s">
        <v>4026</v>
      </c>
      <c r="F142" s="164" t="s">
        <v>4026</v>
      </c>
      <c r="G142" s="165">
        <v>19000</v>
      </c>
      <c r="H142" s="165">
        <v>1</v>
      </c>
      <c r="I142" s="164" t="s">
        <v>187</v>
      </c>
      <c r="J142" s="164" t="s">
        <v>2407</v>
      </c>
      <c r="K142" s="164" t="s">
        <v>2408</v>
      </c>
      <c r="L142" s="165">
        <v>5</v>
      </c>
      <c r="M142" s="165">
        <v>2</v>
      </c>
      <c r="N142" s="164" t="s">
        <v>1718</v>
      </c>
      <c r="O142" s="165">
        <v>3.8839999999999999</v>
      </c>
      <c r="P142" s="168"/>
      <c r="Q142" s="165">
        <v>21</v>
      </c>
      <c r="R142" s="164" t="s">
        <v>200</v>
      </c>
      <c r="S142" s="164" t="s">
        <v>201</v>
      </c>
      <c r="T142" s="165">
        <v>402</v>
      </c>
      <c r="U142" s="164" t="s">
        <v>200</v>
      </c>
      <c r="V142" s="164" t="s">
        <v>1968</v>
      </c>
      <c r="W142" s="165">
        <v>1</v>
      </c>
      <c r="X142" s="165">
        <v>4</v>
      </c>
      <c r="Y142" s="164" t="s">
        <v>203</v>
      </c>
      <c r="Z142" s="164" t="s">
        <v>195</v>
      </c>
      <c r="AA142" s="164" t="s">
        <v>196</v>
      </c>
      <c r="AB142" s="164" t="s">
        <v>187</v>
      </c>
      <c r="AC142" s="164" t="s">
        <v>187</v>
      </c>
      <c r="AD142" s="165">
        <v>1</v>
      </c>
      <c r="AE142" s="164" t="s">
        <v>209</v>
      </c>
      <c r="AF142" s="165">
        <v>7.6677465475237199</v>
      </c>
      <c r="AG142" s="166">
        <v>80.232319211569504</v>
      </c>
      <c r="AM142" s="133" t="str" cm="1">
        <f t="array" ref="AM142">IF(ROWS($AN$2:$AN141)&lt;=$AN$2,INDEX($V$3:$V$3000,_xlfn.AGGREGATE(15,3,($B$3:$B$3000=$AM$2)/($B$3:$B$3000=$AM$2)*(ROW($B$3:$B$3000)-ROW($B$2)),ROWS($AN$2:$AN141))),"")</f>
        <v/>
      </c>
      <c r="AN142" s="134" t="str" cm="1">
        <f t="array" ref="AN142">IF(ROWS($AN$2:$AN141)&lt;=$AN$2,INDEX($F$3:$F$3000,_xlfn.AGGREGATE(15,3,($B$3:$B$3000=$AM$2)/($B$3:$B$3000=$AM$2)*(ROW($B$3:$B$3000)-ROW($B$2)),ROWS($AN$2:$AN141))),"")</f>
        <v/>
      </c>
      <c r="AO142" s="135" t="str" cm="1">
        <f t="array" ref="AO142">IF(ROWS($AN$2:$AN141)&lt;=$AN$2,INDEX($G$3:$G$3000,_xlfn.AGGREGATE(15,3,($B$3:$B$3000=$AM$2)/($B$3:$B$3000=$AM$2)*(ROW($B$3:$B$3000)-ROW($B$2)),ROWS($AN$2:$AN141))),"")</f>
        <v/>
      </c>
      <c r="AP142" s="121"/>
      <c r="AT142" s="111"/>
      <c r="AV142" s="133" t="str" cm="1">
        <f t="array" ref="AV142">IF(ROWS($AW$2:$AW141)&lt;=$AW$2,INDEX($AM$3:$AM$792,_xlfn.AGGREGATE(15,3,($AM$3:$AM$792='Planning Template'!$F$45)/($AM$3:$AM$792='Planning Template'!$F$45)*(ROW($AM$3:$AM$792)-ROW($AM$2)),ROWS($AW$2:$AW141))),"")</f>
        <v/>
      </c>
      <c r="AW142" s="134" t="str" cm="1">
        <f t="array" ref="AW142">IF(ROWS($AU$3:$AU142)&lt;=$AW$2,INDEX($AN$3:$AN$792,_xlfn.AGGREGATE(15,3,($AM$3:$AM$792='Planning Template'!$F$45)/($AM$3:$AM$792='Planning Template'!$F$45)*(ROW($AM$3:$AM$792)-ROW($AM$2)),ROWS($AU$3:$AU142))),"")</f>
        <v/>
      </c>
      <c r="AX142" s="135" t="str">
        <f>IF(AW142="","",SUMIFS(TableSSDPeopleGroups[Population], TableSSDPeopleGroups[Ctry],'Planning Template'!$F$30,TableSSDPeopleGroups[PrimaryReligion],'Planning Template'!$F$301,TableSSDPeopleGroups[PeopleCluster],'Planning Template'!$F$45,TableSSDPeopleGroups[PeopNameInCountry],$AW142))</f>
        <v/>
      </c>
      <c r="AY142" s="234" t="str">
        <f t="shared" si="11"/>
        <v/>
      </c>
    </row>
    <row r="143" spans="1:51" s="110" customFormat="1" ht="20" customHeight="1">
      <c r="A143" s="125" t="s">
        <v>224</v>
      </c>
      <c r="B143" s="126" t="s">
        <v>68</v>
      </c>
      <c r="C143" s="127">
        <v>21406</v>
      </c>
      <c r="D143" s="163">
        <v>118213</v>
      </c>
      <c r="E143" s="164" t="s">
        <v>4027</v>
      </c>
      <c r="F143" s="164" t="s">
        <v>4027</v>
      </c>
      <c r="G143" s="165">
        <v>19000</v>
      </c>
      <c r="H143" s="165">
        <v>1</v>
      </c>
      <c r="I143" s="164" t="s">
        <v>187</v>
      </c>
      <c r="J143" s="164" t="s">
        <v>2407</v>
      </c>
      <c r="K143" s="164" t="s">
        <v>2408</v>
      </c>
      <c r="L143" s="165">
        <v>5</v>
      </c>
      <c r="M143" s="165">
        <v>2</v>
      </c>
      <c r="N143" s="164" t="s">
        <v>1718</v>
      </c>
      <c r="O143" s="165">
        <v>3.7130000000000001</v>
      </c>
      <c r="P143" s="168"/>
      <c r="Q143" s="165">
        <v>21</v>
      </c>
      <c r="R143" s="164" t="s">
        <v>200</v>
      </c>
      <c r="S143" s="164" t="s">
        <v>201</v>
      </c>
      <c r="T143" s="165">
        <v>402</v>
      </c>
      <c r="U143" s="164" t="s">
        <v>200</v>
      </c>
      <c r="V143" s="164" t="s">
        <v>1968</v>
      </c>
      <c r="W143" s="165">
        <v>1</v>
      </c>
      <c r="X143" s="165">
        <v>4</v>
      </c>
      <c r="Y143" s="164" t="s">
        <v>203</v>
      </c>
      <c r="Z143" s="164" t="s">
        <v>195</v>
      </c>
      <c r="AA143" s="164" t="s">
        <v>196</v>
      </c>
      <c r="AB143" s="164" t="s">
        <v>187</v>
      </c>
      <c r="AC143" s="164" t="s">
        <v>187</v>
      </c>
      <c r="AD143" s="165">
        <v>1</v>
      </c>
      <c r="AE143" s="164" t="s">
        <v>209</v>
      </c>
      <c r="AF143" s="165">
        <v>7.6669585003114697</v>
      </c>
      <c r="AG143" s="166">
        <v>80.232914949507403</v>
      </c>
      <c r="AM143" s="133" t="str" cm="1">
        <f t="array" ref="AM143">IF(ROWS($AN$2:$AN142)&lt;=$AN$2,INDEX($V$3:$V$3000,_xlfn.AGGREGATE(15,3,($B$3:$B$3000=$AM$2)/($B$3:$B$3000=$AM$2)*(ROW($B$3:$B$3000)-ROW($B$2)),ROWS($AN$2:$AN142))),"")</f>
        <v/>
      </c>
      <c r="AN143" s="134" t="str" cm="1">
        <f t="array" ref="AN143">IF(ROWS($AN$2:$AN142)&lt;=$AN$2,INDEX($F$3:$F$3000,_xlfn.AGGREGATE(15,3,($B$3:$B$3000=$AM$2)/($B$3:$B$3000=$AM$2)*(ROW($B$3:$B$3000)-ROW($B$2)),ROWS($AN$2:$AN142))),"")</f>
        <v/>
      </c>
      <c r="AO143" s="135" t="str" cm="1">
        <f t="array" ref="AO143">IF(ROWS($AN$2:$AN142)&lt;=$AN$2,INDEX($G$3:$G$3000,_xlfn.AGGREGATE(15,3,($B$3:$B$3000=$AM$2)/($B$3:$B$3000=$AM$2)*(ROW($B$3:$B$3000)-ROW($B$2)),ROWS($AN$2:$AN142))),"")</f>
        <v/>
      </c>
      <c r="AP143" s="121"/>
      <c r="AT143" s="111"/>
      <c r="AV143" s="133" t="str" cm="1">
        <f t="array" ref="AV143">IF(ROWS($AW$2:$AW142)&lt;=$AW$2,INDEX($AM$3:$AM$792,_xlfn.AGGREGATE(15,3,($AM$3:$AM$792='Planning Template'!$F$45)/($AM$3:$AM$792='Planning Template'!$F$45)*(ROW($AM$3:$AM$792)-ROW($AM$2)),ROWS($AW$2:$AW142))),"")</f>
        <v/>
      </c>
      <c r="AW143" s="134" t="str" cm="1">
        <f t="array" ref="AW143">IF(ROWS($AU$3:$AU143)&lt;=$AW$2,INDEX($AN$3:$AN$792,_xlfn.AGGREGATE(15,3,($AM$3:$AM$792='Planning Template'!$F$45)/($AM$3:$AM$792='Planning Template'!$F$45)*(ROW($AM$3:$AM$792)-ROW($AM$2)),ROWS($AU$3:$AU143))),"")</f>
        <v/>
      </c>
      <c r="AX143" s="135" t="str">
        <f>IF(AW143="","",SUMIFS(TableSSDPeopleGroups[Population], TableSSDPeopleGroups[Ctry],'Planning Template'!$F$30,TableSSDPeopleGroups[PrimaryReligion],'Planning Template'!$F$301,TableSSDPeopleGroups[PeopleCluster],'Planning Template'!$F$45,TableSSDPeopleGroups[PeopNameInCountry],$AW143))</f>
        <v/>
      </c>
      <c r="AY143" s="234" t="str">
        <f t="shared" si="11"/>
        <v/>
      </c>
    </row>
    <row r="144" spans="1:51" s="110" customFormat="1" ht="20" customHeight="1">
      <c r="A144" s="125" t="s">
        <v>224</v>
      </c>
      <c r="B144" s="126" t="s">
        <v>68</v>
      </c>
      <c r="C144" s="127">
        <v>17975</v>
      </c>
      <c r="D144" s="163">
        <v>113464</v>
      </c>
      <c r="E144" s="164" t="s">
        <v>4002</v>
      </c>
      <c r="F144" s="164" t="s">
        <v>4002</v>
      </c>
      <c r="G144" s="165">
        <v>18000</v>
      </c>
      <c r="H144" s="165">
        <v>1</v>
      </c>
      <c r="I144" s="164" t="s">
        <v>187</v>
      </c>
      <c r="J144" s="164" t="s">
        <v>2407</v>
      </c>
      <c r="K144" s="164" t="s">
        <v>2408</v>
      </c>
      <c r="L144" s="165">
        <v>5</v>
      </c>
      <c r="M144" s="165">
        <v>2</v>
      </c>
      <c r="N144" s="164" t="s">
        <v>1718</v>
      </c>
      <c r="O144" s="165">
        <v>0</v>
      </c>
      <c r="P144" s="165">
        <v>0</v>
      </c>
      <c r="Q144" s="165">
        <v>21</v>
      </c>
      <c r="R144" s="164" t="s">
        <v>200</v>
      </c>
      <c r="S144" s="164" t="s">
        <v>201</v>
      </c>
      <c r="T144" s="165">
        <v>402</v>
      </c>
      <c r="U144" s="164" t="s">
        <v>200</v>
      </c>
      <c r="V144" s="164" t="s">
        <v>1968</v>
      </c>
      <c r="W144" s="165">
        <v>1</v>
      </c>
      <c r="X144" s="165">
        <v>4</v>
      </c>
      <c r="Y144" s="164" t="s">
        <v>203</v>
      </c>
      <c r="Z144" s="164" t="s">
        <v>195</v>
      </c>
      <c r="AA144" s="164" t="s">
        <v>196</v>
      </c>
      <c r="AB144" s="164" t="s">
        <v>187</v>
      </c>
      <c r="AC144" s="164" t="s">
        <v>187</v>
      </c>
      <c r="AD144" s="165">
        <v>1</v>
      </c>
      <c r="AE144" s="164" t="s">
        <v>187</v>
      </c>
      <c r="AF144" s="165">
        <v>6.5788799999999998</v>
      </c>
      <c r="AG144" s="166">
        <v>80.565550000000002</v>
      </c>
      <c r="AM144" s="133" t="str" cm="1">
        <f t="array" ref="AM144">IF(ROWS($AN$2:$AN143)&lt;=$AN$2,INDEX($V$3:$V$3000,_xlfn.AGGREGATE(15,3,($B$3:$B$3000=$AM$2)/($B$3:$B$3000=$AM$2)*(ROW($B$3:$B$3000)-ROW($B$2)),ROWS($AN$2:$AN143))),"")</f>
        <v/>
      </c>
      <c r="AN144" s="134" t="str" cm="1">
        <f t="array" ref="AN144">IF(ROWS($AN$2:$AN143)&lt;=$AN$2,INDEX($F$3:$F$3000,_xlfn.AGGREGATE(15,3,($B$3:$B$3000=$AM$2)/($B$3:$B$3000=$AM$2)*(ROW($B$3:$B$3000)-ROW($B$2)),ROWS($AN$2:$AN143))),"")</f>
        <v/>
      </c>
      <c r="AO144" s="135" t="str" cm="1">
        <f t="array" ref="AO144">IF(ROWS($AN$2:$AN143)&lt;=$AN$2,INDEX($G$3:$G$3000,_xlfn.AGGREGATE(15,3,($B$3:$B$3000=$AM$2)/($B$3:$B$3000=$AM$2)*(ROW($B$3:$B$3000)-ROW($B$2)),ROWS($AN$2:$AN143))),"")</f>
        <v/>
      </c>
      <c r="AP144" s="121"/>
      <c r="AT144" s="111"/>
      <c r="AV144" s="133" t="str" cm="1">
        <f t="array" ref="AV144">IF(ROWS($AW$2:$AW143)&lt;=$AW$2,INDEX($AM$3:$AM$792,_xlfn.AGGREGATE(15,3,($AM$3:$AM$792='Planning Template'!$F$45)/($AM$3:$AM$792='Planning Template'!$F$45)*(ROW($AM$3:$AM$792)-ROW($AM$2)),ROWS($AW$2:$AW143))),"")</f>
        <v/>
      </c>
      <c r="AW144" s="134" t="str" cm="1">
        <f t="array" ref="AW144">IF(ROWS($AU$3:$AU144)&lt;=$AW$2,INDEX($AN$3:$AN$792,_xlfn.AGGREGATE(15,3,($AM$3:$AM$792='Planning Template'!$F$45)/($AM$3:$AM$792='Planning Template'!$F$45)*(ROW($AM$3:$AM$792)-ROW($AM$2)),ROWS($AU$3:$AU144))),"")</f>
        <v/>
      </c>
      <c r="AX144" s="135" t="str">
        <f>IF(AW144="","",SUMIFS(TableSSDPeopleGroups[Population], TableSSDPeopleGroups[Ctry],'Planning Template'!$F$30,TableSSDPeopleGroups[PrimaryReligion],'Planning Template'!$F$301,TableSSDPeopleGroups[PeopleCluster],'Planning Template'!$F$45,TableSSDPeopleGroups[PeopNameInCountry],$AW144))</f>
        <v/>
      </c>
      <c r="AY144" s="234" t="str">
        <f t="shared" si="11"/>
        <v/>
      </c>
    </row>
    <row r="145" spans="1:51" s="110" customFormat="1" ht="20" customHeight="1">
      <c r="A145" s="125" t="s">
        <v>224</v>
      </c>
      <c r="B145" s="126" t="s">
        <v>68</v>
      </c>
      <c r="C145" s="127">
        <v>21405</v>
      </c>
      <c r="D145" s="163">
        <v>118212</v>
      </c>
      <c r="E145" s="164" t="s">
        <v>3967</v>
      </c>
      <c r="F145" s="164" t="s">
        <v>3967</v>
      </c>
      <c r="G145" s="165">
        <v>17000</v>
      </c>
      <c r="H145" s="165">
        <v>1</v>
      </c>
      <c r="I145" s="164" t="s">
        <v>187</v>
      </c>
      <c r="J145" s="164" t="s">
        <v>2407</v>
      </c>
      <c r="K145" s="164" t="s">
        <v>2408</v>
      </c>
      <c r="L145" s="165">
        <v>5</v>
      </c>
      <c r="M145" s="165">
        <v>2</v>
      </c>
      <c r="N145" s="164" t="s">
        <v>1718</v>
      </c>
      <c r="O145" s="165">
        <v>1.585</v>
      </c>
      <c r="P145" s="168"/>
      <c r="Q145" s="165">
        <v>21</v>
      </c>
      <c r="R145" s="164" t="s">
        <v>200</v>
      </c>
      <c r="S145" s="164" t="s">
        <v>201</v>
      </c>
      <c r="T145" s="165">
        <v>402</v>
      </c>
      <c r="U145" s="164" t="s">
        <v>200</v>
      </c>
      <c r="V145" s="164" t="s">
        <v>1968</v>
      </c>
      <c r="W145" s="165">
        <v>1</v>
      </c>
      <c r="X145" s="165">
        <v>4</v>
      </c>
      <c r="Y145" s="164" t="s">
        <v>203</v>
      </c>
      <c r="Z145" s="164" t="s">
        <v>195</v>
      </c>
      <c r="AA145" s="164" t="s">
        <v>196</v>
      </c>
      <c r="AB145" s="164" t="s">
        <v>187</v>
      </c>
      <c r="AC145" s="164" t="s">
        <v>187</v>
      </c>
      <c r="AD145" s="165">
        <v>1</v>
      </c>
      <c r="AE145" s="164" t="s">
        <v>209</v>
      </c>
      <c r="AF145" s="165">
        <v>7.1848903137174602</v>
      </c>
      <c r="AG145" s="166">
        <v>80.679170962030696</v>
      </c>
      <c r="AM145" s="133" t="str" cm="1">
        <f t="array" ref="AM145">IF(ROWS($AN$2:$AN144)&lt;=$AN$2,INDEX($V$3:$V$3000,_xlfn.AGGREGATE(15,3,($B$3:$B$3000=$AM$2)/($B$3:$B$3000=$AM$2)*(ROW($B$3:$B$3000)-ROW($B$2)),ROWS($AN$2:$AN144))),"")</f>
        <v/>
      </c>
      <c r="AN145" s="134" t="str" cm="1">
        <f t="array" ref="AN145">IF(ROWS($AN$2:$AN144)&lt;=$AN$2,INDEX($F$3:$F$3000,_xlfn.AGGREGATE(15,3,($B$3:$B$3000=$AM$2)/($B$3:$B$3000=$AM$2)*(ROW($B$3:$B$3000)-ROW($B$2)),ROWS($AN$2:$AN144))),"")</f>
        <v/>
      </c>
      <c r="AO145" s="135" t="str" cm="1">
        <f t="array" ref="AO145">IF(ROWS($AN$2:$AN144)&lt;=$AN$2,INDEX($G$3:$G$3000,_xlfn.AGGREGATE(15,3,($B$3:$B$3000=$AM$2)/($B$3:$B$3000=$AM$2)*(ROW($B$3:$B$3000)-ROW($B$2)),ROWS($AN$2:$AN144))),"")</f>
        <v/>
      </c>
      <c r="AP145" s="121"/>
      <c r="AT145" s="111"/>
      <c r="AV145" s="133" t="str" cm="1">
        <f t="array" ref="AV145">IF(ROWS($AW$2:$AW144)&lt;=$AW$2,INDEX($AM$3:$AM$792,_xlfn.AGGREGATE(15,3,($AM$3:$AM$792='Planning Template'!$F$45)/($AM$3:$AM$792='Planning Template'!$F$45)*(ROW($AM$3:$AM$792)-ROW($AM$2)),ROWS($AW$2:$AW144))),"")</f>
        <v/>
      </c>
      <c r="AW145" s="134" t="str" cm="1">
        <f t="array" ref="AW145">IF(ROWS($AU$3:$AU145)&lt;=$AW$2,INDEX($AN$3:$AN$792,_xlfn.AGGREGATE(15,3,($AM$3:$AM$792='Planning Template'!$F$45)/($AM$3:$AM$792='Planning Template'!$F$45)*(ROW($AM$3:$AM$792)-ROW($AM$2)),ROWS($AU$3:$AU145))),"")</f>
        <v/>
      </c>
      <c r="AX145" s="135" t="str">
        <f>IF(AW145="","",SUMIFS(TableSSDPeopleGroups[Population], TableSSDPeopleGroups[Ctry],'Planning Template'!$F$30,TableSSDPeopleGroups[PrimaryReligion],'Planning Template'!$F$301,TableSSDPeopleGroups[PeopleCluster],'Planning Template'!$F$45,TableSSDPeopleGroups[PeopNameInCountry],$AW145))</f>
        <v/>
      </c>
      <c r="AY145" s="234" t="str">
        <f t="shared" si="11"/>
        <v/>
      </c>
    </row>
    <row r="146" spans="1:51" s="110" customFormat="1" ht="20" customHeight="1">
      <c r="A146" s="125" t="s">
        <v>224</v>
      </c>
      <c r="B146" s="126" t="s">
        <v>68</v>
      </c>
      <c r="C146" s="127">
        <v>21396</v>
      </c>
      <c r="D146" s="163">
        <v>118203</v>
      </c>
      <c r="E146" s="164" t="s">
        <v>3733</v>
      </c>
      <c r="F146" s="164" t="s">
        <v>3733</v>
      </c>
      <c r="G146" s="165">
        <v>11000</v>
      </c>
      <c r="H146" s="165">
        <v>1</v>
      </c>
      <c r="I146" s="164" t="s">
        <v>187</v>
      </c>
      <c r="J146" s="164" t="s">
        <v>2407</v>
      </c>
      <c r="K146" s="164" t="s">
        <v>2408</v>
      </c>
      <c r="L146" s="165">
        <v>5</v>
      </c>
      <c r="M146" s="165">
        <v>2</v>
      </c>
      <c r="N146" s="164" t="s">
        <v>1718</v>
      </c>
      <c r="O146" s="165">
        <v>0.77600000000000002</v>
      </c>
      <c r="P146" s="168"/>
      <c r="Q146" s="165">
        <v>21</v>
      </c>
      <c r="R146" s="164" t="s">
        <v>200</v>
      </c>
      <c r="S146" s="164" t="s">
        <v>201</v>
      </c>
      <c r="T146" s="165">
        <v>402</v>
      </c>
      <c r="U146" s="164" t="s">
        <v>200</v>
      </c>
      <c r="V146" s="164" t="s">
        <v>1968</v>
      </c>
      <c r="W146" s="165">
        <v>1</v>
      </c>
      <c r="X146" s="165">
        <v>4</v>
      </c>
      <c r="Y146" s="164" t="s">
        <v>203</v>
      </c>
      <c r="Z146" s="164" t="s">
        <v>195</v>
      </c>
      <c r="AA146" s="164" t="s">
        <v>196</v>
      </c>
      <c r="AB146" s="164" t="s">
        <v>187</v>
      </c>
      <c r="AC146" s="164" t="s">
        <v>187</v>
      </c>
      <c r="AD146" s="165">
        <v>1</v>
      </c>
      <c r="AE146" s="164" t="s">
        <v>209</v>
      </c>
      <c r="AF146" s="165">
        <v>7.66776182357422</v>
      </c>
      <c r="AG146" s="166">
        <v>80.232404603312901</v>
      </c>
      <c r="AM146" s="133" t="str" cm="1">
        <f t="array" ref="AM146">IF(ROWS($AN$2:$AN145)&lt;=$AN$2,INDEX($V$3:$V$3000,_xlfn.AGGREGATE(15,3,($B$3:$B$3000=$AM$2)/($B$3:$B$3000=$AM$2)*(ROW($B$3:$B$3000)-ROW($B$2)),ROWS($AN$2:$AN145))),"")</f>
        <v/>
      </c>
      <c r="AN146" s="134" t="str" cm="1">
        <f t="array" ref="AN146">IF(ROWS($AN$2:$AN145)&lt;=$AN$2,INDEX($F$3:$F$3000,_xlfn.AGGREGATE(15,3,($B$3:$B$3000=$AM$2)/($B$3:$B$3000=$AM$2)*(ROW($B$3:$B$3000)-ROW($B$2)),ROWS($AN$2:$AN145))),"")</f>
        <v/>
      </c>
      <c r="AO146" s="135" t="str" cm="1">
        <f t="array" ref="AO146">IF(ROWS($AN$2:$AN145)&lt;=$AN$2,INDEX($G$3:$G$3000,_xlfn.AGGREGATE(15,3,($B$3:$B$3000=$AM$2)/($B$3:$B$3000=$AM$2)*(ROW($B$3:$B$3000)-ROW($B$2)),ROWS($AN$2:$AN145))),"")</f>
        <v/>
      </c>
      <c r="AP146" s="121"/>
      <c r="AT146" s="111"/>
      <c r="AV146" s="133" t="str" cm="1">
        <f t="array" ref="AV146">IF(ROWS($AW$2:$AW145)&lt;=$AW$2,INDEX($AM$3:$AM$792,_xlfn.AGGREGATE(15,3,($AM$3:$AM$792='Planning Template'!$F$45)/($AM$3:$AM$792='Planning Template'!$F$45)*(ROW($AM$3:$AM$792)-ROW($AM$2)),ROWS($AW$2:$AW145))),"")</f>
        <v/>
      </c>
      <c r="AW146" s="134" t="str" cm="1">
        <f t="array" ref="AW146">IF(ROWS($AU$3:$AU146)&lt;=$AW$2,INDEX($AN$3:$AN$792,_xlfn.AGGREGATE(15,3,($AM$3:$AM$792='Planning Template'!$F$45)/($AM$3:$AM$792='Planning Template'!$F$45)*(ROW($AM$3:$AM$792)-ROW($AM$2)),ROWS($AU$3:$AU146))),"")</f>
        <v/>
      </c>
      <c r="AX146" s="135" t="str">
        <f>IF(AW146="","",SUMIFS(TableSSDPeopleGroups[Population], TableSSDPeopleGroups[Ctry],'Planning Template'!$F$30,TableSSDPeopleGroups[PrimaryReligion],'Planning Template'!$F$301,TableSSDPeopleGroups[PeopleCluster],'Planning Template'!$F$45,TableSSDPeopleGroups[PeopNameInCountry],$AW146))</f>
        <v/>
      </c>
      <c r="AY146" s="234" t="str">
        <f t="shared" si="11"/>
        <v/>
      </c>
    </row>
    <row r="147" spans="1:51" s="110" customFormat="1" ht="20" customHeight="1">
      <c r="A147" s="125" t="s">
        <v>224</v>
      </c>
      <c r="B147" s="126" t="s">
        <v>68</v>
      </c>
      <c r="C147" s="127">
        <v>21431</v>
      </c>
      <c r="D147" s="163">
        <v>118244</v>
      </c>
      <c r="E147" s="164" t="s">
        <v>3522</v>
      </c>
      <c r="F147" s="164" t="s">
        <v>3522</v>
      </c>
      <c r="G147" s="165">
        <v>8700</v>
      </c>
      <c r="H147" s="165">
        <v>1</v>
      </c>
      <c r="I147" s="164" t="s">
        <v>187</v>
      </c>
      <c r="J147" s="164" t="s">
        <v>2407</v>
      </c>
      <c r="K147" s="164" t="s">
        <v>2408</v>
      </c>
      <c r="L147" s="165">
        <v>5</v>
      </c>
      <c r="M147" s="165">
        <v>2</v>
      </c>
      <c r="N147" s="164" t="s">
        <v>1718</v>
      </c>
      <c r="O147" s="165">
        <v>3.512</v>
      </c>
      <c r="P147" s="168"/>
      <c r="Q147" s="165">
        <v>21</v>
      </c>
      <c r="R147" s="164" t="s">
        <v>200</v>
      </c>
      <c r="S147" s="164" t="s">
        <v>201</v>
      </c>
      <c r="T147" s="165">
        <v>402</v>
      </c>
      <c r="U147" s="164" t="s">
        <v>200</v>
      </c>
      <c r="V147" s="164" t="s">
        <v>1968</v>
      </c>
      <c r="W147" s="165">
        <v>1</v>
      </c>
      <c r="X147" s="165">
        <v>4</v>
      </c>
      <c r="Y147" s="164" t="s">
        <v>203</v>
      </c>
      <c r="Z147" s="164" t="s">
        <v>195</v>
      </c>
      <c r="AA147" s="164" t="s">
        <v>196</v>
      </c>
      <c r="AB147" s="164" t="s">
        <v>187</v>
      </c>
      <c r="AC147" s="164" t="s">
        <v>187</v>
      </c>
      <c r="AD147" s="165">
        <v>1</v>
      </c>
      <c r="AE147" s="164" t="s">
        <v>209</v>
      </c>
      <c r="AF147" s="165">
        <v>7.1254674581338602</v>
      </c>
      <c r="AG147" s="166">
        <v>80.009134998988898</v>
      </c>
      <c r="AM147" s="133" t="str" cm="1">
        <f t="array" ref="AM147">IF(ROWS($AN$2:$AN146)&lt;=$AN$2,INDEX($V$3:$V$3000,_xlfn.AGGREGATE(15,3,($B$3:$B$3000=$AM$2)/($B$3:$B$3000=$AM$2)*(ROW($B$3:$B$3000)-ROW($B$2)),ROWS($AN$2:$AN146))),"")</f>
        <v/>
      </c>
      <c r="AN147" s="134" t="str" cm="1">
        <f t="array" ref="AN147">IF(ROWS($AN$2:$AN146)&lt;=$AN$2,INDEX($F$3:$F$3000,_xlfn.AGGREGATE(15,3,($B$3:$B$3000=$AM$2)/($B$3:$B$3000=$AM$2)*(ROW($B$3:$B$3000)-ROW($B$2)),ROWS($AN$2:$AN146))),"")</f>
        <v/>
      </c>
      <c r="AO147" s="135" t="str" cm="1">
        <f t="array" ref="AO147">IF(ROWS($AN$2:$AN146)&lt;=$AN$2,INDEX($G$3:$G$3000,_xlfn.AGGREGATE(15,3,($B$3:$B$3000=$AM$2)/($B$3:$B$3000=$AM$2)*(ROW($B$3:$B$3000)-ROW($B$2)),ROWS($AN$2:$AN146))),"")</f>
        <v/>
      </c>
      <c r="AP147" s="121"/>
      <c r="AT147" s="111"/>
      <c r="AV147" s="133" t="str" cm="1">
        <f t="array" ref="AV147">IF(ROWS($AW$2:$AW146)&lt;=$AW$2,INDEX($AM$3:$AM$792,_xlfn.AGGREGATE(15,3,($AM$3:$AM$792='Planning Template'!$F$45)/($AM$3:$AM$792='Planning Template'!$F$45)*(ROW($AM$3:$AM$792)-ROW($AM$2)),ROWS($AW$2:$AW146))),"")</f>
        <v/>
      </c>
      <c r="AW147" s="134" t="str" cm="1">
        <f t="array" ref="AW147">IF(ROWS($AU$3:$AU147)&lt;=$AW$2,INDEX($AN$3:$AN$792,_xlfn.AGGREGATE(15,3,($AM$3:$AM$792='Planning Template'!$F$45)/($AM$3:$AM$792='Planning Template'!$F$45)*(ROW($AM$3:$AM$792)-ROW($AM$2)),ROWS($AU$3:$AU147))),"")</f>
        <v/>
      </c>
      <c r="AX147" s="135" t="str">
        <f>IF(AW147="","",SUMIFS(TableSSDPeopleGroups[Population], TableSSDPeopleGroups[Ctry],'Planning Template'!$F$30,TableSSDPeopleGroups[PrimaryReligion],'Planning Template'!$F$301,TableSSDPeopleGroups[PeopleCluster],'Planning Template'!$F$45,TableSSDPeopleGroups[PeopNameInCountry],$AW147))</f>
        <v/>
      </c>
      <c r="AY147" s="234" t="str">
        <f t="shared" si="11"/>
        <v/>
      </c>
    </row>
    <row r="148" spans="1:51" s="110" customFormat="1" ht="20" customHeight="1">
      <c r="A148" s="125" t="s">
        <v>224</v>
      </c>
      <c r="B148" s="126" t="s">
        <v>68</v>
      </c>
      <c r="C148" s="127">
        <v>21392</v>
      </c>
      <c r="D148" s="163">
        <v>118199</v>
      </c>
      <c r="E148" s="164" t="s">
        <v>3399</v>
      </c>
      <c r="F148" s="164" t="s">
        <v>3399</v>
      </c>
      <c r="G148" s="165">
        <v>6800</v>
      </c>
      <c r="H148" s="165">
        <v>1</v>
      </c>
      <c r="I148" s="164" t="s">
        <v>187</v>
      </c>
      <c r="J148" s="164" t="s">
        <v>2407</v>
      </c>
      <c r="K148" s="164" t="s">
        <v>2408</v>
      </c>
      <c r="L148" s="165">
        <v>5</v>
      </c>
      <c r="M148" s="165">
        <v>2</v>
      </c>
      <c r="N148" s="164" t="s">
        <v>1718</v>
      </c>
      <c r="O148" s="165">
        <v>1.722</v>
      </c>
      <c r="P148" s="168"/>
      <c r="Q148" s="165">
        <v>21</v>
      </c>
      <c r="R148" s="164" t="s">
        <v>200</v>
      </c>
      <c r="S148" s="164" t="s">
        <v>201</v>
      </c>
      <c r="T148" s="165">
        <v>402</v>
      </c>
      <c r="U148" s="164" t="s">
        <v>200</v>
      </c>
      <c r="V148" s="164" t="s">
        <v>1968</v>
      </c>
      <c r="W148" s="165">
        <v>1</v>
      </c>
      <c r="X148" s="165">
        <v>4</v>
      </c>
      <c r="Y148" s="164" t="s">
        <v>203</v>
      </c>
      <c r="Z148" s="164" t="s">
        <v>195</v>
      </c>
      <c r="AA148" s="164" t="s">
        <v>196</v>
      </c>
      <c r="AB148" s="164" t="s">
        <v>187</v>
      </c>
      <c r="AC148" s="164" t="s">
        <v>187</v>
      </c>
      <c r="AD148" s="165">
        <v>1</v>
      </c>
      <c r="AE148" s="164" t="s">
        <v>209</v>
      </c>
      <c r="AF148" s="165">
        <v>7.1846398708149204</v>
      </c>
      <c r="AG148" s="166">
        <v>80.678946935978303</v>
      </c>
      <c r="AM148" s="133" t="str" cm="1">
        <f t="array" ref="AM148">IF(ROWS($AN$2:$AN147)&lt;=$AN$2,INDEX($V$3:$V$3000,_xlfn.AGGREGATE(15,3,($B$3:$B$3000=$AM$2)/($B$3:$B$3000=$AM$2)*(ROW($B$3:$B$3000)-ROW($B$2)),ROWS($AN$2:$AN147))),"")</f>
        <v/>
      </c>
      <c r="AN148" s="134" t="str" cm="1">
        <f t="array" ref="AN148">IF(ROWS($AN$2:$AN147)&lt;=$AN$2,INDEX($F$3:$F$3000,_xlfn.AGGREGATE(15,3,($B$3:$B$3000=$AM$2)/($B$3:$B$3000=$AM$2)*(ROW($B$3:$B$3000)-ROW($B$2)),ROWS($AN$2:$AN147))),"")</f>
        <v/>
      </c>
      <c r="AO148" s="135" t="str" cm="1">
        <f t="array" ref="AO148">IF(ROWS($AN$2:$AN147)&lt;=$AN$2,INDEX($G$3:$G$3000,_xlfn.AGGREGATE(15,3,($B$3:$B$3000=$AM$2)/($B$3:$B$3000=$AM$2)*(ROW($B$3:$B$3000)-ROW($B$2)),ROWS($AN$2:$AN147))),"")</f>
        <v/>
      </c>
      <c r="AP148" s="121"/>
      <c r="AT148" s="111"/>
      <c r="AV148" s="133" t="str" cm="1">
        <f t="array" ref="AV148">IF(ROWS($AW$2:$AW147)&lt;=$AW$2,INDEX($AM$3:$AM$792,_xlfn.AGGREGATE(15,3,($AM$3:$AM$792='Planning Template'!$F$45)/($AM$3:$AM$792='Planning Template'!$F$45)*(ROW($AM$3:$AM$792)-ROW($AM$2)),ROWS($AW$2:$AW147))),"")</f>
        <v/>
      </c>
      <c r="AW148" s="134" t="str" cm="1">
        <f t="array" ref="AW148">IF(ROWS($AU$3:$AU148)&lt;=$AW$2,INDEX($AN$3:$AN$792,_xlfn.AGGREGATE(15,3,($AM$3:$AM$792='Planning Template'!$F$45)/($AM$3:$AM$792='Planning Template'!$F$45)*(ROW($AM$3:$AM$792)-ROW($AM$2)),ROWS($AU$3:$AU148))),"")</f>
        <v/>
      </c>
      <c r="AX148" s="135" t="str">
        <f>IF(AW148="","",SUMIFS(TableSSDPeopleGroups[Population], TableSSDPeopleGroups[Ctry],'Planning Template'!$F$30,TableSSDPeopleGroups[PrimaryReligion],'Planning Template'!$F$301,TableSSDPeopleGroups[PeopleCluster],'Planning Template'!$F$45,TableSSDPeopleGroups[PeopNameInCountry],$AW148))</f>
        <v/>
      </c>
      <c r="AY148" s="234" t="str">
        <f t="shared" si="11"/>
        <v/>
      </c>
    </row>
    <row r="149" spans="1:51" s="110" customFormat="1" ht="20" customHeight="1">
      <c r="A149" s="125" t="s">
        <v>224</v>
      </c>
      <c r="B149" s="126" t="s">
        <v>68</v>
      </c>
      <c r="C149" s="127">
        <v>21404</v>
      </c>
      <c r="D149" s="163">
        <v>118211</v>
      </c>
      <c r="E149" s="164" t="s">
        <v>3239</v>
      </c>
      <c r="F149" s="164" t="s">
        <v>3239</v>
      </c>
      <c r="G149" s="165">
        <v>5300</v>
      </c>
      <c r="H149" s="165">
        <v>1</v>
      </c>
      <c r="I149" s="164" t="s">
        <v>187</v>
      </c>
      <c r="J149" s="164" t="s">
        <v>2407</v>
      </c>
      <c r="K149" s="164" t="s">
        <v>2408</v>
      </c>
      <c r="L149" s="165">
        <v>5</v>
      </c>
      <c r="M149" s="165">
        <v>2</v>
      </c>
      <c r="N149" s="164" t="s">
        <v>1718</v>
      </c>
      <c r="O149" s="165">
        <v>0</v>
      </c>
      <c r="P149" s="165">
        <v>0</v>
      </c>
      <c r="Q149" s="165">
        <v>21</v>
      </c>
      <c r="R149" s="164" t="s">
        <v>200</v>
      </c>
      <c r="S149" s="164" t="s">
        <v>201</v>
      </c>
      <c r="T149" s="165">
        <v>402</v>
      </c>
      <c r="U149" s="164" t="s">
        <v>200</v>
      </c>
      <c r="V149" s="164" t="s">
        <v>1968</v>
      </c>
      <c r="W149" s="165">
        <v>1</v>
      </c>
      <c r="X149" s="165">
        <v>4</v>
      </c>
      <c r="Y149" s="164" t="s">
        <v>203</v>
      </c>
      <c r="Z149" s="164" t="s">
        <v>195</v>
      </c>
      <c r="AA149" s="164" t="s">
        <v>196</v>
      </c>
      <c r="AB149" s="164" t="s">
        <v>187</v>
      </c>
      <c r="AC149" s="164" t="s">
        <v>187</v>
      </c>
      <c r="AD149" s="165">
        <v>1</v>
      </c>
      <c r="AE149" s="164" t="s">
        <v>187</v>
      </c>
      <c r="AF149" s="165">
        <v>6.5793797070756099</v>
      </c>
      <c r="AG149" s="166">
        <v>80.565683318222597</v>
      </c>
      <c r="AM149" s="133" t="str" cm="1">
        <f t="array" ref="AM149">IF(ROWS($AN$2:$AN148)&lt;=$AN$2,INDEX($V$3:$V$3000,_xlfn.AGGREGATE(15,3,($B$3:$B$3000=$AM$2)/($B$3:$B$3000=$AM$2)*(ROW($B$3:$B$3000)-ROW($B$2)),ROWS($AN$2:$AN148))),"")</f>
        <v/>
      </c>
      <c r="AN149" s="134" t="str" cm="1">
        <f t="array" ref="AN149">IF(ROWS($AN$2:$AN148)&lt;=$AN$2,INDEX($F$3:$F$3000,_xlfn.AGGREGATE(15,3,($B$3:$B$3000=$AM$2)/($B$3:$B$3000=$AM$2)*(ROW($B$3:$B$3000)-ROW($B$2)),ROWS($AN$2:$AN148))),"")</f>
        <v/>
      </c>
      <c r="AO149" s="135" t="str" cm="1">
        <f t="array" ref="AO149">IF(ROWS($AN$2:$AN148)&lt;=$AN$2,INDEX($G$3:$G$3000,_xlfn.AGGREGATE(15,3,($B$3:$B$3000=$AM$2)/($B$3:$B$3000=$AM$2)*(ROW($B$3:$B$3000)-ROW($B$2)),ROWS($AN$2:$AN148))),"")</f>
        <v/>
      </c>
      <c r="AP149" s="121"/>
      <c r="AT149" s="111"/>
      <c r="AV149" s="133" t="str" cm="1">
        <f t="array" ref="AV149">IF(ROWS($AW$2:$AW148)&lt;=$AW$2,INDEX($AM$3:$AM$792,_xlfn.AGGREGATE(15,3,($AM$3:$AM$792='Planning Template'!$F$45)/($AM$3:$AM$792='Planning Template'!$F$45)*(ROW($AM$3:$AM$792)-ROW($AM$2)),ROWS($AW$2:$AW148))),"")</f>
        <v/>
      </c>
      <c r="AW149" s="134" t="str" cm="1">
        <f t="array" ref="AW149">IF(ROWS($AU$3:$AU149)&lt;=$AW$2,INDEX($AN$3:$AN$792,_xlfn.AGGREGATE(15,3,($AM$3:$AM$792='Planning Template'!$F$45)/($AM$3:$AM$792='Planning Template'!$F$45)*(ROW($AM$3:$AM$792)-ROW($AM$2)),ROWS($AU$3:$AU149))),"")</f>
        <v/>
      </c>
      <c r="AX149" s="135" t="str">
        <f>IF(AW149="","",SUMIFS(TableSSDPeopleGroups[Population], TableSSDPeopleGroups[Ctry],'Planning Template'!$F$30,TableSSDPeopleGroups[PrimaryReligion],'Planning Template'!$F$301,TableSSDPeopleGroups[PeopleCluster],'Planning Template'!$F$45,TableSSDPeopleGroups[PeopNameInCountry],$AW149))</f>
        <v/>
      </c>
      <c r="AY149" s="234" t="str">
        <f t="shared" si="11"/>
        <v/>
      </c>
    </row>
    <row r="150" spans="1:51" s="110" customFormat="1" ht="20" customHeight="1">
      <c r="A150" s="125" t="s">
        <v>224</v>
      </c>
      <c r="B150" s="126" t="s">
        <v>68</v>
      </c>
      <c r="C150" s="127">
        <v>21414</v>
      </c>
      <c r="D150" s="163">
        <v>118220</v>
      </c>
      <c r="E150" s="164" t="s">
        <v>2680</v>
      </c>
      <c r="F150" s="164" t="s">
        <v>2680</v>
      </c>
      <c r="G150" s="165">
        <v>1900</v>
      </c>
      <c r="H150" s="165">
        <v>1</v>
      </c>
      <c r="I150" s="164" t="s">
        <v>187</v>
      </c>
      <c r="J150" s="164" t="s">
        <v>2407</v>
      </c>
      <c r="K150" s="164" t="s">
        <v>2408</v>
      </c>
      <c r="L150" s="165">
        <v>5</v>
      </c>
      <c r="M150" s="165">
        <v>2</v>
      </c>
      <c r="N150" s="164" t="s">
        <v>1718</v>
      </c>
      <c r="O150" s="165">
        <v>0</v>
      </c>
      <c r="P150" s="165">
        <v>0</v>
      </c>
      <c r="Q150" s="165">
        <v>21</v>
      </c>
      <c r="R150" s="164" t="s">
        <v>200</v>
      </c>
      <c r="S150" s="164" t="s">
        <v>201</v>
      </c>
      <c r="T150" s="165">
        <v>402</v>
      </c>
      <c r="U150" s="164" t="s">
        <v>200</v>
      </c>
      <c r="V150" s="164" t="s">
        <v>1968</v>
      </c>
      <c r="W150" s="165">
        <v>1</v>
      </c>
      <c r="X150" s="165">
        <v>4</v>
      </c>
      <c r="Y150" s="164" t="s">
        <v>203</v>
      </c>
      <c r="Z150" s="164" t="s">
        <v>195</v>
      </c>
      <c r="AA150" s="164" t="s">
        <v>196</v>
      </c>
      <c r="AB150" s="164" t="s">
        <v>187</v>
      </c>
      <c r="AC150" s="164" t="s">
        <v>187</v>
      </c>
      <c r="AD150" s="165">
        <v>1</v>
      </c>
      <c r="AE150" s="164" t="s">
        <v>187</v>
      </c>
      <c r="AF150" s="165">
        <v>6.5793718552998302</v>
      </c>
      <c r="AG150" s="166">
        <v>80.565572392513602</v>
      </c>
      <c r="AM150" s="133" t="str" cm="1">
        <f t="array" ref="AM150">IF(ROWS($AN$2:$AN149)&lt;=$AN$2,INDEX($V$3:$V$3000,_xlfn.AGGREGATE(15,3,($B$3:$B$3000=$AM$2)/($B$3:$B$3000=$AM$2)*(ROW($B$3:$B$3000)-ROW($B$2)),ROWS($AN$2:$AN149))),"")</f>
        <v/>
      </c>
      <c r="AN150" s="134" t="str" cm="1">
        <f t="array" ref="AN150">IF(ROWS($AN$2:$AN149)&lt;=$AN$2,INDEX($F$3:$F$3000,_xlfn.AGGREGATE(15,3,($B$3:$B$3000=$AM$2)/($B$3:$B$3000=$AM$2)*(ROW($B$3:$B$3000)-ROW($B$2)),ROWS($AN$2:$AN149))),"")</f>
        <v/>
      </c>
      <c r="AO150" s="135" t="str" cm="1">
        <f t="array" ref="AO150">IF(ROWS($AN$2:$AN149)&lt;=$AN$2,INDEX($G$3:$G$3000,_xlfn.AGGREGATE(15,3,($B$3:$B$3000=$AM$2)/($B$3:$B$3000=$AM$2)*(ROW($B$3:$B$3000)-ROW($B$2)),ROWS($AN$2:$AN149))),"")</f>
        <v/>
      </c>
      <c r="AP150" s="121"/>
      <c r="AT150" s="111"/>
      <c r="AV150" s="133" t="str" cm="1">
        <f t="array" ref="AV150">IF(ROWS($AW$2:$AW149)&lt;=$AW$2,INDEX($AM$3:$AM$792,_xlfn.AGGREGATE(15,3,($AM$3:$AM$792='Planning Template'!$F$45)/($AM$3:$AM$792='Planning Template'!$F$45)*(ROW($AM$3:$AM$792)-ROW($AM$2)),ROWS($AW$2:$AW149))),"")</f>
        <v/>
      </c>
      <c r="AW150" s="134" t="str" cm="1">
        <f t="array" ref="AW150">IF(ROWS($AU$3:$AU150)&lt;=$AW$2,INDEX($AN$3:$AN$792,_xlfn.AGGREGATE(15,3,($AM$3:$AM$792='Planning Template'!$F$45)/($AM$3:$AM$792='Planning Template'!$F$45)*(ROW($AM$3:$AM$792)-ROW($AM$2)),ROWS($AU$3:$AU150))),"")</f>
        <v/>
      </c>
      <c r="AX150" s="135" t="str">
        <f>IF(AW150="","",SUMIFS(TableSSDPeopleGroups[Population], TableSSDPeopleGroups[Ctry],'Planning Template'!$F$30,TableSSDPeopleGroups[PrimaryReligion],'Planning Template'!$F$301,TableSSDPeopleGroups[PeopleCluster],'Planning Template'!$F$45,TableSSDPeopleGroups[PeopNameInCountry],$AW150))</f>
        <v/>
      </c>
      <c r="AY150" s="234" t="str">
        <f t="shared" si="11"/>
        <v/>
      </c>
    </row>
    <row r="151" spans="1:51" s="110" customFormat="1" ht="20" customHeight="1">
      <c r="A151" s="125" t="s">
        <v>224</v>
      </c>
      <c r="B151" s="126" t="s">
        <v>68</v>
      </c>
      <c r="C151" s="127">
        <v>21402</v>
      </c>
      <c r="D151" s="163">
        <v>118209</v>
      </c>
      <c r="E151" s="164" t="s">
        <v>2632</v>
      </c>
      <c r="F151" s="164" t="s">
        <v>2632</v>
      </c>
      <c r="G151" s="165">
        <v>1700</v>
      </c>
      <c r="H151" s="165">
        <v>1</v>
      </c>
      <c r="I151" s="164" t="s">
        <v>187</v>
      </c>
      <c r="J151" s="164" t="s">
        <v>2407</v>
      </c>
      <c r="K151" s="164" t="s">
        <v>2408</v>
      </c>
      <c r="L151" s="165">
        <v>5</v>
      </c>
      <c r="M151" s="165">
        <v>2</v>
      </c>
      <c r="N151" s="164" t="s">
        <v>1718</v>
      </c>
      <c r="O151" s="165">
        <v>0</v>
      </c>
      <c r="P151" s="165">
        <v>0</v>
      </c>
      <c r="Q151" s="165">
        <v>21</v>
      </c>
      <c r="R151" s="164" t="s">
        <v>200</v>
      </c>
      <c r="S151" s="164" t="s">
        <v>201</v>
      </c>
      <c r="T151" s="165">
        <v>402</v>
      </c>
      <c r="U151" s="164" t="s">
        <v>200</v>
      </c>
      <c r="V151" s="164" t="s">
        <v>1968</v>
      </c>
      <c r="W151" s="165">
        <v>1</v>
      </c>
      <c r="X151" s="165">
        <v>4</v>
      </c>
      <c r="Y151" s="164" t="s">
        <v>203</v>
      </c>
      <c r="Z151" s="164" t="s">
        <v>195</v>
      </c>
      <c r="AA151" s="164" t="s">
        <v>196</v>
      </c>
      <c r="AB151" s="164" t="s">
        <v>187</v>
      </c>
      <c r="AC151" s="164" t="s">
        <v>187</v>
      </c>
      <c r="AD151" s="165">
        <v>1</v>
      </c>
      <c r="AE151" s="164" t="s">
        <v>187</v>
      </c>
      <c r="AF151" s="165">
        <v>7.1856026742638202</v>
      </c>
      <c r="AG151" s="166">
        <v>80.678332713049102</v>
      </c>
      <c r="AM151" s="133" t="str" cm="1">
        <f t="array" ref="AM151">IF(ROWS($AN$2:$AN150)&lt;=$AN$2,INDEX($V$3:$V$3000,_xlfn.AGGREGATE(15,3,($B$3:$B$3000=$AM$2)/($B$3:$B$3000=$AM$2)*(ROW($B$3:$B$3000)-ROW($B$2)),ROWS($AN$2:$AN150))),"")</f>
        <v/>
      </c>
      <c r="AN151" s="134" t="str" cm="1">
        <f t="array" ref="AN151">IF(ROWS($AN$2:$AN150)&lt;=$AN$2,INDEX($F$3:$F$3000,_xlfn.AGGREGATE(15,3,($B$3:$B$3000=$AM$2)/($B$3:$B$3000=$AM$2)*(ROW($B$3:$B$3000)-ROW($B$2)),ROWS($AN$2:$AN150))),"")</f>
        <v/>
      </c>
      <c r="AO151" s="135" t="str" cm="1">
        <f t="array" ref="AO151">IF(ROWS($AN$2:$AN150)&lt;=$AN$2,INDEX($G$3:$G$3000,_xlfn.AGGREGATE(15,3,($B$3:$B$3000=$AM$2)/($B$3:$B$3000=$AM$2)*(ROW($B$3:$B$3000)-ROW($B$2)),ROWS($AN$2:$AN150))),"")</f>
        <v/>
      </c>
      <c r="AP151" s="121"/>
      <c r="AT151" s="111"/>
      <c r="AV151" s="133" t="str" cm="1">
        <f t="array" ref="AV151">IF(ROWS($AW$2:$AW150)&lt;=$AW$2,INDEX($AM$3:$AM$792,_xlfn.AGGREGATE(15,3,($AM$3:$AM$792='Planning Template'!$F$45)/($AM$3:$AM$792='Planning Template'!$F$45)*(ROW($AM$3:$AM$792)-ROW($AM$2)),ROWS($AW$2:$AW150))),"")</f>
        <v/>
      </c>
      <c r="AW151" s="134" t="str" cm="1">
        <f t="array" ref="AW151">IF(ROWS($AU$3:$AU151)&lt;=$AW$2,INDEX($AN$3:$AN$792,_xlfn.AGGREGATE(15,3,($AM$3:$AM$792='Planning Template'!$F$45)/($AM$3:$AM$792='Planning Template'!$F$45)*(ROW($AM$3:$AM$792)-ROW($AM$2)),ROWS($AU$3:$AU151))),"")</f>
        <v/>
      </c>
      <c r="AX151" s="135" t="str">
        <f>IF(AW151="","",SUMIFS(TableSSDPeopleGroups[Population], TableSSDPeopleGroups[Ctry],'Planning Template'!$F$30,TableSSDPeopleGroups[PrimaryReligion],'Planning Template'!$F$301,TableSSDPeopleGroups[PeopleCluster],'Planning Template'!$F$45,TableSSDPeopleGroups[PeopNameInCountry],$AW151))</f>
        <v/>
      </c>
      <c r="AY151" s="234" t="str">
        <f t="shared" si="11"/>
        <v/>
      </c>
    </row>
    <row r="152" spans="1:51" s="110" customFormat="1" ht="20" customHeight="1">
      <c r="A152" s="125" t="s">
        <v>224</v>
      </c>
      <c r="B152" s="126" t="s">
        <v>68</v>
      </c>
      <c r="C152" s="127">
        <v>21434</v>
      </c>
      <c r="D152" s="163">
        <v>118248</v>
      </c>
      <c r="E152" s="164" t="s">
        <v>2633</v>
      </c>
      <c r="F152" s="164" t="s">
        <v>2633</v>
      </c>
      <c r="G152" s="165">
        <v>1700</v>
      </c>
      <c r="H152" s="165">
        <v>1</v>
      </c>
      <c r="I152" s="164" t="s">
        <v>187</v>
      </c>
      <c r="J152" s="164" t="s">
        <v>2407</v>
      </c>
      <c r="K152" s="164" t="s">
        <v>2408</v>
      </c>
      <c r="L152" s="165">
        <v>5</v>
      </c>
      <c r="M152" s="165">
        <v>2</v>
      </c>
      <c r="N152" s="164" t="s">
        <v>1718</v>
      </c>
      <c r="O152" s="165">
        <v>0</v>
      </c>
      <c r="P152" s="165">
        <v>0</v>
      </c>
      <c r="Q152" s="165">
        <v>21</v>
      </c>
      <c r="R152" s="164" t="s">
        <v>200</v>
      </c>
      <c r="S152" s="164" t="s">
        <v>201</v>
      </c>
      <c r="T152" s="165">
        <v>402</v>
      </c>
      <c r="U152" s="164" t="s">
        <v>200</v>
      </c>
      <c r="V152" s="164" t="s">
        <v>1968</v>
      </c>
      <c r="W152" s="165">
        <v>1</v>
      </c>
      <c r="X152" s="165">
        <v>4</v>
      </c>
      <c r="Y152" s="164" t="s">
        <v>203</v>
      </c>
      <c r="Z152" s="164" t="s">
        <v>195</v>
      </c>
      <c r="AA152" s="164" t="s">
        <v>196</v>
      </c>
      <c r="AB152" s="164" t="s">
        <v>187</v>
      </c>
      <c r="AC152" s="164" t="s">
        <v>187</v>
      </c>
      <c r="AD152" s="165">
        <v>1</v>
      </c>
      <c r="AE152" s="164" t="s">
        <v>187</v>
      </c>
      <c r="AF152" s="165">
        <v>7.1853118157529297</v>
      </c>
      <c r="AG152" s="166">
        <v>80.678346686795706</v>
      </c>
      <c r="AM152" s="133" t="str" cm="1">
        <f t="array" ref="AM152">IF(ROWS($AN$2:$AN151)&lt;=$AN$2,INDEX($V$3:$V$3000,_xlfn.AGGREGATE(15,3,($B$3:$B$3000=$AM$2)/($B$3:$B$3000=$AM$2)*(ROW($B$3:$B$3000)-ROW($B$2)),ROWS($AN$2:$AN151))),"")</f>
        <v/>
      </c>
      <c r="AN152" s="134" t="str" cm="1">
        <f t="array" ref="AN152">IF(ROWS($AN$2:$AN151)&lt;=$AN$2,INDEX($F$3:$F$3000,_xlfn.AGGREGATE(15,3,($B$3:$B$3000=$AM$2)/($B$3:$B$3000=$AM$2)*(ROW($B$3:$B$3000)-ROW($B$2)),ROWS($AN$2:$AN151))),"")</f>
        <v/>
      </c>
      <c r="AO152" s="135" t="str" cm="1">
        <f t="array" ref="AO152">IF(ROWS($AN$2:$AN151)&lt;=$AN$2,INDEX($G$3:$G$3000,_xlfn.AGGREGATE(15,3,($B$3:$B$3000=$AM$2)/($B$3:$B$3000=$AM$2)*(ROW($B$3:$B$3000)-ROW($B$2)),ROWS($AN$2:$AN151))),"")</f>
        <v/>
      </c>
      <c r="AP152" s="121"/>
      <c r="AT152" s="111"/>
      <c r="AV152" s="133" t="str" cm="1">
        <f t="array" ref="AV152">IF(ROWS($AW$2:$AW151)&lt;=$AW$2,INDEX($AM$3:$AM$792,_xlfn.AGGREGATE(15,3,($AM$3:$AM$792='Planning Template'!$F$45)/($AM$3:$AM$792='Planning Template'!$F$45)*(ROW($AM$3:$AM$792)-ROW($AM$2)),ROWS($AW$2:$AW151))),"")</f>
        <v/>
      </c>
      <c r="AW152" s="134" t="str" cm="1">
        <f t="array" ref="AW152">IF(ROWS($AU$3:$AU152)&lt;=$AW$2,INDEX($AN$3:$AN$792,_xlfn.AGGREGATE(15,3,($AM$3:$AM$792='Planning Template'!$F$45)/($AM$3:$AM$792='Planning Template'!$F$45)*(ROW($AM$3:$AM$792)-ROW($AM$2)),ROWS($AU$3:$AU152))),"")</f>
        <v/>
      </c>
      <c r="AX152" s="135" t="str">
        <f>IF(AW152="","",SUMIFS(TableSSDPeopleGroups[Population], TableSSDPeopleGroups[Ctry],'Planning Template'!$F$30,TableSSDPeopleGroups[PrimaryReligion],'Planning Template'!$F$301,TableSSDPeopleGroups[PeopleCluster],'Planning Template'!$F$45,TableSSDPeopleGroups[PeopNameInCountry],$AW152))</f>
        <v/>
      </c>
      <c r="AY152" s="234" t="str">
        <f t="shared" si="11"/>
        <v/>
      </c>
    </row>
    <row r="153" spans="1:51" s="110" customFormat="1" ht="20" customHeight="1">
      <c r="A153" s="125" t="s">
        <v>224</v>
      </c>
      <c r="B153" s="126" t="s">
        <v>68</v>
      </c>
      <c r="C153" s="127">
        <v>21445</v>
      </c>
      <c r="D153" s="163">
        <v>118262</v>
      </c>
      <c r="E153" s="164" t="s">
        <v>2536</v>
      </c>
      <c r="F153" s="164" t="s">
        <v>2536</v>
      </c>
      <c r="G153" s="165">
        <v>1500</v>
      </c>
      <c r="H153" s="165">
        <v>1</v>
      </c>
      <c r="I153" s="164" t="s">
        <v>187</v>
      </c>
      <c r="J153" s="164" t="s">
        <v>2407</v>
      </c>
      <c r="K153" s="164" t="s">
        <v>2408</v>
      </c>
      <c r="L153" s="165">
        <v>5</v>
      </c>
      <c r="M153" s="165">
        <v>2</v>
      </c>
      <c r="N153" s="164" t="s">
        <v>1718</v>
      </c>
      <c r="O153" s="165">
        <v>0</v>
      </c>
      <c r="P153" s="165">
        <v>0</v>
      </c>
      <c r="Q153" s="165">
        <v>21</v>
      </c>
      <c r="R153" s="164" t="s">
        <v>200</v>
      </c>
      <c r="S153" s="164" t="s">
        <v>201</v>
      </c>
      <c r="T153" s="165">
        <v>402</v>
      </c>
      <c r="U153" s="164" t="s">
        <v>200</v>
      </c>
      <c r="V153" s="164" t="s">
        <v>1968</v>
      </c>
      <c r="W153" s="165">
        <v>1</v>
      </c>
      <c r="X153" s="165">
        <v>4</v>
      </c>
      <c r="Y153" s="164" t="s">
        <v>203</v>
      </c>
      <c r="Z153" s="164" t="s">
        <v>195</v>
      </c>
      <c r="AA153" s="164" t="s">
        <v>196</v>
      </c>
      <c r="AB153" s="164" t="s">
        <v>187</v>
      </c>
      <c r="AC153" s="164" t="s">
        <v>187</v>
      </c>
      <c r="AD153" s="165">
        <v>1</v>
      </c>
      <c r="AE153" s="164" t="s">
        <v>187</v>
      </c>
      <c r="AF153" s="165">
        <v>6.2203866342041403</v>
      </c>
      <c r="AG153" s="166">
        <v>80.254703442555197</v>
      </c>
      <c r="AM153" s="133" t="str" cm="1">
        <f t="array" ref="AM153">IF(ROWS($AN$2:$AN152)&lt;=$AN$2,INDEX($V$3:$V$3000,_xlfn.AGGREGATE(15,3,($B$3:$B$3000=$AM$2)/($B$3:$B$3000=$AM$2)*(ROW($B$3:$B$3000)-ROW($B$2)),ROWS($AN$2:$AN152))),"")</f>
        <v/>
      </c>
      <c r="AN153" s="134" t="str" cm="1">
        <f t="array" ref="AN153">IF(ROWS($AN$2:$AN152)&lt;=$AN$2,INDEX($F$3:$F$3000,_xlfn.AGGREGATE(15,3,($B$3:$B$3000=$AM$2)/($B$3:$B$3000=$AM$2)*(ROW($B$3:$B$3000)-ROW($B$2)),ROWS($AN$2:$AN152))),"")</f>
        <v/>
      </c>
      <c r="AO153" s="135" t="str" cm="1">
        <f t="array" ref="AO153">IF(ROWS($AN$2:$AN152)&lt;=$AN$2,INDEX($G$3:$G$3000,_xlfn.AGGREGATE(15,3,($B$3:$B$3000=$AM$2)/($B$3:$B$3000=$AM$2)*(ROW($B$3:$B$3000)-ROW($B$2)),ROWS($AN$2:$AN152))),"")</f>
        <v/>
      </c>
      <c r="AP153" s="121"/>
      <c r="AT153" s="111"/>
      <c r="AV153" s="133" t="str" cm="1">
        <f t="array" ref="AV153">IF(ROWS($AW$2:$AW152)&lt;=$AW$2,INDEX($AM$3:$AM$792,_xlfn.AGGREGATE(15,3,($AM$3:$AM$792='Planning Template'!$F$45)/($AM$3:$AM$792='Planning Template'!$F$45)*(ROW($AM$3:$AM$792)-ROW($AM$2)),ROWS($AW$2:$AW152))),"")</f>
        <v/>
      </c>
      <c r="AW153" s="134" t="str" cm="1">
        <f t="array" ref="AW153">IF(ROWS($AU$3:$AU153)&lt;=$AW$2,INDEX($AN$3:$AN$792,_xlfn.AGGREGATE(15,3,($AM$3:$AM$792='Planning Template'!$F$45)/($AM$3:$AM$792='Planning Template'!$F$45)*(ROW($AM$3:$AM$792)-ROW($AM$2)),ROWS($AU$3:$AU153))),"")</f>
        <v/>
      </c>
      <c r="AX153" s="135" t="str">
        <f>IF(AW153="","",SUMIFS(TableSSDPeopleGroups[Population], TableSSDPeopleGroups[Ctry],'Planning Template'!$F$30,TableSSDPeopleGroups[PrimaryReligion],'Planning Template'!$F$301,TableSSDPeopleGroups[PeopleCluster],'Planning Template'!$F$45,TableSSDPeopleGroups[PeopNameInCountry],$AW153))</f>
        <v/>
      </c>
      <c r="AY153" s="234" t="str">
        <f t="shared" si="11"/>
        <v/>
      </c>
    </row>
    <row r="154" spans="1:51" s="110" customFormat="1" ht="20" customHeight="1">
      <c r="A154" s="125" t="s">
        <v>224</v>
      </c>
      <c r="B154" s="126" t="s">
        <v>68</v>
      </c>
      <c r="C154" s="127">
        <v>21449</v>
      </c>
      <c r="D154" s="163">
        <v>118266</v>
      </c>
      <c r="E154" s="164" t="s">
        <v>2443</v>
      </c>
      <c r="F154" s="164" t="s">
        <v>2443</v>
      </c>
      <c r="G154" s="165">
        <v>1200</v>
      </c>
      <c r="H154" s="165">
        <v>1</v>
      </c>
      <c r="I154" s="164" t="s">
        <v>187</v>
      </c>
      <c r="J154" s="164" t="s">
        <v>2407</v>
      </c>
      <c r="K154" s="164" t="s">
        <v>2408</v>
      </c>
      <c r="L154" s="165">
        <v>5</v>
      </c>
      <c r="M154" s="165">
        <v>2</v>
      </c>
      <c r="N154" s="164" t="s">
        <v>1718</v>
      </c>
      <c r="O154" s="165">
        <v>0</v>
      </c>
      <c r="P154" s="165">
        <v>0</v>
      </c>
      <c r="Q154" s="165">
        <v>21</v>
      </c>
      <c r="R154" s="164" t="s">
        <v>200</v>
      </c>
      <c r="S154" s="164" t="s">
        <v>201</v>
      </c>
      <c r="T154" s="165">
        <v>402</v>
      </c>
      <c r="U154" s="164" t="s">
        <v>200</v>
      </c>
      <c r="V154" s="164" t="s">
        <v>1968</v>
      </c>
      <c r="W154" s="165">
        <v>1</v>
      </c>
      <c r="X154" s="165">
        <v>4</v>
      </c>
      <c r="Y154" s="164" t="s">
        <v>203</v>
      </c>
      <c r="Z154" s="164" t="s">
        <v>195</v>
      </c>
      <c r="AA154" s="164" t="s">
        <v>196</v>
      </c>
      <c r="AB154" s="164" t="s">
        <v>187</v>
      </c>
      <c r="AC154" s="164" t="s">
        <v>187</v>
      </c>
      <c r="AD154" s="165">
        <v>1</v>
      </c>
      <c r="AE154" s="164" t="s">
        <v>187</v>
      </c>
      <c r="AF154" s="165">
        <v>7.6601302567609499</v>
      </c>
      <c r="AG154" s="166">
        <v>80.731629870710606</v>
      </c>
      <c r="AM154" s="133" t="str" cm="1">
        <f t="array" ref="AM154">IF(ROWS($AN$2:$AN153)&lt;=$AN$2,INDEX($V$3:$V$3000,_xlfn.AGGREGATE(15,3,($B$3:$B$3000=$AM$2)/($B$3:$B$3000=$AM$2)*(ROW($B$3:$B$3000)-ROW($B$2)),ROWS($AN$2:$AN153))),"")</f>
        <v/>
      </c>
      <c r="AN154" s="134" t="str" cm="1">
        <f t="array" ref="AN154">IF(ROWS($AN$2:$AN153)&lt;=$AN$2,INDEX($F$3:$F$3000,_xlfn.AGGREGATE(15,3,($B$3:$B$3000=$AM$2)/($B$3:$B$3000=$AM$2)*(ROW($B$3:$B$3000)-ROW($B$2)),ROWS($AN$2:$AN153))),"")</f>
        <v/>
      </c>
      <c r="AO154" s="135" t="str" cm="1">
        <f t="array" ref="AO154">IF(ROWS($AN$2:$AN153)&lt;=$AN$2,INDEX($G$3:$G$3000,_xlfn.AGGREGATE(15,3,($B$3:$B$3000=$AM$2)/($B$3:$B$3000=$AM$2)*(ROW($B$3:$B$3000)-ROW($B$2)),ROWS($AN$2:$AN153))),"")</f>
        <v/>
      </c>
      <c r="AP154" s="121"/>
      <c r="AT154" s="111"/>
      <c r="AV154" s="133" t="str" cm="1">
        <f t="array" ref="AV154">IF(ROWS($AW$2:$AW153)&lt;=$AW$2,INDEX($AM$3:$AM$792,_xlfn.AGGREGATE(15,3,($AM$3:$AM$792='Planning Template'!$F$45)/($AM$3:$AM$792='Planning Template'!$F$45)*(ROW($AM$3:$AM$792)-ROW($AM$2)),ROWS($AW$2:$AW153))),"")</f>
        <v/>
      </c>
      <c r="AW154" s="134" t="str" cm="1">
        <f t="array" ref="AW154">IF(ROWS($AU$3:$AU154)&lt;=$AW$2,INDEX($AN$3:$AN$792,_xlfn.AGGREGATE(15,3,($AM$3:$AM$792='Planning Template'!$F$45)/($AM$3:$AM$792='Planning Template'!$F$45)*(ROW($AM$3:$AM$792)-ROW($AM$2)),ROWS($AU$3:$AU154))),"")</f>
        <v/>
      </c>
      <c r="AX154" s="135" t="str">
        <f>IF(AW154="","",SUMIFS(TableSSDPeopleGroups[Population], TableSSDPeopleGroups[Ctry],'Planning Template'!$F$30,TableSSDPeopleGroups[PrimaryReligion],'Planning Template'!$F$301,TableSSDPeopleGroups[PeopleCluster],'Planning Template'!$F$45,TableSSDPeopleGroups[PeopNameInCountry],$AW154))</f>
        <v/>
      </c>
      <c r="AY154" s="234" t="str">
        <f t="shared" si="11"/>
        <v/>
      </c>
    </row>
    <row r="155" spans="1:51" s="110" customFormat="1" ht="20" customHeight="1">
      <c r="A155" s="125" t="s">
        <v>224</v>
      </c>
      <c r="B155" s="126" t="s">
        <v>68</v>
      </c>
      <c r="C155" s="127">
        <v>21451</v>
      </c>
      <c r="D155" s="157">
        <v>118268</v>
      </c>
      <c r="E155" s="158" t="s">
        <v>4902</v>
      </c>
      <c r="F155" s="158" t="s">
        <v>4902</v>
      </c>
      <c r="G155" s="159">
        <v>8095000</v>
      </c>
      <c r="H155" s="159">
        <v>2</v>
      </c>
      <c r="I155" s="158" t="s">
        <v>209</v>
      </c>
      <c r="J155" s="158" t="s">
        <v>2407</v>
      </c>
      <c r="K155" s="158" t="s">
        <v>2408</v>
      </c>
      <c r="L155" s="159">
        <v>5</v>
      </c>
      <c r="M155" s="159">
        <v>2</v>
      </c>
      <c r="N155" s="158" t="s">
        <v>1718</v>
      </c>
      <c r="O155" s="159">
        <v>7.01</v>
      </c>
      <c r="P155" s="160"/>
      <c r="Q155" s="159">
        <v>21</v>
      </c>
      <c r="R155" s="158" t="s">
        <v>200</v>
      </c>
      <c r="S155" s="158" t="s">
        <v>201</v>
      </c>
      <c r="T155" s="159">
        <v>402</v>
      </c>
      <c r="U155" s="158" t="s">
        <v>200</v>
      </c>
      <c r="V155" s="158" t="s">
        <v>1968</v>
      </c>
      <c r="W155" s="159">
        <v>1</v>
      </c>
      <c r="X155" s="159">
        <v>4</v>
      </c>
      <c r="Y155" s="158" t="s">
        <v>203</v>
      </c>
      <c r="Z155" s="158" t="s">
        <v>195</v>
      </c>
      <c r="AA155" s="158" t="s">
        <v>196</v>
      </c>
      <c r="AB155" s="158" t="s">
        <v>187</v>
      </c>
      <c r="AC155" s="158" t="s">
        <v>187</v>
      </c>
      <c r="AD155" s="160"/>
      <c r="AE155" s="158" t="s">
        <v>209</v>
      </c>
      <c r="AF155" s="159">
        <v>7.1255043395756896</v>
      </c>
      <c r="AG155" s="161">
        <v>80.0092105281268</v>
      </c>
      <c r="AM155" s="133" t="str" cm="1">
        <f t="array" ref="AM155">IF(ROWS($AN$2:$AN154)&lt;=$AN$2,INDEX($V$3:$V$3000,_xlfn.AGGREGATE(15,3,($B$3:$B$3000=$AM$2)/($B$3:$B$3000=$AM$2)*(ROW($B$3:$B$3000)-ROW($B$2)),ROWS($AN$2:$AN154))),"")</f>
        <v/>
      </c>
      <c r="AN155" s="134" t="str" cm="1">
        <f t="array" ref="AN155">IF(ROWS($AN$2:$AN154)&lt;=$AN$2,INDEX($F$3:$F$3000,_xlfn.AGGREGATE(15,3,($B$3:$B$3000=$AM$2)/($B$3:$B$3000=$AM$2)*(ROW($B$3:$B$3000)-ROW($B$2)),ROWS($AN$2:$AN154))),"")</f>
        <v/>
      </c>
      <c r="AO155" s="135" t="str" cm="1">
        <f t="array" ref="AO155">IF(ROWS($AN$2:$AN154)&lt;=$AN$2,INDEX($G$3:$G$3000,_xlfn.AGGREGATE(15,3,($B$3:$B$3000=$AM$2)/($B$3:$B$3000=$AM$2)*(ROW($B$3:$B$3000)-ROW($B$2)),ROWS($AN$2:$AN154))),"")</f>
        <v/>
      </c>
      <c r="AP155" s="121"/>
      <c r="AT155" s="111"/>
      <c r="AV155" s="133" t="str" cm="1">
        <f t="array" ref="AV155">IF(ROWS($AW$2:$AW154)&lt;=$AW$2,INDEX($AM$3:$AM$792,_xlfn.AGGREGATE(15,3,($AM$3:$AM$792='Planning Template'!$F$45)/($AM$3:$AM$792='Planning Template'!$F$45)*(ROW($AM$3:$AM$792)-ROW($AM$2)),ROWS($AW$2:$AW154))),"")</f>
        <v/>
      </c>
      <c r="AW155" s="134" t="str" cm="1">
        <f t="array" ref="AW155">IF(ROWS($AU$3:$AU155)&lt;=$AW$2,INDEX($AN$3:$AN$792,_xlfn.AGGREGATE(15,3,($AM$3:$AM$792='Planning Template'!$F$45)/($AM$3:$AM$792='Planning Template'!$F$45)*(ROW($AM$3:$AM$792)-ROW($AM$2)),ROWS($AU$3:$AU155))),"")</f>
        <v/>
      </c>
      <c r="AX155" s="135" t="str">
        <f>IF(AW155="","",SUMIFS(TableSSDPeopleGroups[Population], TableSSDPeopleGroups[Ctry],'Planning Template'!$F$30,TableSSDPeopleGroups[PrimaryReligion],'Planning Template'!$F$301,TableSSDPeopleGroups[PeopleCluster],'Planning Template'!$F$45,TableSSDPeopleGroups[PeopNameInCountry],$AW155))</f>
        <v/>
      </c>
      <c r="AY155" s="234" t="str">
        <f t="shared" si="11"/>
        <v/>
      </c>
    </row>
    <row r="156" spans="1:51" s="110" customFormat="1" ht="20" customHeight="1">
      <c r="A156" s="125" t="s">
        <v>224</v>
      </c>
      <c r="B156" s="126" t="s">
        <v>68</v>
      </c>
      <c r="C156" s="127">
        <v>21422</v>
      </c>
      <c r="D156" s="157">
        <v>118233</v>
      </c>
      <c r="E156" s="158" t="s">
        <v>4873</v>
      </c>
      <c r="F156" s="158" t="s">
        <v>4873</v>
      </c>
      <c r="G156" s="159">
        <v>1144000</v>
      </c>
      <c r="H156" s="159">
        <v>2</v>
      </c>
      <c r="I156" s="158" t="s">
        <v>209</v>
      </c>
      <c r="J156" s="158" t="s">
        <v>2407</v>
      </c>
      <c r="K156" s="158" t="s">
        <v>2408</v>
      </c>
      <c r="L156" s="159">
        <v>5</v>
      </c>
      <c r="M156" s="159">
        <v>2</v>
      </c>
      <c r="N156" s="158" t="s">
        <v>1718</v>
      </c>
      <c r="O156" s="159">
        <v>7.2830000000000004</v>
      </c>
      <c r="P156" s="160"/>
      <c r="Q156" s="159">
        <v>21</v>
      </c>
      <c r="R156" s="158" t="s">
        <v>200</v>
      </c>
      <c r="S156" s="158" t="s">
        <v>201</v>
      </c>
      <c r="T156" s="159">
        <v>402</v>
      </c>
      <c r="U156" s="158" t="s">
        <v>200</v>
      </c>
      <c r="V156" s="158" t="s">
        <v>1968</v>
      </c>
      <c r="W156" s="159">
        <v>1</v>
      </c>
      <c r="X156" s="159">
        <v>4</v>
      </c>
      <c r="Y156" s="158" t="s">
        <v>203</v>
      </c>
      <c r="Z156" s="158" t="s">
        <v>195</v>
      </c>
      <c r="AA156" s="158" t="s">
        <v>196</v>
      </c>
      <c r="AB156" s="158" t="s">
        <v>187</v>
      </c>
      <c r="AC156" s="158" t="s">
        <v>187</v>
      </c>
      <c r="AD156" s="160"/>
      <c r="AE156" s="158" t="s">
        <v>209</v>
      </c>
      <c r="AF156" s="159">
        <v>7.1255406701215103</v>
      </c>
      <c r="AG156" s="161">
        <v>80.009363878776</v>
      </c>
      <c r="AM156" s="133" t="str" cm="1">
        <f t="array" ref="AM156">IF(ROWS($AN$2:$AN155)&lt;=$AN$2,INDEX($V$3:$V$3000,_xlfn.AGGREGATE(15,3,($B$3:$B$3000=$AM$2)/($B$3:$B$3000=$AM$2)*(ROW($B$3:$B$3000)-ROW($B$2)),ROWS($AN$2:$AN155))),"")</f>
        <v/>
      </c>
      <c r="AN156" s="134" t="str" cm="1">
        <f t="array" ref="AN156">IF(ROWS($AN$2:$AN155)&lt;=$AN$2,INDEX($F$3:$F$3000,_xlfn.AGGREGATE(15,3,($B$3:$B$3000=$AM$2)/($B$3:$B$3000=$AM$2)*(ROW($B$3:$B$3000)-ROW($B$2)),ROWS($AN$2:$AN155))),"")</f>
        <v/>
      </c>
      <c r="AO156" s="135" t="str" cm="1">
        <f t="array" ref="AO156">IF(ROWS($AN$2:$AN155)&lt;=$AN$2,INDEX($G$3:$G$3000,_xlfn.AGGREGATE(15,3,($B$3:$B$3000=$AM$2)/($B$3:$B$3000=$AM$2)*(ROW($B$3:$B$3000)-ROW($B$2)),ROWS($AN$2:$AN155))),"")</f>
        <v/>
      </c>
      <c r="AP156" s="121"/>
      <c r="AT156" s="111"/>
      <c r="AV156" s="133" t="str" cm="1">
        <f t="array" ref="AV156">IF(ROWS($AW$2:$AW155)&lt;=$AW$2,INDEX($AM$3:$AM$792,_xlfn.AGGREGATE(15,3,($AM$3:$AM$792='Planning Template'!$F$45)/($AM$3:$AM$792='Planning Template'!$F$45)*(ROW($AM$3:$AM$792)-ROW($AM$2)),ROWS($AW$2:$AW155))),"")</f>
        <v/>
      </c>
      <c r="AW156" s="134" t="str" cm="1">
        <f t="array" ref="AW156">IF(ROWS($AU$3:$AU156)&lt;=$AW$2,INDEX($AN$3:$AN$792,_xlfn.AGGREGATE(15,3,($AM$3:$AM$792='Planning Template'!$F$45)/($AM$3:$AM$792='Planning Template'!$F$45)*(ROW($AM$3:$AM$792)-ROW($AM$2)),ROWS($AU$3:$AU156))),"")</f>
        <v/>
      </c>
      <c r="AX156" s="135" t="str">
        <f>IF(AW156="","",SUMIFS(TableSSDPeopleGroups[Population], TableSSDPeopleGroups[Ctry],'Planning Template'!$F$30,TableSSDPeopleGroups[PrimaryReligion],'Planning Template'!$F$301,TableSSDPeopleGroups[PeopleCluster],'Planning Template'!$F$45,TableSSDPeopleGroups[PeopNameInCountry],$AW156))</f>
        <v/>
      </c>
      <c r="AY156" s="234" t="str">
        <f t="shared" si="11"/>
        <v/>
      </c>
    </row>
    <row r="157" spans="1:51" s="110" customFormat="1" ht="20" customHeight="1">
      <c r="A157" s="125" t="s">
        <v>224</v>
      </c>
      <c r="B157" s="126" t="s">
        <v>68</v>
      </c>
      <c r="C157" s="127">
        <v>21411</v>
      </c>
      <c r="D157" s="157">
        <v>118217</v>
      </c>
      <c r="E157" s="158" t="s">
        <v>4864</v>
      </c>
      <c r="F157" s="158" t="s">
        <v>4864</v>
      </c>
      <c r="G157" s="159">
        <v>1063000</v>
      </c>
      <c r="H157" s="159">
        <v>2</v>
      </c>
      <c r="I157" s="158" t="s">
        <v>209</v>
      </c>
      <c r="J157" s="158" t="s">
        <v>2407</v>
      </c>
      <c r="K157" s="158" t="s">
        <v>2408</v>
      </c>
      <c r="L157" s="159">
        <v>5</v>
      </c>
      <c r="M157" s="159">
        <v>2</v>
      </c>
      <c r="N157" s="158" t="s">
        <v>1718</v>
      </c>
      <c r="O157" s="159">
        <v>7.4029999999999996</v>
      </c>
      <c r="P157" s="160"/>
      <c r="Q157" s="159">
        <v>21</v>
      </c>
      <c r="R157" s="158" t="s">
        <v>200</v>
      </c>
      <c r="S157" s="158" t="s">
        <v>201</v>
      </c>
      <c r="T157" s="159">
        <v>402</v>
      </c>
      <c r="U157" s="158" t="s">
        <v>200</v>
      </c>
      <c r="V157" s="158" t="s">
        <v>1968</v>
      </c>
      <c r="W157" s="159">
        <v>1</v>
      </c>
      <c r="X157" s="159">
        <v>4</v>
      </c>
      <c r="Y157" s="158" t="s">
        <v>203</v>
      </c>
      <c r="Z157" s="158" t="s">
        <v>195</v>
      </c>
      <c r="AA157" s="158" t="s">
        <v>196</v>
      </c>
      <c r="AB157" s="158" t="s">
        <v>187</v>
      </c>
      <c r="AC157" s="158" t="s">
        <v>187</v>
      </c>
      <c r="AD157" s="160"/>
      <c r="AE157" s="158" t="s">
        <v>209</v>
      </c>
      <c r="AF157" s="159">
        <v>6.8684558036028402</v>
      </c>
      <c r="AG157" s="161">
        <v>80.021735504274901</v>
      </c>
      <c r="AM157" s="133" t="str" cm="1">
        <f t="array" ref="AM157">IF(ROWS($AN$2:$AN156)&lt;=$AN$2,INDEX($V$3:$V$3000,_xlfn.AGGREGATE(15,3,($B$3:$B$3000=$AM$2)/($B$3:$B$3000=$AM$2)*(ROW($B$3:$B$3000)-ROW($B$2)),ROWS($AN$2:$AN156))),"")</f>
        <v/>
      </c>
      <c r="AN157" s="134" t="str" cm="1">
        <f t="array" ref="AN157">IF(ROWS($AN$2:$AN156)&lt;=$AN$2,INDEX($F$3:$F$3000,_xlfn.AGGREGATE(15,3,($B$3:$B$3000=$AM$2)/($B$3:$B$3000=$AM$2)*(ROW($B$3:$B$3000)-ROW($B$2)),ROWS($AN$2:$AN156))),"")</f>
        <v/>
      </c>
      <c r="AO157" s="135" t="str" cm="1">
        <f t="array" ref="AO157">IF(ROWS($AN$2:$AN156)&lt;=$AN$2,INDEX($G$3:$G$3000,_xlfn.AGGREGATE(15,3,($B$3:$B$3000=$AM$2)/($B$3:$B$3000=$AM$2)*(ROW($B$3:$B$3000)-ROW($B$2)),ROWS($AN$2:$AN156))),"")</f>
        <v/>
      </c>
      <c r="AP157" s="121"/>
      <c r="AT157" s="111"/>
      <c r="AV157" s="133" t="str" cm="1">
        <f t="array" ref="AV157">IF(ROWS($AW$2:$AW156)&lt;=$AW$2,INDEX($AM$3:$AM$792,_xlfn.AGGREGATE(15,3,($AM$3:$AM$792='Planning Template'!$F$45)/($AM$3:$AM$792='Planning Template'!$F$45)*(ROW($AM$3:$AM$792)-ROW($AM$2)),ROWS($AW$2:$AW156))),"")</f>
        <v/>
      </c>
      <c r="AW157" s="134" t="str" cm="1">
        <f t="array" ref="AW157">IF(ROWS($AU$3:$AU157)&lt;=$AW$2,INDEX($AN$3:$AN$792,_xlfn.AGGREGATE(15,3,($AM$3:$AM$792='Planning Template'!$F$45)/($AM$3:$AM$792='Planning Template'!$F$45)*(ROW($AM$3:$AM$792)-ROW($AM$2)),ROWS($AU$3:$AU157))),"")</f>
        <v/>
      </c>
      <c r="AX157" s="135" t="str">
        <f>IF(AW157="","",SUMIFS(TableSSDPeopleGroups[Population], TableSSDPeopleGroups[Ctry],'Planning Template'!$F$30,TableSSDPeopleGroups[PrimaryReligion],'Planning Template'!$F$301,TableSSDPeopleGroups[PeopleCluster],'Planning Template'!$F$45,TableSSDPeopleGroups[PeopNameInCountry],$AW157))</f>
        <v/>
      </c>
      <c r="AY157" s="234" t="str">
        <f t="shared" si="11"/>
        <v/>
      </c>
    </row>
    <row r="158" spans="1:51" s="110" customFormat="1" ht="20" customHeight="1">
      <c r="A158" s="125" t="s">
        <v>224</v>
      </c>
      <c r="B158" s="126" t="s">
        <v>68</v>
      </c>
      <c r="C158" s="127">
        <v>21397</v>
      </c>
      <c r="D158" s="157">
        <v>118204</v>
      </c>
      <c r="E158" s="158" t="s">
        <v>4838</v>
      </c>
      <c r="F158" s="158" t="s">
        <v>4838</v>
      </c>
      <c r="G158" s="159">
        <v>750000</v>
      </c>
      <c r="H158" s="159">
        <v>2</v>
      </c>
      <c r="I158" s="158" t="s">
        <v>209</v>
      </c>
      <c r="J158" s="158" t="s">
        <v>2407</v>
      </c>
      <c r="K158" s="158" t="s">
        <v>2408</v>
      </c>
      <c r="L158" s="159">
        <v>5</v>
      </c>
      <c r="M158" s="159">
        <v>2</v>
      </c>
      <c r="N158" s="158" t="s">
        <v>1718</v>
      </c>
      <c r="O158" s="159">
        <v>6.7409999999999997</v>
      </c>
      <c r="P158" s="160"/>
      <c r="Q158" s="159">
        <v>21</v>
      </c>
      <c r="R158" s="158" t="s">
        <v>200</v>
      </c>
      <c r="S158" s="158" t="s">
        <v>201</v>
      </c>
      <c r="T158" s="159">
        <v>402</v>
      </c>
      <c r="U158" s="158" t="s">
        <v>200</v>
      </c>
      <c r="V158" s="158" t="s">
        <v>1968</v>
      </c>
      <c r="W158" s="159">
        <v>1</v>
      </c>
      <c r="X158" s="159">
        <v>4</v>
      </c>
      <c r="Y158" s="158" t="s">
        <v>203</v>
      </c>
      <c r="Z158" s="158" t="s">
        <v>195</v>
      </c>
      <c r="AA158" s="158" t="s">
        <v>196</v>
      </c>
      <c r="AB158" s="158" t="s">
        <v>187</v>
      </c>
      <c r="AC158" s="158" t="s">
        <v>187</v>
      </c>
      <c r="AD158" s="160"/>
      <c r="AE158" s="158" t="s">
        <v>209</v>
      </c>
      <c r="AF158" s="159">
        <v>7.1250914258115996</v>
      </c>
      <c r="AG158" s="161">
        <v>80.009983762982799</v>
      </c>
      <c r="AM158" s="133" t="str" cm="1">
        <f t="array" ref="AM158">IF(ROWS($AN$2:$AN157)&lt;=$AN$2,INDEX($V$3:$V$3000,_xlfn.AGGREGATE(15,3,($B$3:$B$3000=$AM$2)/($B$3:$B$3000=$AM$2)*(ROW($B$3:$B$3000)-ROW($B$2)),ROWS($AN$2:$AN157))),"")</f>
        <v/>
      </c>
      <c r="AN158" s="134" t="str" cm="1">
        <f t="array" ref="AN158">IF(ROWS($AN$2:$AN157)&lt;=$AN$2,INDEX($F$3:$F$3000,_xlfn.AGGREGATE(15,3,($B$3:$B$3000=$AM$2)/($B$3:$B$3000=$AM$2)*(ROW($B$3:$B$3000)-ROW($B$2)),ROWS($AN$2:$AN157))),"")</f>
        <v/>
      </c>
      <c r="AO158" s="135" t="str" cm="1">
        <f t="array" ref="AO158">IF(ROWS($AN$2:$AN157)&lt;=$AN$2,INDEX($G$3:$G$3000,_xlfn.AGGREGATE(15,3,($B$3:$B$3000=$AM$2)/($B$3:$B$3000=$AM$2)*(ROW($B$3:$B$3000)-ROW($B$2)),ROWS($AN$2:$AN157))),"")</f>
        <v/>
      </c>
      <c r="AP158" s="121"/>
      <c r="AT158" s="111"/>
      <c r="AV158" s="133" t="str" cm="1">
        <f t="array" ref="AV158">IF(ROWS($AW$2:$AW157)&lt;=$AW$2,INDEX($AM$3:$AM$792,_xlfn.AGGREGATE(15,3,($AM$3:$AM$792='Planning Template'!$F$45)/($AM$3:$AM$792='Planning Template'!$F$45)*(ROW($AM$3:$AM$792)-ROW($AM$2)),ROWS($AW$2:$AW157))),"")</f>
        <v/>
      </c>
      <c r="AW158" s="134" t="str" cm="1">
        <f t="array" ref="AW158">IF(ROWS($AU$3:$AU158)&lt;=$AW$2,INDEX($AN$3:$AN$792,_xlfn.AGGREGATE(15,3,($AM$3:$AM$792='Planning Template'!$F$45)/($AM$3:$AM$792='Planning Template'!$F$45)*(ROW($AM$3:$AM$792)-ROW($AM$2)),ROWS($AU$3:$AU158))),"")</f>
        <v/>
      </c>
      <c r="AX158" s="135" t="str">
        <f>IF(AW158="","",SUMIFS(TableSSDPeopleGroups[Population], TableSSDPeopleGroups[Ctry],'Planning Template'!$F$30,TableSSDPeopleGroups[PrimaryReligion],'Planning Template'!$F$301,TableSSDPeopleGroups[PeopleCluster],'Planning Template'!$F$45,TableSSDPeopleGroups[PeopNameInCountry],$AW158))</f>
        <v/>
      </c>
      <c r="AY158" s="234" t="str">
        <f t="shared" si="11"/>
        <v/>
      </c>
    </row>
    <row r="159" spans="1:51" s="110" customFormat="1" ht="20" customHeight="1">
      <c r="A159" s="125" t="s">
        <v>224</v>
      </c>
      <c r="B159" s="126" t="s">
        <v>68</v>
      </c>
      <c r="C159" s="127">
        <v>21395</v>
      </c>
      <c r="D159" s="157">
        <v>118202</v>
      </c>
      <c r="E159" s="158" t="s">
        <v>4835</v>
      </c>
      <c r="F159" s="158" t="s">
        <v>4835</v>
      </c>
      <c r="G159" s="159">
        <v>715000</v>
      </c>
      <c r="H159" s="159">
        <v>2</v>
      </c>
      <c r="I159" s="158" t="s">
        <v>209</v>
      </c>
      <c r="J159" s="158" t="s">
        <v>2407</v>
      </c>
      <c r="K159" s="158" t="s">
        <v>2408</v>
      </c>
      <c r="L159" s="159">
        <v>5</v>
      </c>
      <c r="M159" s="159">
        <v>2</v>
      </c>
      <c r="N159" s="158" t="s">
        <v>1718</v>
      </c>
      <c r="O159" s="159">
        <v>8.1150000000000002</v>
      </c>
      <c r="P159" s="160"/>
      <c r="Q159" s="159">
        <v>21</v>
      </c>
      <c r="R159" s="158" t="s">
        <v>200</v>
      </c>
      <c r="S159" s="158" t="s">
        <v>201</v>
      </c>
      <c r="T159" s="159">
        <v>402</v>
      </c>
      <c r="U159" s="158" t="s">
        <v>200</v>
      </c>
      <c r="V159" s="158" t="s">
        <v>1968</v>
      </c>
      <c r="W159" s="159">
        <v>1</v>
      </c>
      <c r="X159" s="159">
        <v>4</v>
      </c>
      <c r="Y159" s="158" t="s">
        <v>203</v>
      </c>
      <c r="Z159" s="158" t="s">
        <v>195</v>
      </c>
      <c r="AA159" s="158" t="s">
        <v>196</v>
      </c>
      <c r="AB159" s="158" t="s">
        <v>187</v>
      </c>
      <c r="AC159" s="158" t="s">
        <v>187</v>
      </c>
      <c r="AD159" s="160"/>
      <c r="AE159" s="158" t="s">
        <v>209</v>
      </c>
      <c r="AF159" s="159">
        <v>7.1258582359227303</v>
      </c>
      <c r="AG159" s="161">
        <v>80.010102787048496</v>
      </c>
      <c r="AM159" s="133" t="str" cm="1">
        <f t="array" ref="AM159">IF(ROWS($AN$2:$AN158)&lt;=$AN$2,INDEX($V$3:$V$3000,_xlfn.AGGREGATE(15,3,($B$3:$B$3000=$AM$2)/($B$3:$B$3000=$AM$2)*(ROW($B$3:$B$3000)-ROW($B$2)),ROWS($AN$2:$AN158))),"")</f>
        <v/>
      </c>
      <c r="AN159" s="134" t="str" cm="1">
        <f t="array" ref="AN159">IF(ROWS($AN$2:$AN158)&lt;=$AN$2,INDEX($F$3:$F$3000,_xlfn.AGGREGATE(15,3,($B$3:$B$3000=$AM$2)/($B$3:$B$3000=$AM$2)*(ROW($B$3:$B$3000)-ROW($B$2)),ROWS($AN$2:$AN158))),"")</f>
        <v/>
      </c>
      <c r="AO159" s="135" t="str" cm="1">
        <f t="array" ref="AO159">IF(ROWS($AN$2:$AN158)&lt;=$AN$2,INDEX($G$3:$G$3000,_xlfn.AGGREGATE(15,3,($B$3:$B$3000=$AM$2)/($B$3:$B$3000=$AM$2)*(ROW($B$3:$B$3000)-ROW($B$2)),ROWS($AN$2:$AN158))),"")</f>
        <v/>
      </c>
      <c r="AP159" s="121"/>
      <c r="AT159" s="111"/>
      <c r="AV159" s="133" t="str" cm="1">
        <f t="array" ref="AV159">IF(ROWS($AW$2:$AW158)&lt;=$AW$2,INDEX($AM$3:$AM$792,_xlfn.AGGREGATE(15,3,($AM$3:$AM$792='Planning Template'!$F$45)/($AM$3:$AM$792='Planning Template'!$F$45)*(ROW($AM$3:$AM$792)-ROW($AM$2)),ROWS($AW$2:$AW158))),"")</f>
        <v/>
      </c>
      <c r="AW159" s="134" t="str" cm="1">
        <f t="array" ref="AW159">IF(ROWS($AU$3:$AU159)&lt;=$AW$2,INDEX($AN$3:$AN$792,_xlfn.AGGREGATE(15,3,($AM$3:$AM$792='Planning Template'!$F$45)/($AM$3:$AM$792='Planning Template'!$F$45)*(ROW($AM$3:$AM$792)-ROW($AM$2)),ROWS($AU$3:$AU159))),"")</f>
        <v/>
      </c>
      <c r="AX159" s="135" t="str">
        <f>IF(AW159="","",SUMIFS(TableSSDPeopleGroups[Population], TableSSDPeopleGroups[Ctry],'Planning Template'!$F$30,TableSSDPeopleGroups[PrimaryReligion],'Planning Template'!$F$301,TableSSDPeopleGroups[PeopleCluster],'Planning Template'!$F$45,TableSSDPeopleGroups[PeopNameInCountry],$AW159))</f>
        <v/>
      </c>
      <c r="AY159" s="234" t="str">
        <f t="shared" si="11"/>
        <v/>
      </c>
    </row>
    <row r="160" spans="1:51" s="110" customFormat="1" ht="20" customHeight="1">
      <c r="A160" s="125" t="s">
        <v>224</v>
      </c>
      <c r="B160" s="126" t="s">
        <v>68</v>
      </c>
      <c r="C160" s="127">
        <v>21399</v>
      </c>
      <c r="D160" s="157">
        <v>118206</v>
      </c>
      <c r="E160" s="158" t="s">
        <v>4823</v>
      </c>
      <c r="F160" s="158" t="s">
        <v>4823</v>
      </c>
      <c r="G160" s="159">
        <v>550000</v>
      </c>
      <c r="H160" s="159">
        <v>2</v>
      </c>
      <c r="I160" s="158" t="s">
        <v>209</v>
      </c>
      <c r="J160" s="158" t="s">
        <v>2407</v>
      </c>
      <c r="K160" s="158" t="s">
        <v>2408</v>
      </c>
      <c r="L160" s="159">
        <v>5</v>
      </c>
      <c r="M160" s="159">
        <v>2</v>
      </c>
      <c r="N160" s="158" t="s">
        <v>1718</v>
      </c>
      <c r="O160" s="159">
        <v>6.899</v>
      </c>
      <c r="P160" s="160"/>
      <c r="Q160" s="159">
        <v>21</v>
      </c>
      <c r="R160" s="158" t="s">
        <v>200</v>
      </c>
      <c r="S160" s="158" t="s">
        <v>201</v>
      </c>
      <c r="T160" s="159">
        <v>402</v>
      </c>
      <c r="U160" s="158" t="s">
        <v>200</v>
      </c>
      <c r="V160" s="158" t="s">
        <v>1968</v>
      </c>
      <c r="W160" s="159">
        <v>1</v>
      </c>
      <c r="X160" s="159">
        <v>4</v>
      </c>
      <c r="Y160" s="158" t="s">
        <v>203</v>
      </c>
      <c r="Z160" s="158" t="s">
        <v>195</v>
      </c>
      <c r="AA160" s="158" t="s">
        <v>196</v>
      </c>
      <c r="AB160" s="158" t="s">
        <v>187</v>
      </c>
      <c r="AC160" s="158" t="s">
        <v>187</v>
      </c>
      <c r="AD160" s="160"/>
      <c r="AE160" s="158" t="s">
        <v>209</v>
      </c>
      <c r="AF160" s="159">
        <v>7.1260252813151403</v>
      </c>
      <c r="AG160" s="161">
        <v>80.009699557543399</v>
      </c>
      <c r="AM160" s="133" t="str" cm="1">
        <f t="array" ref="AM160">IF(ROWS($AN$2:$AN159)&lt;=$AN$2,INDEX($V$3:$V$3000,_xlfn.AGGREGATE(15,3,($B$3:$B$3000=$AM$2)/($B$3:$B$3000=$AM$2)*(ROW($B$3:$B$3000)-ROW($B$2)),ROWS($AN$2:$AN159))),"")</f>
        <v/>
      </c>
      <c r="AN160" s="134" t="str" cm="1">
        <f t="array" ref="AN160">IF(ROWS($AN$2:$AN159)&lt;=$AN$2,INDEX($F$3:$F$3000,_xlfn.AGGREGATE(15,3,($B$3:$B$3000=$AM$2)/($B$3:$B$3000=$AM$2)*(ROW($B$3:$B$3000)-ROW($B$2)),ROWS($AN$2:$AN159))),"")</f>
        <v/>
      </c>
      <c r="AO160" s="135" t="str" cm="1">
        <f t="array" ref="AO160">IF(ROWS($AN$2:$AN159)&lt;=$AN$2,INDEX($G$3:$G$3000,_xlfn.AGGREGATE(15,3,($B$3:$B$3000=$AM$2)/($B$3:$B$3000=$AM$2)*(ROW($B$3:$B$3000)-ROW($B$2)),ROWS($AN$2:$AN159))),"")</f>
        <v/>
      </c>
      <c r="AP160" s="121"/>
      <c r="AT160" s="111"/>
      <c r="AV160" s="133" t="str" cm="1">
        <f t="array" ref="AV160">IF(ROWS($AW$2:$AW159)&lt;=$AW$2,INDEX($AM$3:$AM$792,_xlfn.AGGREGATE(15,3,($AM$3:$AM$792='Planning Template'!$F$45)/($AM$3:$AM$792='Planning Template'!$F$45)*(ROW($AM$3:$AM$792)-ROW($AM$2)),ROWS($AW$2:$AW159))),"")</f>
        <v/>
      </c>
      <c r="AW160" s="134" t="str" cm="1">
        <f t="array" ref="AW160">IF(ROWS($AU$3:$AU160)&lt;=$AW$2,INDEX($AN$3:$AN$792,_xlfn.AGGREGATE(15,3,($AM$3:$AM$792='Planning Template'!$F$45)/($AM$3:$AM$792='Planning Template'!$F$45)*(ROW($AM$3:$AM$792)-ROW($AM$2)),ROWS($AU$3:$AU160))),"")</f>
        <v/>
      </c>
      <c r="AX160" s="135" t="str">
        <f>IF(AW160="","",SUMIFS(TableSSDPeopleGroups[Population], TableSSDPeopleGroups[Ctry],'Planning Template'!$F$30,TableSSDPeopleGroups[PrimaryReligion],'Planning Template'!$F$301,TableSSDPeopleGroups[PeopleCluster],'Planning Template'!$F$45,TableSSDPeopleGroups[PeopNameInCountry],$AW160))</f>
        <v/>
      </c>
      <c r="AY160" s="234" t="str">
        <f t="shared" si="11"/>
        <v/>
      </c>
    </row>
    <row r="161" spans="1:51" s="110" customFormat="1" ht="20" customHeight="1">
      <c r="A161" s="125" t="s">
        <v>224</v>
      </c>
      <c r="B161" s="126" t="s">
        <v>68</v>
      </c>
      <c r="C161" s="127">
        <v>21389</v>
      </c>
      <c r="D161" s="157">
        <v>118194</v>
      </c>
      <c r="E161" s="158" t="s">
        <v>4806</v>
      </c>
      <c r="F161" s="158" t="s">
        <v>4806</v>
      </c>
      <c r="G161" s="159">
        <v>365000</v>
      </c>
      <c r="H161" s="159">
        <v>2</v>
      </c>
      <c r="I161" s="158" t="s">
        <v>209</v>
      </c>
      <c r="J161" s="158" t="s">
        <v>2407</v>
      </c>
      <c r="K161" s="158" t="s">
        <v>2408</v>
      </c>
      <c r="L161" s="159">
        <v>5</v>
      </c>
      <c r="M161" s="159">
        <v>2</v>
      </c>
      <c r="N161" s="158" t="s">
        <v>1718</v>
      </c>
      <c r="O161" s="159">
        <v>6.5590000000000002</v>
      </c>
      <c r="P161" s="160"/>
      <c r="Q161" s="159">
        <v>21</v>
      </c>
      <c r="R161" s="158" t="s">
        <v>200</v>
      </c>
      <c r="S161" s="158" t="s">
        <v>201</v>
      </c>
      <c r="T161" s="159">
        <v>402</v>
      </c>
      <c r="U161" s="158" t="s">
        <v>200</v>
      </c>
      <c r="V161" s="158" t="s">
        <v>1968</v>
      </c>
      <c r="W161" s="159">
        <v>1</v>
      </c>
      <c r="X161" s="159">
        <v>4</v>
      </c>
      <c r="Y161" s="158" t="s">
        <v>203</v>
      </c>
      <c r="Z161" s="158" t="s">
        <v>195</v>
      </c>
      <c r="AA161" s="158" t="s">
        <v>196</v>
      </c>
      <c r="AB161" s="158" t="s">
        <v>187</v>
      </c>
      <c r="AC161" s="158" t="s">
        <v>187</v>
      </c>
      <c r="AD161" s="160"/>
      <c r="AE161" s="158" t="s">
        <v>209</v>
      </c>
      <c r="AF161" s="159">
        <v>7.1252608125186301</v>
      </c>
      <c r="AG161" s="161">
        <v>80.009491798813201</v>
      </c>
      <c r="AM161" s="133" t="str" cm="1">
        <f t="array" ref="AM161">IF(ROWS($AN$2:$AN160)&lt;=$AN$2,INDEX($V$3:$V$3000,_xlfn.AGGREGATE(15,3,($B$3:$B$3000=$AM$2)/($B$3:$B$3000=$AM$2)*(ROW($B$3:$B$3000)-ROW($B$2)),ROWS($AN$2:$AN160))),"")</f>
        <v/>
      </c>
      <c r="AN161" s="134" t="str" cm="1">
        <f t="array" ref="AN161">IF(ROWS($AN$2:$AN160)&lt;=$AN$2,INDEX($F$3:$F$3000,_xlfn.AGGREGATE(15,3,($B$3:$B$3000=$AM$2)/($B$3:$B$3000=$AM$2)*(ROW($B$3:$B$3000)-ROW($B$2)),ROWS($AN$2:$AN160))),"")</f>
        <v/>
      </c>
      <c r="AO161" s="135" t="str" cm="1">
        <f t="array" ref="AO161">IF(ROWS($AN$2:$AN160)&lt;=$AN$2,INDEX($G$3:$G$3000,_xlfn.AGGREGATE(15,3,($B$3:$B$3000=$AM$2)/($B$3:$B$3000=$AM$2)*(ROW($B$3:$B$3000)-ROW($B$2)),ROWS($AN$2:$AN160))),"")</f>
        <v/>
      </c>
      <c r="AP161" s="121"/>
      <c r="AT161" s="111"/>
      <c r="AV161" s="133" t="str" cm="1">
        <f t="array" ref="AV161">IF(ROWS($AW$2:$AW160)&lt;=$AW$2,INDEX($AM$3:$AM$792,_xlfn.AGGREGATE(15,3,($AM$3:$AM$792='Planning Template'!$F$45)/($AM$3:$AM$792='Planning Template'!$F$45)*(ROW($AM$3:$AM$792)-ROW($AM$2)),ROWS($AW$2:$AW160))),"")</f>
        <v/>
      </c>
      <c r="AW161" s="134" t="str" cm="1">
        <f t="array" ref="AW161">IF(ROWS($AU$3:$AU161)&lt;=$AW$2,INDEX($AN$3:$AN$792,_xlfn.AGGREGATE(15,3,($AM$3:$AM$792='Planning Template'!$F$45)/($AM$3:$AM$792='Planning Template'!$F$45)*(ROW($AM$3:$AM$792)-ROW($AM$2)),ROWS($AU$3:$AU161))),"")</f>
        <v/>
      </c>
      <c r="AX161" s="135" t="str">
        <f>IF(AW161="","",SUMIFS(TableSSDPeopleGroups[Population], TableSSDPeopleGroups[Ctry],'Planning Template'!$F$30,TableSSDPeopleGroups[PrimaryReligion],'Planning Template'!$F$301,TableSSDPeopleGroups[PeopleCluster],'Planning Template'!$F$45,TableSSDPeopleGroups[PeopNameInCountry],$AW161))</f>
        <v/>
      </c>
      <c r="AY161" s="234" t="str">
        <f t="shared" si="11"/>
        <v/>
      </c>
    </row>
    <row r="162" spans="1:51" s="110" customFormat="1" ht="20" customHeight="1">
      <c r="A162" s="125" t="s">
        <v>224</v>
      </c>
      <c r="B162" s="126" t="s">
        <v>68</v>
      </c>
      <c r="C162" s="127">
        <v>21433</v>
      </c>
      <c r="D162" s="157">
        <v>118247</v>
      </c>
      <c r="E162" s="158" t="s">
        <v>4805</v>
      </c>
      <c r="F162" s="158" t="s">
        <v>4805</v>
      </c>
      <c r="G162" s="159">
        <v>359000</v>
      </c>
      <c r="H162" s="159">
        <v>2</v>
      </c>
      <c r="I162" s="158" t="s">
        <v>209</v>
      </c>
      <c r="J162" s="158" t="s">
        <v>2407</v>
      </c>
      <c r="K162" s="158" t="s">
        <v>2408</v>
      </c>
      <c r="L162" s="159">
        <v>5</v>
      </c>
      <c r="M162" s="159">
        <v>2</v>
      </c>
      <c r="N162" s="158" t="s">
        <v>1718</v>
      </c>
      <c r="O162" s="159">
        <v>7.359</v>
      </c>
      <c r="P162" s="160"/>
      <c r="Q162" s="159">
        <v>21</v>
      </c>
      <c r="R162" s="158" t="s">
        <v>200</v>
      </c>
      <c r="S162" s="158" t="s">
        <v>201</v>
      </c>
      <c r="T162" s="159">
        <v>402</v>
      </c>
      <c r="U162" s="158" t="s">
        <v>200</v>
      </c>
      <c r="V162" s="158" t="s">
        <v>1968</v>
      </c>
      <c r="W162" s="159">
        <v>1</v>
      </c>
      <c r="X162" s="159">
        <v>4</v>
      </c>
      <c r="Y162" s="158" t="s">
        <v>203</v>
      </c>
      <c r="Z162" s="158" t="s">
        <v>195</v>
      </c>
      <c r="AA162" s="158" t="s">
        <v>196</v>
      </c>
      <c r="AB162" s="158" t="s">
        <v>187</v>
      </c>
      <c r="AC162" s="158" t="s">
        <v>187</v>
      </c>
      <c r="AD162" s="160"/>
      <c r="AE162" s="158" t="s">
        <v>209</v>
      </c>
      <c r="AF162" s="159">
        <v>7.1260423670572699</v>
      </c>
      <c r="AG162" s="161">
        <v>80.009356087846996</v>
      </c>
      <c r="AM162" s="133" t="str" cm="1">
        <f t="array" ref="AM162">IF(ROWS($AN$2:$AN161)&lt;=$AN$2,INDEX($V$3:$V$3000,_xlfn.AGGREGATE(15,3,($B$3:$B$3000=$AM$2)/($B$3:$B$3000=$AM$2)*(ROW($B$3:$B$3000)-ROW($B$2)),ROWS($AN$2:$AN161))),"")</f>
        <v/>
      </c>
      <c r="AN162" s="134" t="str" cm="1">
        <f t="array" ref="AN162">IF(ROWS($AN$2:$AN161)&lt;=$AN$2,INDEX($F$3:$F$3000,_xlfn.AGGREGATE(15,3,($B$3:$B$3000=$AM$2)/($B$3:$B$3000=$AM$2)*(ROW($B$3:$B$3000)-ROW($B$2)),ROWS($AN$2:$AN161))),"")</f>
        <v/>
      </c>
      <c r="AO162" s="135" t="str" cm="1">
        <f t="array" ref="AO162">IF(ROWS($AN$2:$AN161)&lt;=$AN$2,INDEX($G$3:$G$3000,_xlfn.AGGREGATE(15,3,($B$3:$B$3000=$AM$2)/($B$3:$B$3000=$AM$2)*(ROW($B$3:$B$3000)-ROW($B$2)),ROWS($AN$2:$AN161))),"")</f>
        <v/>
      </c>
      <c r="AP162" s="121"/>
      <c r="AT162" s="111"/>
      <c r="AV162" s="133" t="str" cm="1">
        <f t="array" ref="AV162">IF(ROWS($AW$2:$AW161)&lt;=$AW$2,INDEX($AM$3:$AM$792,_xlfn.AGGREGATE(15,3,($AM$3:$AM$792='Planning Template'!$F$45)/($AM$3:$AM$792='Planning Template'!$F$45)*(ROW($AM$3:$AM$792)-ROW($AM$2)),ROWS($AW$2:$AW161))),"")</f>
        <v/>
      </c>
      <c r="AW162" s="134" t="str" cm="1">
        <f t="array" ref="AW162">IF(ROWS($AU$3:$AU162)&lt;=$AW$2,INDEX($AN$3:$AN$792,_xlfn.AGGREGATE(15,3,($AM$3:$AM$792='Planning Template'!$F$45)/($AM$3:$AM$792='Planning Template'!$F$45)*(ROW($AM$3:$AM$792)-ROW($AM$2)),ROWS($AU$3:$AU162))),"")</f>
        <v/>
      </c>
      <c r="AX162" s="135" t="str">
        <f>IF(AW162="","",SUMIFS(TableSSDPeopleGroups[Population], TableSSDPeopleGroups[Ctry],'Planning Template'!$F$30,TableSSDPeopleGroups[PrimaryReligion],'Planning Template'!$F$301,TableSSDPeopleGroups[PeopleCluster],'Planning Template'!$F$45,TableSSDPeopleGroups[PeopNameInCountry],$AW162))</f>
        <v/>
      </c>
      <c r="AY162" s="234" t="str">
        <f t="shared" si="11"/>
        <v/>
      </c>
    </row>
    <row r="163" spans="1:51" s="110" customFormat="1" ht="20" customHeight="1">
      <c r="A163" s="125" t="s">
        <v>224</v>
      </c>
      <c r="B163" s="126" t="s">
        <v>68</v>
      </c>
      <c r="C163" s="127">
        <v>21403</v>
      </c>
      <c r="D163" s="157">
        <v>118210</v>
      </c>
      <c r="E163" s="158" t="s">
        <v>4800</v>
      </c>
      <c r="F163" s="158" t="s">
        <v>4800</v>
      </c>
      <c r="G163" s="159">
        <v>329000</v>
      </c>
      <c r="H163" s="159">
        <v>2</v>
      </c>
      <c r="I163" s="158" t="s">
        <v>209</v>
      </c>
      <c r="J163" s="158" t="s">
        <v>2407</v>
      </c>
      <c r="K163" s="158" t="s">
        <v>2408</v>
      </c>
      <c r="L163" s="159">
        <v>5</v>
      </c>
      <c r="M163" s="159">
        <v>2</v>
      </c>
      <c r="N163" s="158" t="s">
        <v>1718</v>
      </c>
      <c r="O163" s="159">
        <v>6.851</v>
      </c>
      <c r="P163" s="160"/>
      <c r="Q163" s="159">
        <v>21</v>
      </c>
      <c r="R163" s="158" t="s">
        <v>200</v>
      </c>
      <c r="S163" s="158" t="s">
        <v>201</v>
      </c>
      <c r="T163" s="159">
        <v>402</v>
      </c>
      <c r="U163" s="158" t="s">
        <v>200</v>
      </c>
      <c r="V163" s="158" t="s">
        <v>1968</v>
      </c>
      <c r="W163" s="159">
        <v>1</v>
      </c>
      <c r="X163" s="159">
        <v>4</v>
      </c>
      <c r="Y163" s="158" t="s">
        <v>203</v>
      </c>
      <c r="Z163" s="158" t="s">
        <v>195</v>
      </c>
      <c r="AA163" s="158" t="s">
        <v>196</v>
      </c>
      <c r="AB163" s="158" t="s">
        <v>187</v>
      </c>
      <c r="AC163" s="158" t="s">
        <v>187</v>
      </c>
      <c r="AD163" s="160"/>
      <c r="AE163" s="158" t="s">
        <v>209</v>
      </c>
      <c r="AF163" s="159">
        <v>7.1252255443951897</v>
      </c>
      <c r="AG163" s="161">
        <v>80.009181342770802</v>
      </c>
      <c r="AM163" s="133" t="str" cm="1">
        <f t="array" ref="AM163">IF(ROWS($AN$2:$AN162)&lt;=$AN$2,INDEX($V$3:$V$3000,_xlfn.AGGREGATE(15,3,($B$3:$B$3000=$AM$2)/($B$3:$B$3000=$AM$2)*(ROW($B$3:$B$3000)-ROW($B$2)),ROWS($AN$2:$AN162))),"")</f>
        <v/>
      </c>
      <c r="AN163" s="134" t="str" cm="1">
        <f t="array" ref="AN163">IF(ROWS($AN$2:$AN162)&lt;=$AN$2,INDEX($F$3:$F$3000,_xlfn.AGGREGATE(15,3,($B$3:$B$3000=$AM$2)/($B$3:$B$3000=$AM$2)*(ROW($B$3:$B$3000)-ROW($B$2)),ROWS($AN$2:$AN162))),"")</f>
        <v/>
      </c>
      <c r="AO163" s="135" t="str" cm="1">
        <f t="array" ref="AO163">IF(ROWS($AN$2:$AN162)&lt;=$AN$2,INDEX($G$3:$G$3000,_xlfn.AGGREGATE(15,3,($B$3:$B$3000=$AM$2)/($B$3:$B$3000=$AM$2)*(ROW($B$3:$B$3000)-ROW($B$2)),ROWS($AN$2:$AN162))),"")</f>
        <v/>
      </c>
      <c r="AP163" s="121"/>
      <c r="AT163" s="111"/>
      <c r="AV163" s="133" t="str" cm="1">
        <f t="array" ref="AV163">IF(ROWS($AW$2:$AW162)&lt;=$AW$2,INDEX($AM$3:$AM$792,_xlfn.AGGREGATE(15,3,($AM$3:$AM$792='Planning Template'!$F$45)/($AM$3:$AM$792='Planning Template'!$F$45)*(ROW($AM$3:$AM$792)-ROW($AM$2)),ROWS($AW$2:$AW162))),"")</f>
        <v/>
      </c>
      <c r="AW163" s="134" t="str" cm="1">
        <f t="array" ref="AW163">IF(ROWS($AU$3:$AU163)&lt;=$AW$2,INDEX($AN$3:$AN$792,_xlfn.AGGREGATE(15,3,($AM$3:$AM$792='Planning Template'!$F$45)/($AM$3:$AM$792='Planning Template'!$F$45)*(ROW($AM$3:$AM$792)-ROW($AM$2)),ROWS($AU$3:$AU163))),"")</f>
        <v/>
      </c>
      <c r="AX163" s="135" t="str">
        <f>IF(AW163="","",SUMIFS(TableSSDPeopleGroups[Population], TableSSDPeopleGroups[Ctry],'Planning Template'!$F$30,TableSSDPeopleGroups[PrimaryReligion],'Planning Template'!$F$301,TableSSDPeopleGroups[PeopleCluster],'Planning Template'!$F$45,TableSSDPeopleGroups[PeopNameInCountry],$AW163))</f>
        <v/>
      </c>
      <c r="AY163" s="234" t="str">
        <f t="shared" si="11"/>
        <v/>
      </c>
    </row>
    <row r="164" spans="1:51" s="110" customFormat="1" ht="20" customHeight="1">
      <c r="A164" s="125" t="s">
        <v>224</v>
      </c>
      <c r="B164" s="126" t="s">
        <v>68</v>
      </c>
      <c r="C164" s="127">
        <v>21436</v>
      </c>
      <c r="D164" s="157">
        <v>118251</v>
      </c>
      <c r="E164" s="158" t="s">
        <v>4798</v>
      </c>
      <c r="F164" s="158" t="s">
        <v>4798</v>
      </c>
      <c r="G164" s="159">
        <v>308000</v>
      </c>
      <c r="H164" s="159">
        <v>2</v>
      </c>
      <c r="I164" s="158" t="s">
        <v>209</v>
      </c>
      <c r="J164" s="158" t="s">
        <v>2407</v>
      </c>
      <c r="K164" s="158" t="s">
        <v>2408</v>
      </c>
      <c r="L164" s="159">
        <v>5</v>
      </c>
      <c r="M164" s="159">
        <v>2</v>
      </c>
      <c r="N164" s="158" t="s">
        <v>1718</v>
      </c>
      <c r="O164" s="159">
        <v>12.163</v>
      </c>
      <c r="P164" s="160"/>
      <c r="Q164" s="159">
        <v>21</v>
      </c>
      <c r="R164" s="158" t="s">
        <v>200</v>
      </c>
      <c r="S164" s="158" t="s">
        <v>201</v>
      </c>
      <c r="T164" s="159">
        <v>402</v>
      </c>
      <c r="U164" s="158" t="s">
        <v>200</v>
      </c>
      <c r="V164" s="158" t="s">
        <v>1968</v>
      </c>
      <c r="W164" s="159">
        <v>1</v>
      </c>
      <c r="X164" s="159">
        <v>4</v>
      </c>
      <c r="Y164" s="158" t="s">
        <v>203</v>
      </c>
      <c r="Z164" s="158" t="s">
        <v>195</v>
      </c>
      <c r="AA164" s="158" t="s">
        <v>196</v>
      </c>
      <c r="AB164" s="158" t="s">
        <v>187</v>
      </c>
      <c r="AC164" s="158" t="s">
        <v>187</v>
      </c>
      <c r="AD164" s="160"/>
      <c r="AE164" s="158" t="s">
        <v>209</v>
      </c>
      <c r="AF164" s="159">
        <v>7.1255371816512802</v>
      </c>
      <c r="AG164" s="161">
        <v>80.009400549905394</v>
      </c>
      <c r="AM164" s="133" t="str" cm="1">
        <f t="array" ref="AM164">IF(ROWS($AN$2:$AN163)&lt;=$AN$2,INDEX($V$3:$V$3000,_xlfn.AGGREGATE(15,3,($B$3:$B$3000=$AM$2)/($B$3:$B$3000=$AM$2)*(ROW($B$3:$B$3000)-ROW($B$2)),ROWS($AN$2:$AN163))),"")</f>
        <v/>
      </c>
      <c r="AN164" s="134" t="str" cm="1">
        <f t="array" ref="AN164">IF(ROWS($AN$2:$AN163)&lt;=$AN$2,INDEX($F$3:$F$3000,_xlfn.AGGREGATE(15,3,($B$3:$B$3000=$AM$2)/($B$3:$B$3000=$AM$2)*(ROW($B$3:$B$3000)-ROW($B$2)),ROWS($AN$2:$AN163))),"")</f>
        <v/>
      </c>
      <c r="AO164" s="135" t="str" cm="1">
        <f t="array" ref="AO164">IF(ROWS($AN$2:$AN163)&lt;=$AN$2,INDEX($G$3:$G$3000,_xlfn.AGGREGATE(15,3,($B$3:$B$3000=$AM$2)/($B$3:$B$3000=$AM$2)*(ROW($B$3:$B$3000)-ROW($B$2)),ROWS($AN$2:$AN163))),"")</f>
        <v/>
      </c>
      <c r="AP164" s="121"/>
      <c r="AT164" s="111"/>
      <c r="AV164" s="133" t="str" cm="1">
        <f t="array" ref="AV164">IF(ROWS($AW$2:$AW163)&lt;=$AW$2,INDEX($AM$3:$AM$792,_xlfn.AGGREGATE(15,3,($AM$3:$AM$792='Planning Template'!$F$45)/($AM$3:$AM$792='Planning Template'!$F$45)*(ROW($AM$3:$AM$792)-ROW($AM$2)),ROWS($AW$2:$AW163))),"")</f>
        <v/>
      </c>
      <c r="AW164" s="134" t="str" cm="1">
        <f t="array" ref="AW164">IF(ROWS($AU$3:$AU164)&lt;=$AW$2,INDEX($AN$3:$AN$792,_xlfn.AGGREGATE(15,3,($AM$3:$AM$792='Planning Template'!$F$45)/($AM$3:$AM$792='Planning Template'!$F$45)*(ROW($AM$3:$AM$792)-ROW($AM$2)),ROWS($AU$3:$AU164))),"")</f>
        <v/>
      </c>
      <c r="AX164" s="135" t="str">
        <f>IF(AW164="","",SUMIFS(TableSSDPeopleGroups[Population], TableSSDPeopleGroups[Ctry],'Planning Template'!$F$30,TableSSDPeopleGroups[PrimaryReligion],'Planning Template'!$F$301,TableSSDPeopleGroups[PeopleCluster],'Planning Template'!$F$45,TableSSDPeopleGroups[PeopNameInCountry],$AW164))</f>
        <v/>
      </c>
      <c r="AY164" s="234" t="str">
        <f t="shared" si="11"/>
        <v/>
      </c>
    </row>
    <row r="165" spans="1:51" s="110" customFormat="1" ht="20" customHeight="1">
      <c r="A165" s="125" t="s">
        <v>224</v>
      </c>
      <c r="B165" s="126" t="s">
        <v>68</v>
      </c>
      <c r="C165" s="127">
        <v>21429</v>
      </c>
      <c r="D165" s="157">
        <v>118242</v>
      </c>
      <c r="E165" s="158" t="s">
        <v>4766</v>
      </c>
      <c r="F165" s="158" t="s">
        <v>4766</v>
      </c>
      <c r="G165" s="159">
        <v>240000</v>
      </c>
      <c r="H165" s="159">
        <v>2</v>
      </c>
      <c r="I165" s="158" t="s">
        <v>209</v>
      </c>
      <c r="J165" s="158" t="s">
        <v>2407</v>
      </c>
      <c r="K165" s="158" t="s">
        <v>2408</v>
      </c>
      <c r="L165" s="159">
        <v>5</v>
      </c>
      <c r="M165" s="159">
        <v>2</v>
      </c>
      <c r="N165" s="158" t="s">
        <v>1718</v>
      </c>
      <c r="O165" s="159">
        <v>6.617</v>
      </c>
      <c r="P165" s="160"/>
      <c r="Q165" s="159">
        <v>21</v>
      </c>
      <c r="R165" s="158" t="s">
        <v>200</v>
      </c>
      <c r="S165" s="158" t="s">
        <v>201</v>
      </c>
      <c r="T165" s="159">
        <v>402</v>
      </c>
      <c r="U165" s="158" t="s">
        <v>200</v>
      </c>
      <c r="V165" s="158" t="s">
        <v>1968</v>
      </c>
      <c r="W165" s="159">
        <v>1</v>
      </c>
      <c r="X165" s="159">
        <v>4</v>
      </c>
      <c r="Y165" s="158" t="s">
        <v>203</v>
      </c>
      <c r="Z165" s="158" t="s">
        <v>195</v>
      </c>
      <c r="AA165" s="158" t="s">
        <v>196</v>
      </c>
      <c r="AB165" s="158" t="s">
        <v>187</v>
      </c>
      <c r="AC165" s="158" t="s">
        <v>187</v>
      </c>
      <c r="AD165" s="160"/>
      <c r="AE165" s="158" t="s">
        <v>209</v>
      </c>
      <c r="AF165" s="159">
        <v>7.1255374168038896</v>
      </c>
      <c r="AG165" s="161">
        <v>80.009397681807002</v>
      </c>
      <c r="AM165" s="133" t="str" cm="1">
        <f t="array" ref="AM165">IF(ROWS($AN$2:$AN164)&lt;=$AN$2,INDEX($V$3:$V$3000,_xlfn.AGGREGATE(15,3,($B$3:$B$3000=$AM$2)/($B$3:$B$3000=$AM$2)*(ROW($B$3:$B$3000)-ROW($B$2)),ROWS($AN$2:$AN164))),"")</f>
        <v/>
      </c>
      <c r="AN165" s="134" t="str" cm="1">
        <f t="array" ref="AN165">IF(ROWS($AN$2:$AN164)&lt;=$AN$2,INDEX($F$3:$F$3000,_xlfn.AGGREGATE(15,3,($B$3:$B$3000=$AM$2)/($B$3:$B$3000=$AM$2)*(ROW($B$3:$B$3000)-ROW($B$2)),ROWS($AN$2:$AN164))),"")</f>
        <v/>
      </c>
      <c r="AO165" s="135" t="str" cm="1">
        <f t="array" ref="AO165">IF(ROWS($AN$2:$AN164)&lt;=$AN$2,INDEX($G$3:$G$3000,_xlfn.AGGREGATE(15,3,($B$3:$B$3000=$AM$2)/($B$3:$B$3000=$AM$2)*(ROW($B$3:$B$3000)-ROW($B$2)),ROWS($AN$2:$AN164))),"")</f>
        <v/>
      </c>
      <c r="AP165" s="121"/>
      <c r="AT165" s="111"/>
      <c r="AV165" s="133" t="str" cm="1">
        <f t="array" ref="AV165">IF(ROWS($AW$2:$AW164)&lt;=$AW$2,INDEX($AM$3:$AM$792,_xlfn.AGGREGATE(15,3,($AM$3:$AM$792='Planning Template'!$F$45)/($AM$3:$AM$792='Planning Template'!$F$45)*(ROW($AM$3:$AM$792)-ROW($AM$2)),ROWS($AW$2:$AW164))),"")</f>
        <v/>
      </c>
      <c r="AW165" s="134" t="str" cm="1">
        <f t="array" ref="AW165">IF(ROWS($AU$3:$AU165)&lt;=$AW$2,INDEX($AN$3:$AN$792,_xlfn.AGGREGATE(15,3,($AM$3:$AM$792='Planning Template'!$F$45)/($AM$3:$AM$792='Planning Template'!$F$45)*(ROW($AM$3:$AM$792)-ROW($AM$2)),ROWS($AU$3:$AU165))),"")</f>
        <v/>
      </c>
      <c r="AX165" s="135" t="str">
        <f>IF(AW165="","",SUMIFS(TableSSDPeopleGroups[Population], TableSSDPeopleGroups[Ctry],'Planning Template'!$F$30,TableSSDPeopleGroups[PrimaryReligion],'Planning Template'!$F$301,TableSSDPeopleGroups[PeopleCluster],'Planning Template'!$F$45,TableSSDPeopleGroups[PeopNameInCountry],$AW165))</f>
        <v/>
      </c>
      <c r="AY165" s="234" t="str">
        <f t="shared" si="11"/>
        <v/>
      </c>
    </row>
    <row r="166" spans="1:51" s="110" customFormat="1" ht="20" customHeight="1">
      <c r="A166" s="125" t="s">
        <v>224</v>
      </c>
      <c r="B166" s="126" t="s">
        <v>68</v>
      </c>
      <c r="C166" s="127">
        <v>21407</v>
      </c>
      <c r="D166" s="157">
        <v>118214</v>
      </c>
      <c r="E166" s="158" t="s">
        <v>4765</v>
      </c>
      <c r="F166" s="158" t="s">
        <v>4765</v>
      </c>
      <c r="G166" s="159">
        <v>239000</v>
      </c>
      <c r="H166" s="159">
        <v>2</v>
      </c>
      <c r="I166" s="158" t="s">
        <v>209</v>
      </c>
      <c r="J166" s="158" t="s">
        <v>2407</v>
      </c>
      <c r="K166" s="158" t="s">
        <v>2408</v>
      </c>
      <c r="L166" s="159">
        <v>5</v>
      </c>
      <c r="M166" s="159">
        <v>2</v>
      </c>
      <c r="N166" s="158" t="s">
        <v>1718</v>
      </c>
      <c r="O166" s="159">
        <v>6.702</v>
      </c>
      <c r="P166" s="160"/>
      <c r="Q166" s="159">
        <v>21</v>
      </c>
      <c r="R166" s="158" t="s">
        <v>200</v>
      </c>
      <c r="S166" s="158" t="s">
        <v>201</v>
      </c>
      <c r="T166" s="159">
        <v>402</v>
      </c>
      <c r="U166" s="158" t="s">
        <v>200</v>
      </c>
      <c r="V166" s="158" t="s">
        <v>1968</v>
      </c>
      <c r="W166" s="159">
        <v>1</v>
      </c>
      <c r="X166" s="159">
        <v>4</v>
      </c>
      <c r="Y166" s="158" t="s">
        <v>203</v>
      </c>
      <c r="Z166" s="158" t="s">
        <v>195</v>
      </c>
      <c r="AA166" s="158" t="s">
        <v>196</v>
      </c>
      <c r="AB166" s="158" t="s">
        <v>187</v>
      </c>
      <c r="AC166" s="158" t="s">
        <v>187</v>
      </c>
      <c r="AD166" s="160"/>
      <c r="AE166" s="158" t="s">
        <v>209</v>
      </c>
      <c r="AF166" s="159">
        <v>7.1253203010872204</v>
      </c>
      <c r="AG166" s="161">
        <v>80.009704589905695</v>
      </c>
      <c r="AM166" s="133" t="str" cm="1">
        <f t="array" ref="AM166">IF(ROWS($AN$2:$AN165)&lt;=$AN$2,INDEX($V$3:$V$3000,_xlfn.AGGREGATE(15,3,($B$3:$B$3000=$AM$2)/($B$3:$B$3000=$AM$2)*(ROW($B$3:$B$3000)-ROW($B$2)),ROWS($AN$2:$AN165))),"")</f>
        <v/>
      </c>
      <c r="AN166" s="134" t="str" cm="1">
        <f t="array" ref="AN166">IF(ROWS($AN$2:$AN165)&lt;=$AN$2,INDEX($F$3:$F$3000,_xlfn.AGGREGATE(15,3,($B$3:$B$3000=$AM$2)/($B$3:$B$3000=$AM$2)*(ROW($B$3:$B$3000)-ROW($B$2)),ROWS($AN$2:$AN165))),"")</f>
        <v/>
      </c>
      <c r="AO166" s="135" t="str" cm="1">
        <f t="array" ref="AO166">IF(ROWS($AN$2:$AN165)&lt;=$AN$2,INDEX($G$3:$G$3000,_xlfn.AGGREGATE(15,3,($B$3:$B$3000=$AM$2)/($B$3:$B$3000=$AM$2)*(ROW($B$3:$B$3000)-ROW($B$2)),ROWS($AN$2:$AN165))),"")</f>
        <v/>
      </c>
      <c r="AP166" s="121"/>
      <c r="AT166" s="111"/>
      <c r="AV166" s="133" t="str" cm="1">
        <f t="array" ref="AV166">IF(ROWS($AW$2:$AW165)&lt;=$AW$2,INDEX($AM$3:$AM$792,_xlfn.AGGREGATE(15,3,($AM$3:$AM$792='Planning Template'!$F$45)/($AM$3:$AM$792='Planning Template'!$F$45)*(ROW($AM$3:$AM$792)-ROW($AM$2)),ROWS($AW$2:$AW165))),"")</f>
        <v/>
      </c>
      <c r="AW166" s="134" t="str" cm="1">
        <f t="array" ref="AW166">IF(ROWS($AU$3:$AU166)&lt;=$AW$2,INDEX($AN$3:$AN$792,_xlfn.AGGREGATE(15,3,($AM$3:$AM$792='Planning Template'!$F$45)/($AM$3:$AM$792='Planning Template'!$F$45)*(ROW($AM$3:$AM$792)-ROW($AM$2)),ROWS($AU$3:$AU166))),"")</f>
        <v/>
      </c>
      <c r="AX166" s="135" t="str">
        <f>IF(AW166="","",SUMIFS(TableSSDPeopleGroups[Population], TableSSDPeopleGroups[Ctry],'Planning Template'!$F$30,TableSSDPeopleGroups[PrimaryReligion],'Planning Template'!$F$301,TableSSDPeopleGroups[PeopleCluster],'Planning Template'!$F$45,TableSSDPeopleGroups[PeopNameInCountry],$AW166))</f>
        <v/>
      </c>
      <c r="AY166" s="234" t="str">
        <f t="shared" si="11"/>
        <v/>
      </c>
    </row>
    <row r="167" spans="1:51" s="110" customFormat="1" ht="20" customHeight="1">
      <c r="A167" s="125" t="s">
        <v>224</v>
      </c>
      <c r="B167" s="126" t="s">
        <v>68</v>
      </c>
      <c r="C167" s="127">
        <v>21437</v>
      </c>
      <c r="D167" s="157">
        <v>118253</v>
      </c>
      <c r="E167" s="158" t="s">
        <v>2406</v>
      </c>
      <c r="F167" s="158" t="s">
        <v>2406</v>
      </c>
      <c r="G167" s="159">
        <v>182000</v>
      </c>
      <c r="H167" s="159">
        <v>2</v>
      </c>
      <c r="I167" s="158" t="s">
        <v>209</v>
      </c>
      <c r="J167" s="158" t="s">
        <v>2407</v>
      </c>
      <c r="K167" s="158" t="s">
        <v>2408</v>
      </c>
      <c r="L167" s="159">
        <v>5</v>
      </c>
      <c r="M167" s="159">
        <v>2</v>
      </c>
      <c r="N167" s="158" t="s">
        <v>1718</v>
      </c>
      <c r="O167" s="159">
        <v>6.8129999999999997</v>
      </c>
      <c r="P167" s="160"/>
      <c r="Q167" s="159">
        <v>21</v>
      </c>
      <c r="R167" s="158" t="s">
        <v>200</v>
      </c>
      <c r="S167" s="158" t="s">
        <v>201</v>
      </c>
      <c r="T167" s="159">
        <v>402</v>
      </c>
      <c r="U167" s="158" t="s">
        <v>200</v>
      </c>
      <c r="V167" s="158" t="s">
        <v>1968</v>
      </c>
      <c r="W167" s="159">
        <v>1</v>
      </c>
      <c r="X167" s="159">
        <v>4</v>
      </c>
      <c r="Y167" s="158" t="s">
        <v>203</v>
      </c>
      <c r="Z167" s="158" t="s">
        <v>195</v>
      </c>
      <c r="AA167" s="158" t="s">
        <v>196</v>
      </c>
      <c r="AB167" s="158" t="s">
        <v>187</v>
      </c>
      <c r="AC167" s="158" t="s">
        <v>187</v>
      </c>
      <c r="AD167" s="160"/>
      <c r="AE167" s="158" t="s">
        <v>209</v>
      </c>
      <c r="AF167" s="159">
        <v>7.6675407348439704</v>
      </c>
      <c r="AG167" s="161">
        <v>80.2325345987568</v>
      </c>
      <c r="AM167" s="133" t="str" cm="1">
        <f t="array" ref="AM167">IF(ROWS($AN$2:$AN166)&lt;=$AN$2,INDEX($V$3:$V$3000,_xlfn.AGGREGATE(15,3,($B$3:$B$3000=$AM$2)/($B$3:$B$3000=$AM$2)*(ROW($B$3:$B$3000)-ROW($B$2)),ROWS($AN$2:$AN166))),"")</f>
        <v/>
      </c>
      <c r="AN167" s="134" t="str" cm="1">
        <f t="array" ref="AN167">IF(ROWS($AN$2:$AN166)&lt;=$AN$2,INDEX($F$3:$F$3000,_xlfn.AGGREGATE(15,3,($B$3:$B$3000=$AM$2)/($B$3:$B$3000=$AM$2)*(ROW($B$3:$B$3000)-ROW($B$2)),ROWS($AN$2:$AN166))),"")</f>
        <v/>
      </c>
      <c r="AO167" s="135" t="str" cm="1">
        <f t="array" ref="AO167">IF(ROWS($AN$2:$AN166)&lt;=$AN$2,INDEX($G$3:$G$3000,_xlfn.AGGREGATE(15,3,($B$3:$B$3000=$AM$2)/($B$3:$B$3000=$AM$2)*(ROW($B$3:$B$3000)-ROW($B$2)),ROWS($AN$2:$AN166))),"")</f>
        <v/>
      </c>
      <c r="AP167" s="121"/>
      <c r="AT167" s="111"/>
      <c r="AV167" s="133" t="str" cm="1">
        <f t="array" ref="AV167">IF(ROWS($AW$2:$AW166)&lt;=$AW$2,INDEX($AM$3:$AM$792,_xlfn.AGGREGATE(15,3,($AM$3:$AM$792='Planning Template'!$F$45)/($AM$3:$AM$792='Planning Template'!$F$45)*(ROW($AM$3:$AM$792)-ROW($AM$2)),ROWS($AW$2:$AW166))),"")</f>
        <v/>
      </c>
      <c r="AW167" s="134" t="str" cm="1">
        <f t="array" ref="AW167">IF(ROWS($AU$3:$AU167)&lt;=$AW$2,INDEX($AN$3:$AN$792,_xlfn.AGGREGATE(15,3,($AM$3:$AM$792='Planning Template'!$F$45)/($AM$3:$AM$792='Planning Template'!$F$45)*(ROW($AM$3:$AM$792)-ROW($AM$2)),ROWS($AU$3:$AU167))),"")</f>
        <v/>
      </c>
      <c r="AX167" s="135" t="str">
        <f>IF(AW167="","",SUMIFS(TableSSDPeopleGroups[Population], TableSSDPeopleGroups[Ctry],'Planning Template'!$F$30,TableSSDPeopleGroups[PrimaryReligion],'Planning Template'!$F$301,TableSSDPeopleGroups[PeopleCluster],'Planning Template'!$F$45,TableSSDPeopleGroups[PeopNameInCountry],$AW167))</f>
        <v/>
      </c>
      <c r="AY167" s="234" t="str">
        <f t="shared" si="11"/>
        <v/>
      </c>
    </row>
    <row r="168" spans="1:51" s="110" customFormat="1" ht="20" customHeight="1">
      <c r="A168" s="125" t="s">
        <v>224</v>
      </c>
      <c r="B168" s="126" t="s">
        <v>68</v>
      </c>
      <c r="C168" s="127">
        <v>21435</v>
      </c>
      <c r="D168" s="157">
        <v>118249</v>
      </c>
      <c r="E168" s="158" t="s">
        <v>4697</v>
      </c>
      <c r="F168" s="158" t="s">
        <v>4697</v>
      </c>
      <c r="G168" s="159">
        <v>148000</v>
      </c>
      <c r="H168" s="159">
        <v>2</v>
      </c>
      <c r="I168" s="158" t="s">
        <v>209</v>
      </c>
      <c r="J168" s="158" t="s">
        <v>2407</v>
      </c>
      <c r="K168" s="158" t="s">
        <v>2408</v>
      </c>
      <c r="L168" s="159">
        <v>5</v>
      </c>
      <c r="M168" s="159">
        <v>2</v>
      </c>
      <c r="N168" s="158" t="s">
        <v>1718</v>
      </c>
      <c r="O168" s="159">
        <v>7.0279999999999996</v>
      </c>
      <c r="P168" s="160"/>
      <c r="Q168" s="159">
        <v>21</v>
      </c>
      <c r="R168" s="158" t="s">
        <v>200</v>
      </c>
      <c r="S168" s="158" t="s">
        <v>201</v>
      </c>
      <c r="T168" s="159">
        <v>402</v>
      </c>
      <c r="U168" s="158" t="s">
        <v>200</v>
      </c>
      <c r="V168" s="158" t="s">
        <v>1968</v>
      </c>
      <c r="W168" s="159">
        <v>1</v>
      </c>
      <c r="X168" s="159">
        <v>4</v>
      </c>
      <c r="Y168" s="158" t="s">
        <v>203</v>
      </c>
      <c r="Z168" s="158" t="s">
        <v>195</v>
      </c>
      <c r="AA168" s="158" t="s">
        <v>196</v>
      </c>
      <c r="AB168" s="158" t="s">
        <v>187</v>
      </c>
      <c r="AC168" s="158" t="s">
        <v>187</v>
      </c>
      <c r="AD168" s="160"/>
      <c r="AE168" s="158" t="s">
        <v>209</v>
      </c>
      <c r="AF168" s="159">
        <v>7.1260489278939998</v>
      </c>
      <c r="AG168" s="161">
        <v>80.009523000722695</v>
      </c>
      <c r="AM168" s="133" t="str" cm="1">
        <f t="array" ref="AM168">IF(ROWS($AN$2:$AN167)&lt;=$AN$2,INDEX($V$3:$V$3000,_xlfn.AGGREGATE(15,3,($B$3:$B$3000=$AM$2)/($B$3:$B$3000=$AM$2)*(ROW($B$3:$B$3000)-ROW($B$2)),ROWS($AN$2:$AN167))),"")</f>
        <v/>
      </c>
      <c r="AN168" s="134" t="str" cm="1">
        <f t="array" ref="AN168">IF(ROWS($AN$2:$AN167)&lt;=$AN$2,INDEX($F$3:$F$3000,_xlfn.AGGREGATE(15,3,($B$3:$B$3000=$AM$2)/($B$3:$B$3000=$AM$2)*(ROW($B$3:$B$3000)-ROW($B$2)),ROWS($AN$2:$AN167))),"")</f>
        <v/>
      </c>
      <c r="AO168" s="135" t="str" cm="1">
        <f t="array" ref="AO168">IF(ROWS($AN$2:$AN167)&lt;=$AN$2,INDEX($G$3:$G$3000,_xlfn.AGGREGATE(15,3,($B$3:$B$3000=$AM$2)/($B$3:$B$3000=$AM$2)*(ROW($B$3:$B$3000)-ROW($B$2)),ROWS($AN$2:$AN167))),"")</f>
        <v/>
      </c>
      <c r="AP168" s="121"/>
      <c r="AT168" s="111"/>
      <c r="AV168" s="133" t="str" cm="1">
        <f t="array" ref="AV168">IF(ROWS($AW$2:$AW167)&lt;=$AW$2,INDEX($AM$3:$AM$792,_xlfn.AGGREGATE(15,3,($AM$3:$AM$792='Planning Template'!$F$45)/($AM$3:$AM$792='Planning Template'!$F$45)*(ROW($AM$3:$AM$792)-ROW($AM$2)),ROWS($AW$2:$AW167))),"")</f>
        <v/>
      </c>
      <c r="AW168" s="134" t="str" cm="1">
        <f t="array" ref="AW168">IF(ROWS($AU$3:$AU168)&lt;=$AW$2,INDEX($AN$3:$AN$792,_xlfn.AGGREGATE(15,3,($AM$3:$AM$792='Planning Template'!$F$45)/($AM$3:$AM$792='Planning Template'!$F$45)*(ROW($AM$3:$AM$792)-ROW($AM$2)),ROWS($AU$3:$AU168))),"")</f>
        <v/>
      </c>
      <c r="AX168" s="135" t="str">
        <f>IF(AW168="","",SUMIFS(TableSSDPeopleGroups[Population], TableSSDPeopleGroups[Ctry],'Planning Template'!$F$30,TableSSDPeopleGroups[PrimaryReligion],'Planning Template'!$F$301,TableSSDPeopleGroups[PeopleCluster],'Planning Template'!$F$45,TableSSDPeopleGroups[PeopNameInCountry],$AW168))</f>
        <v/>
      </c>
      <c r="AY168" s="234" t="str">
        <f t="shared" si="11"/>
        <v/>
      </c>
    </row>
    <row r="169" spans="1:51" s="110" customFormat="1" ht="20" customHeight="1">
      <c r="A169" s="125" t="s">
        <v>224</v>
      </c>
      <c r="B169" s="126" t="s">
        <v>68</v>
      </c>
      <c r="C169" s="127">
        <v>21387</v>
      </c>
      <c r="D169" s="157">
        <v>118192</v>
      </c>
      <c r="E169" s="158" t="s">
        <v>4627</v>
      </c>
      <c r="F169" s="158" t="s">
        <v>4627</v>
      </c>
      <c r="G169" s="159">
        <v>112000</v>
      </c>
      <c r="H169" s="159">
        <v>2</v>
      </c>
      <c r="I169" s="158" t="s">
        <v>209</v>
      </c>
      <c r="J169" s="158" t="s">
        <v>2407</v>
      </c>
      <c r="K169" s="158" t="s">
        <v>2408</v>
      </c>
      <c r="L169" s="159">
        <v>5</v>
      </c>
      <c r="M169" s="159">
        <v>2</v>
      </c>
      <c r="N169" s="158" t="s">
        <v>1718</v>
      </c>
      <c r="O169" s="159">
        <v>7.5179999999999998</v>
      </c>
      <c r="P169" s="160"/>
      <c r="Q169" s="159">
        <v>21</v>
      </c>
      <c r="R169" s="158" t="s">
        <v>200</v>
      </c>
      <c r="S169" s="158" t="s">
        <v>201</v>
      </c>
      <c r="T169" s="159">
        <v>402</v>
      </c>
      <c r="U169" s="158" t="s">
        <v>200</v>
      </c>
      <c r="V169" s="158" t="s">
        <v>1968</v>
      </c>
      <c r="W169" s="159">
        <v>1</v>
      </c>
      <c r="X169" s="159">
        <v>4</v>
      </c>
      <c r="Y169" s="158" t="s">
        <v>203</v>
      </c>
      <c r="Z169" s="158" t="s">
        <v>195</v>
      </c>
      <c r="AA169" s="158" t="s">
        <v>196</v>
      </c>
      <c r="AB169" s="158" t="s">
        <v>187</v>
      </c>
      <c r="AC169" s="158" t="s">
        <v>187</v>
      </c>
      <c r="AD169" s="160"/>
      <c r="AE169" s="158" t="s">
        <v>209</v>
      </c>
      <c r="AF169" s="159">
        <v>7.1259327816308504</v>
      </c>
      <c r="AG169" s="161">
        <v>80.009506505389396</v>
      </c>
      <c r="AM169" s="133" t="str" cm="1">
        <f t="array" ref="AM169">IF(ROWS($AN$2:$AN168)&lt;=$AN$2,INDEX($V$3:$V$3000,_xlfn.AGGREGATE(15,3,($B$3:$B$3000=$AM$2)/($B$3:$B$3000=$AM$2)*(ROW($B$3:$B$3000)-ROW($B$2)),ROWS($AN$2:$AN168))),"")</f>
        <v/>
      </c>
      <c r="AN169" s="134" t="str" cm="1">
        <f t="array" ref="AN169">IF(ROWS($AN$2:$AN168)&lt;=$AN$2,INDEX($F$3:$F$3000,_xlfn.AGGREGATE(15,3,($B$3:$B$3000=$AM$2)/($B$3:$B$3000=$AM$2)*(ROW($B$3:$B$3000)-ROW($B$2)),ROWS($AN$2:$AN168))),"")</f>
        <v/>
      </c>
      <c r="AO169" s="135" t="str" cm="1">
        <f t="array" ref="AO169">IF(ROWS($AN$2:$AN168)&lt;=$AN$2,INDEX($G$3:$G$3000,_xlfn.AGGREGATE(15,3,($B$3:$B$3000=$AM$2)/($B$3:$B$3000=$AM$2)*(ROW($B$3:$B$3000)-ROW($B$2)),ROWS($AN$2:$AN168))),"")</f>
        <v/>
      </c>
      <c r="AP169" s="121"/>
      <c r="AT169" s="111"/>
      <c r="AV169" s="133" t="str" cm="1">
        <f t="array" ref="AV169">IF(ROWS($AW$2:$AW168)&lt;=$AW$2,INDEX($AM$3:$AM$792,_xlfn.AGGREGATE(15,3,($AM$3:$AM$792='Planning Template'!$F$45)/($AM$3:$AM$792='Planning Template'!$F$45)*(ROW($AM$3:$AM$792)-ROW($AM$2)),ROWS($AW$2:$AW168))),"")</f>
        <v/>
      </c>
      <c r="AW169" s="134" t="str" cm="1">
        <f t="array" ref="AW169">IF(ROWS($AU$3:$AU169)&lt;=$AW$2,INDEX($AN$3:$AN$792,_xlfn.AGGREGATE(15,3,($AM$3:$AM$792='Planning Template'!$F$45)/($AM$3:$AM$792='Planning Template'!$F$45)*(ROW($AM$3:$AM$792)-ROW($AM$2)),ROWS($AU$3:$AU169))),"")</f>
        <v/>
      </c>
      <c r="AX169" s="135" t="str">
        <f>IF(AW169="","",SUMIFS(TableSSDPeopleGroups[Population], TableSSDPeopleGroups[Ctry],'Planning Template'!$F$30,TableSSDPeopleGroups[PrimaryReligion],'Planning Template'!$F$301,TableSSDPeopleGroups[PeopleCluster],'Planning Template'!$F$45,TableSSDPeopleGroups[PeopNameInCountry],$AW169))</f>
        <v/>
      </c>
      <c r="AY169" s="234" t="str">
        <f t="shared" si="11"/>
        <v/>
      </c>
    </row>
    <row r="170" spans="1:51" s="110" customFormat="1" ht="20" customHeight="1">
      <c r="A170" s="125" t="s">
        <v>224</v>
      </c>
      <c r="B170" s="126" t="s">
        <v>68</v>
      </c>
      <c r="C170" s="127">
        <v>21408</v>
      </c>
      <c r="D170" s="157">
        <v>118215</v>
      </c>
      <c r="E170" s="158" t="s">
        <v>4576</v>
      </c>
      <c r="F170" s="158" t="s">
        <v>4576</v>
      </c>
      <c r="G170" s="159">
        <v>89000</v>
      </c>
      <c r="H170" s="159">
        <v>2</v>
      </c>
      <c r="I170" s="158" t="s">
        <v>209</v>
      </c>
      <c r="J170" s="158" t="s">
        <v>2407</v>
      </c>
      <c r="K170" s="158" t="s">
        <v>2408</v>
      </c>
      <c r="L170" s="159">
        <v>5</v>
      </c>
      <c r="M170" s="159">
        <v>2</v>
      </c>
      <c r="N170" s="158" t="s">
        <v>1718</v>
      </c>
      <c r="O170" s="159">
        <v>6.4859999999999998</v>
      </c>
      <c r="P170" s="160"/>
      <c r="Q170" s="159">
        <v>21</v>
      </c>
      <c r="R170" s="158" t="s">
        <v>200</v>
      </c>
      <c r="S170" s="158" t="s">
        <v>201</v>
      </c>
      <c r="T170" s="159">
        <v>402</v>
      </c>
      <c r="U170" s="158" t="s">
        <v>200</v>
      </c>
      <c r="V170" s="158" t="s">
        <v>1968</v>
      </c>
      <c r="W170" s="159">
        <v>1</v>
      </c>
      <c r="X170" s="159">
        <v>4</v>
      </c>
      <c r="Y170" s="158" t="s">
        <v>203</v>
      </c>
      <c r="Z170" s="158" t="s">
        <v>195</v>
      </c>
      <c r="AA170" s="158" t="s">
        <v>196</v>
      </c>
      <c r="AB170" s="158" t="s">
        <v>187</v>
      </c>
      <c r="AC170" s="158" t="s">
        <v>187</v>
      </c>
      <c r="AD170" s="160"/>
      <c r="AE170" s="158" t="s">
        <v>209</v>
      </c>
      <c r="AF170" s="159">
        <v>7.1257833831730704</v>
      </c>
      <c r="AG170" s="161">
        <v>80.009352769232393</v>
      </c>
      <c r="AM170" s="133" t="str" cm="1">
        <f t="array" ref="AM170">IF(ROWS($AN$2:$AN169)&lt;=$AN$2,INDEX($V$3:$V$3000,_xlfn.AGGREGATE(15,3,($B$3:$B$3000=$AM$2)/($B$3:$B$3000=$AM$2)*(ROW($B$3:$B$3000)-ROW($B$2)),ROWS($AN$2:$AN169))),"")</f>
        <v/>
      </c>
      <c r="AN170" s="134" t="str" cm="1">
        <f t="array" ref="AN170">IF(ROWS($AN$2:$AN169)&lt;=$AN$2,INDEX($F$3:$F$3000,_xlfn.AGGREGATE(15,3,($B$3:$B$3000=$AM$2)/($B$3:$B$3000=$AM$2)*(ROW($B$3:$B$3000)-ROW($B$2)),ROWS($AN$2:$AN169))),"")</f>
        <v/>
      </c>
      <c r="AO170" s="135" t="str" cm="1">
        <f t="array" ref="AO170">IF(ROWS($AN$2:$AN169)&lt;=$AN$2,INDEX($G$3:$G$3000,_xlfn.AGGREGATE(15,3,($B$3:$B$3000=$AM$2)/($B$3:$B$3000=$AM$2)*(ROW($B$3:$B$3000)-ROW($B$2)),ROWS($AN$2:$AN169))),"")</f>
        <v/>
      </c>
      <c r="AP170" s="121"/>
      <c r="AT170" s="111"/>
      <c r="AV170" s="133" t="str" cm="1">
        <f t="array" ref="AV170">IF(ROWS($AW$2:$AW169)&lt;=$AW$2,INDEX($AM$3:$AM$792,_xlfn.AGGREGATE(15,3,($AM$3:$AM$792='Planning Template'!$F$45)/($AM$3:$AM$792='Planning Template'!$F$45)*(ROW($AM$3:$AM$792)-ROW($AM$2)),ROWS($AW$2:$AW169))),"")</f>
        <v/>
      </c>
      <c r="AW170" s="134" t="str" cm="1">
        <f t="array" ref="AW170">IF(ROWS($AU$3:$AU170)&lt;=$AW$2,INDEX($AN$3:$AN$792,_xlfn.AGGREGATE(15,3,($AM$3:$AM$792='Planning Template'!$F$45)/($AM$3:$AM$792='Planning Template'!$F$45)*(ROW($AM$3:$AM$792)-ROW($AM$2)),ROWS($AU$3:$AU170))),"")</f>
        <v/>
      </c>
      <c r="AX170" s="135" t="str">
        <f>IF(AW170="","",SUMIFS(TableSSDPeopleGroups[Population], TableSSDPeopleGroups[Ctry],'Planning Template'!$F$30,TableSSDPeopleGroups[PrimaryReligion],'Planning Template'!$F$301,TableSSDPeopleGroups[PeopleCluster],'Planning Template'!$F$45,TableSSDPeopleGroups[PeopNameInCountry],$AW170))</f>
        <v/>
      </c>
      <c r="AY170" s="234" t="str">
        <f t="shared" si="11"/>
        <v/>
      </c>
    </row>
    <row r="171" spans="1:51" s="110" customFormat="1" ht="20" customHeight="1">
      <c r="A171" s="125" t="s">
        <v>224</v>
      </c>
      <c r="B171" s="126" t="s">
        <v>68</v>
      </c>
      <c r="C171" s="127">
        <v>21385</v>
      </c>
      <c r="D171" s="157">
        <v>118190</v>
      </c>
      <c r="E171" s="158" t="s">
        <v>4467</v>
      </c>
      <c r="F171" s="158" t="s">
        <v>4467</v>
      </c>
      <c r="G171" s="159">
        <v>60000</v>
      </c>
      <c r="H171" s="159">
        <v>2</v>
      </c>
      <c r="I171" s="158" t="s">
        <v>209</v>
      </c>
      <c r="J171" s="158" t="s">
        <v>2407</v>
      </c>
      <c r="K171" s="158" t="s">
        <v>2408</v>
      </c>
      <c r="L171" s="159">
        <v>5</v>
      </c>
      <c r="M171" s="159">
        <v>2</v>
      </c>
      <c r="N171" s="158" t="s">
        <v>1718</v>
      </c>
      <c r="O171" s="159">
        <v>6.5170000000000003</v>
      </c>
      <c r="P171" s="160"/>
      <c r="Q171" s="159">
        <v>21</v>
      </c>
      <c r="R171" s="158" t="s">
        <v>200</v>
      </c>
      <c r="S171" s="158" t="s">
        <v>201</v>
      </c>
      <c r="T171" s="159">
        <v>402</v>
      </c>
      <c r="U171" s="158" t="s">
        <v>200</v>
      </c>
      <c r="V171" s="158" t="s">
        <v>1968</v>
      </c>
      <c r="W171" s="159">
        <v>1</v>
      </c>
      <c r="X171" s="159">
        <v>4</v>
      </c>
      <c r="Y171" s="158" t="s">
        <v>203</v>
      </c>
      <c r="Z171" s="158" t="s">
        <v>195</v>
      </c>
      <c r="AA171" s="158" t="s">
        <v>196</v>
      </c>
      <c r="AB171" s="158" t="s">
        <v>187</v>
      </c>
      <c r="AC171" s="158" t="s">
        <v>187</v>
      </c>
      <c r="AD171" s="160"/>
      <c r="AE171" s="158" t="s">
        <v>209</v>
      </c>
      <c r="AF171" s="159">
        <v>7.1258884361117998</v>
      </c>
      <c r="AG171" s="161">
        <v>80.009708811703803</v>
      </c>
      <c r="AM171" s="133" t="str" cm="1">
        <f t="array" ref="AM171">IF(ROWS($AN$2:$AN170)&lt;=$AN$2,INDEX($V$3:$V$3000,_xlfn.AGGREGATE(15,3,($B$3:$B$3000=$AM$2)/($B$3:$B$3000=$AM$2)*(ROW($B$3:$B$3000)-ROW($B$2)),ROWS($AN$2:$AN170))),"")</f>
        <v/>
      </c>
      <c r="AN171" s="134" t="str" cm="1">
        <f t="array" ref="AN171">IF(ROWS($AN$2:$AN170)&lt;=$AN$2,INDEX($F$3:$F$3000,_xlfn.AGGREGATE(15,3,($B$3:$B$3000=$AM$2)/($B$3:$B$3000=$AM$2)*(ROW($B$3:$B$3000)-ROW($B$2)),ROWS($AN$2:$AN170))),"")</f>
        <v/>
      </c>
      <c r="AO171" s="135" t="str" cm="1">
        <f t="array" ref="AO171">IF(ROWS($AN$2:$AN170)&lt;=$AN$2,INDEX($G$3:$G$3000,_xlfn.AGGREGATE(15,3,($B$3:$B$3000=$AM$2)/($B$3:$B$3000=$AM$2)*(ROW($B$3:$B$3000)-ROW($B$2)),ROWS($AN$2:$AN170))),"")</f>
        <v/>
      </c>
      <c r="AP171" s="121"/>
      <c r="AT171" s="111"/>
      <c r="AV171" s="133" t="str" cm="1">
        <f t="array" ref="AV171">IF(ROWS($AW$2:$AW170)&lt;=$AW$2,INDEX($AM$3:$AM$792,_xlfn.AGGREGATE(15,3,($AM$3:$AM$792='Planning Template'!$F$45)/($AM$3:$AM$792='Planning Template'!$F$45)*(ROW($AM$3:$AM$792)-ROW($AM$2)),ROWS($AW$2:$AW170))),"")</f>
        <v/>
      </c>
      <c r="AW171" s="134" t="str" cm="1">
        <f t="array" ref="AW171">IF(ROWS($AU$3:$AU171)&lt;=$AW$2,INDEX($AN$3:$AN$792,_xlfn.AGGREGATE(15,3,($AM$3:$AM$792='Planning Template'!$F$45)/($AM$3:$AM$792='Planning Template'!$F$45)*(ROW($AM$3:$AM$792)-ROW($AM$2)),ROWS($AU$3:$AU171))),"")</f>
        <v/>
      </c>
      <c r="AX171" s="135" t="str">
        <f>IF(AW171="","",SUMIFS(TableSSDPeopleGroups[Population], TableSSDPeopleGroups[Ctry],'Planning Template'!$F$30,TableSSDPeopleGroups[PrimaryReligion],'Planning Template'!$F$301,TableSSDPeopleGroups[PeopleCluster],'Planning Template'!$F$45,TableSSDPeopleGroups[PeopNameInCountry],$AW171))</f>
        <v/>
      </c>
      <c r="AY171" s="234" t="str">
        <f t="shared" si="11"/>
        <v/>
      </c>
    </row>
    <row r="172" spans="1:51" s="110" customFormat="1" ht="20" customHeight="1">
      <c r="A172" s="125" t="s">
        <v>224</v>
      </c>
      <c r="B172" s="126" t="s">
        <v>68</v>
      </c>
      <c r="C172" s="127">
        <v>21432</v>
      </c>
      <c r="D172" s="157">
        <v>118245</v>
      </c>
      <c r="E172" s="158" t="s">
        <v>4457</v>
      </c>
      <c r="F172" s="158" t="s">
        <v>4457</v>
      </c>
      <c r="G172" s="159">
        <v>58000</v>
      </c>
      <c r="H172" s="159">
        <v>2</v>
      </c>
      <c r="I172" s="158" t="s">
        <v>209</v>
      </c>
      <c r="J172" s="158" t="s">
        <v>2407</v>
      </c>
      <c r="K172" s="158" t="s">
        <v>2408</v>
      </c>
      <c r="L172" s="159">
        <v>5</v>
      </c>
      <c r="M172" s="159">
        <v>2</v>
      </c>
      <c r="N172" s="158" t="s">
        <v>1718</v>
      </c>
      <c r="O172" s="159">
        <v>5.0839999999999996</v>
      </c>
      <c r="P172" s="160"/>
      <c r="Q172" s="159">
        <v>21</v>
      </c>
      <c r="R172" s="158" t="s">
        <v>200</v>
      </c>
      <c r="S172" s="158" t="s">
        <v>201</v>
      </c>
      <c r="T172" s="159">
        <v>402</v>
      </c>
      <c r="U172" s="158" t="s">
        <v>200</v>
      </c>
      <c r="V172" s="158" t="s">
        <v>1968</v>
      </c>
      <c r="W172" s="159">
        <v>1</v>
      </c>
      <c r="X172" s="159">
        <v>4</v>
      </c>
      <c r="Y172" s="158" t="s">
        <v>203</v>
      </c>
      <c r="Z172" s="158" t="s">
        <v>195</v>
      </c>
      <c r="AA172" s="158" t="s">
        <v>196</v>
      </c>
      <c r="AB172" s="158" t="s">
        <v>187</v>
      </c>
      <c r="AC172" s="158" t="s">
        <v>187</v>
      </c>
      <c r="AD172" s="160"/>
      <c r="AE172" s="158" t="s">
        <v>209</v>
      </c>
      <c r="AF172" s="159">
        <v>6.5722533754187404</v>
      </c>
      <c r="AG172" s="161">
        <v>80.123509100584002</v>
      </c>
      <c r="AM172" s="133" t="str" cm="1">
        <f t="array" ref="AM172">IF(ROWS($AN$2:$AN171)&lt;=$AN$2,INDEX($V$3:$V$3000,_xlfn.AGGREGATE(15,3,($B$3:$B$3000=$AM$2)/($B$3:$B$3000=$AM$2)*(ROW($B$3:$B$3000)-ROW($B$2)),ROWS($AN$2:$AN171))),"")</f>
        <v/>
      </c>
      <c r="AN172" s="134" t="str" cm="1">
        <f t="array" ref="AN172">IF(ROWS($AN$2:$AN171)&lt;=$AN$2,INDEX($F$3:$F$3000,_xlfn.AGGREGATE(15,3,($B$3:$B$3000=$AM$2)/($B$3:$B$3000=$AM$2)*(ROW($B$3:$B$3000)-ROW($B$2)),ROWS($AN$2:$AN171))),"")</f>
        <v/>
      </c>
      <c r="AO172" s="135" t="str" cm="1">
        <f t="array" ref="AO172">IF(ROWS($AN$2:$AN171)&lt;=$AN$2,INDEX($G$3:$G$3000,_xlfn.AGGREGATE(15,3,($B$3:$B$3000=$AM$2)/($B$3:$B$3000=$AM$2)*(ROW($B$3:$B$3000)-ROW($B$2)),ROWS($AN$2:$AN171))),"")</f>
        <v/>
      </c>
      <c r="AP172" s="121"/>
      <c r="AT172" s="111"/>
      <c r="AV172" s="133" t="str" cm="1">
        <f t="array" ref="AV172">IF(ROWS($AW$2:$AW171)&lt;=$AW$2,INDEX($AM$3:$AM$792,_xlfn.AGGREGATE(15,3,($AM$3:$AM$792='Planning Template'!$F$45)/($AM$3:$AM$792='Planning Template'!$F$45)*(ROW($AM$3:$AM$792)-ROW($AM$2)),ROWS($AW$2:$AW171))),"")</f>
        <v/>
      </c>
      <c r="AW172" s="134" t="str" cm="1">
        <f t="array" ref="AW172">IF(ROWS($AU$3:$AU172)&lt;=$AW$2,INDEX($AN$3:$AN$792,_xlfn.AGGREGATE(15,3,($AM$3:$AM$792='Planning Template'!$F$45)/($AM$3:$AM$792='Planning Template'!$F$45)*(ROW($AM$3:$AM$792)-ROW($AM$2)),ROWS($AU$3:$AU172))),"")</f>
        <v/>
      </c>
      <c r="AX172" s="135" t="str">
        <f>IF(AW172="","",SUMIFS(TableSSDPeopleGroups[Population], TableSSDPeopleGroups[Ctry],'Planning Template'!$F$30,TableSSDPeopleGroups[PrimaryReligion],'Planning Template'!$F$301,TableSSDPeopleGroups[PeopleCluster],'Planning Template'!$F$45,TableSSDPeopleGroups[PeopNameInCountry],$AW172))</f>
        <v/>
      </c>
      <c r="AY172" s="234" t="str">
        <f t="shared" si="11"/>
        <v/>
      </c>
    </row>
    <row r="173" spans="1:51" s="110" customFormat="1" ht="20" customHeight="1">
      <c r="A173" s="125" t="s">
        <v>224</v>
      </c>
      <c r="B173" s="126" t="s">
        <v>68</v>
      </c>
      <c r="C173" s="127">
        <v>21394</v>
      </c>
      <c r="D173" s="157">
        <v>118201</v>
      </c>
      <c r="E173" s="158" t="s">
        <v>4341</v>
      </c>
      <c r="F173" s="158" t="s">
        <v>4341</v>
      </c>
      <c r="G173" s="159">
        <v>37000</v>
      </c>
      <c r="H173" s="159">
        <v>2</v>
      </c>
      <c r="I173" s="158" t="s">
        <v>209</v>
      </c>
      <c r="J173" s="158" t="s">
        <v>2407</v>
      </c>
      <c r="K173" s="158" t="s">
        <v>2408</v>
      </c>
      <c r="L173" s="159">
        <v>5</v>
      </c>
      <c r="M173" s="159">
        <v>2</v>
      </c>
      <c r="N173" s="158" t="s">
        <v>1718</v>
      </c>
      <c r="O173" s="159">
        <v>6.5030000000000001</v>
      </c>
      <c r="P173" s="160"/>
      <c r="Q173" s="159">
        <v>21</v>
      </c>
      <c r="R173" s="158" t="s">
        <v>200</v>
      </c>
      <c r="S173" s="158" t="s">
        <v>201</v>
      </c>
      <c r="T173" s="159">
        <v>402</v>
      </c>
      <c r="U173" s="158" t="s">
        <v>200</v>
      </c>
      <c r="V173" s="158" t="s">
        <v>1968</v>
      </c>
      <c r="W173" s="159">
        <v>1</v>
      </c>
      <c r="X173" s="159">
        <v>4</v>
      </c>
      <c r="Y173" s="158" t="s">
        <v>203</v>
      </c>
      <c r="Z173" s="158" t="s">
        <v>195</v>
      </c>
      <c r="AA173" s="158" t="s">
        <v>196</v>
      </c>
      <c r="AB173" s="158" t="s">
        <v>187</v>
      </c>
      <c r="AC173" s="158" t="s">
        <v>187</v>
      </c>
      <c r="AD173" s="160"/>
      <c r="AE173" s="158" t="s">
        <v>209</v>
      </c>
      <c r="AF173" s="159">
        <v>7.1260228854898999</v>
      </c>
      <c r="AG173" s="161">
        <v>80.009315002932595</v>
      </c>
      <c r="AM173" s="133" t="str" cm="1">
        <f t="array" ref="AM173">IF(ROWS($AN$2:$AN172)&lt;=$AN$2,INDEX($V$3:$V$3000,_xlfn.AGGREGATE(15,3,($B$3:$B$3000=$AM$2)/($B$3:$B$3000=$AM$2)*(ROW($B$3:$B$3000)-ROW($B$2)),ROWS($AN$2:$AN172))),"")</f>
        <v/>
      </c>
      <c r="AN173" s="134" t="str" cm="1">
        <f t="array" ref="AN173">IF(ROWS($AN$2:$AN172)&lt;=$AN$2,INDEX($F$3:$F$3000,_xlfn.AGGREGATE(15,3,($B$3:$B$3000=$AM$2)/($B$3:$B$3000=$AM$2)*(ROW($B$3:$B$3000)-ROW($B$2)),ROWS($AN$2:$AN172))),"")</f>
        <v/>
      </c>
      <c r="AO173" s="135" t="str" cm="1">
        <f t="array" ref="AO173">IF(ROWS($AN$2:$AN172)&lt;=$AN$2,INDEX($G$3:$G$3000,_xlfn.AGGREGATE(15,3,($B$3:$B$3000=$AM$2)/($B$3:$B$3000=$AM$2)*(ROW($B$3:$B$3000)-ROW($B$2)),ROWS($AN$2:$AN172))),"")</f>
        <v/>
      </c>
      <c r="AP173" s="121"/>
      <c r="AT173" s="111"/>
      <c r="AV173" s="133" t="str" cm="1">
        <f t="array" ref="AV173">IF(ROWS($AW$2:$AW172)&lt;=$AW$2,INDEX($AM$3:$AM$792,_xlfn.AGGREGATE(15,3,($AM$3:$AM$792='Planning Template'!$F$45)/($AM$3:$AM$792='Planning Template'!$F$45)*(ROW($AM$3:$AM$792)-ROW($AM$2)),ROWS($AW$2:$AW172))),"")</f>
        <v/>
      </c>
      <c r="AW173" s="134" t="str" cm="1">
        <f t="array" ref="AW173">IF(ROWS($AU$3:$AU173)&lt;=$AW$2,INDEX($AN$3:$AN$792,_xlfn.AGGREGATE(15,3,($AM$3:$AM$792='Planning Template'!$F$45)/($AM$3:$AM$792='Planning Template'!$F$45)*(ROW($AM$3:$AM$792)-ROW($AM$2)),ROWS($AU$3:$AU173))),"")</f>
        <v/>
      </c>
      <c r="AX173" s="135" t="str">
        <f>IF(AW173="","",SUMIFS(TableSSDPeopleGroups[Population], TableSSDPeopleGroups[Ctry],'Planning Template'!$F$30,TableSSDPeopleGroups[PrimaryReligion],'Planning Template'!$F$301,TableSSDPeopleGroups[PeopleCluster],'Planning Template'!$F$45,TableSSDPeopleGroups[PeopNameInCountry],$AW173))</f>
        <v/>
      </c>
      <c r="AY173" s="234" t="str">
        <f t="shared" si="11"/>
        <v/>
      </c>
    </row>
    <row r="174" spans="1:51" s="110" customFormat="1" ht="20" customHeight="1">
      <c r="A174" s="125" t="s">
        <v>224</v>
      </c>
      <c r="B174" s="126" t="s">
        <v>68</v>
      </c>
      <c r="C174" s="127">
        <v>21423</v>
      </c>
      <c r="D174" s="157">
        <v>118235</v>
      </c>
      <c r="E174" s="158" t="s">
        <v>4227</v>
      </c>
      <c r="F174" s="158" t="s">
        <v>4227</v>
      </c>
      <c r="G174" s="159">
        <v>30000</v>
      </c>
      <c r="H174" s="159">
        <v>2</v>
      </c>
      <c r="I174" s="158" t="s">
        <v>209</v>
      </c>
      <c r="J174" s="158" t="s">
        <v>2407</v>
      </c>
      <c r="K174" s="158" t="s">
        <v>2408</v>
      </c>
      <c r="L174" s="159">
        <v>5</v>
      </c>
      <c r="M174" s="159">
        <v>2</v>
      </c>
      <c r="N174" s="158" t="s">
        <v>1718</v>
      </c>
      <c r="O174" s="159">
        <v>5.1970000000000001</v>
      </c>
      <c r="P174" s="160"/>
      <c r="Q174" s="159">
        <v>21</v>
      </c>
      <c r="R174" s="158" t="s">
        <v>200</v>
      </c>
      <c r="S174" s="158" t="s">
        <v>201</v>
      </c>
      <c r="T174" s="159">
        <v>402</v>
      </c>
      <c r="U174" s="158" t="s">
        <v>200</v>
      </c>
      <c r="V174" s="158" t="s">
        <v>1968</v>
      </c>
      <c r="W174" s="159">
        <v>1</v>
      </c>
      <c r="X174" s="159">
        <v>4</v>
      </c>
      <c r="Y174" s="158" t="s">
        <v>203</v>
      </c>
      <c r="Z174" s="158" t="s">
        <v>195</v>
      </c>
      <c r="AA174" s="158" t="s">
        <v>196</v>
      </c>
      <c r="AB174" s="158" t="s">
        <v>187</v>
      </c>
      <c r="AC174" s="158" t="s">
        <v>187</v>
      </c>
      <c r="AD174" s="160"/>
      <c r="AE174" s="158" t="s">
        <v>209</v>
      </c>
      <c r="AF174" s="159">
        <v>7.1258205628314197</v>
      </c>
      <c r="AG174" s="161">
        <v>80.009635841255999</v>
      </c>
      <c r="AM174" s="133" t="str" cm="1">
        <f t="array" ref="AM174">IF(ROWS($AN$2:$AN173)&lt;=$AN$2,INDEX($V$3:$V$3000,_xlfn.AGGREGATE(15,3,($B$3:$B$3000=$AM$2)/($B$3:$B$3000=$AM$2)*(ROW($B$3:$B$3000)-ROW($B$2)),ROWS($AN$2:$AN173))),"")</f>
        <v/>
      </c>
      <c r="AN174" s="134" t="str" cm="1">
        <f t="array" ref="AN174">IF(ROWS($AN$2:$AN173)&lt;=$AN$2,INDEX($F$3:$F$3000,_xlfn.AGGREGATE(15,3,($B$3:$B$3000=$AM$2)/($B$3:$B$3000=$AM$2)*(ROW($B$3:$B$3000)-ROW($B$2)),ROWS($AN$2:$AN173))),"")</f>
        <v/>
      </c>
      <c r="AO174" s="135" t="str" cm="1">
        <f t="array" ref="AO174">IF(ROWS($AN$2:$AN173)&lt;=$AN$2,INDEX($G$3:$G$3000,_xlfn.AGGREGATE(15,3,($B$3:$B$3000=$AM$2)/($B$3:$B$3000=$AM$2)*(ROW($B$3:$B$3000)-ROW($B$2)),ROWS($AN$2:$AN173))),"")</f>
        <v/>
      </c>
      <c r="AP174" s="121"/>
      <c r="AT174" s="111"/>
      <c r="AV174" s="133" t="str" cm="1">
        <f t="array" ref="AV174">IF(ROWS($AW$2:$AW173)&lt;=$AW$2,INDEX($AM$3:$AM$792,_xlfn.AGGREGATE(15,3,($AM$3:$AM$792='Planning Template'!$F$45)/($AM$3:$AM$792='Planning Template'!$F$45)*(ROW($AM$3:$AM$792)-ROW($AM$2)),ROWS($AW$2:$AW173))),"")</f>
        <v/>
      </c>
      <c r="AW174" s="134" t="str" cm="1">
        <f t="array" ref="AW174">IF(ROWS($AU$3:$AU174)&lt;=$AW$2,INDEX($AN$3:$AN$792,_xlfn.AGGREGATE(15,3,($AM$3:$AM$792='Planning Template'!$F$45)/($AM$3:$AM$792='Planning Template'!$F$45)*(ROW($AM$3:$AM$792)-ROW($AM$2)),ROWS($AU$3:$AU174))),"")</f>
        <v/>
      </c>
      <c r="AX174" s="135" t="str">
        <f>IF(AW174="","",SUMIFS(TableSSDPeopleGroups[Population], TableSSDPeopleGroups[Ctry],'Planning Template'!$F$30,TableSSDPeopleGroups[PrimaryReligion],'Planning Template'!$F$301,TableSSDPeopleGroups[PeopleCluster],'Planning Template'!$F$45,TableSSDPeopleGroups[PeopNameInCountry],$AW174))</f>
        <v/>
      </c>
      <c r="AY174" s="234" t="str">
        <f t="shared" si="11"/>
        <v/>
      </c>
    </row>
    <row r="175" spans="1:51" s="110" customFormat="1" ht="20" customHeight="1">
      <c r="A175" s="125" t="s">
        <v>224</v>
      </c>
      <c r="B175" s="126" t="s">
        <v>68</v>
      </c>
      <c r="C175" s="127">
        <v>21427</v>
      </c>
      <c r="D175" s="157">
        <v>118240</v>
      </c>
      <c r="E175" s="158" t="s">
        <v>4228</v>
      </c>
      <c r="F175" s="158" t="s">
        <v>4228</v>
      </c>
      <c r="G175" s="159">
        <v>30000</v>
      </c>
      <c r="H175" s="159">
        <v>2</v>
      </c>
      <c r="I175" s="158" t="s">
        <v>209</v>
      </c>
      <c r="J175" s="158" t="s">
        <v>2407</v>
      </c>
      <c r="K175" s="158" t="s">
        <v>2408</v>
      </c>
      <c r="L175" s="159">
        <v>5</v>
      </c>
      <c r="M175" s="159">
        <v>2</v>
      </c>
      <c r="N175" s="158" t="s">
        <v>1718</v>
      </c>
      <c r="O175" s="159">
        <v>5.3789999999999996</v>
      </c>
      <c r="P175" s="160"/>
      <c r="Q175" s="159">
        <v>21</v>
      </c>
      <c r="R175" s="158" t="s">
        <v>200</v>
      </c>
      <c r="S175" s="158" t="s">
        <v>201</v>
      </c>
      <c r="T175" s="159">
        <v>402</v>
      </c>
      <c r="U175" s="158" t="s">
        <v>200</v>
      </c>
      <c r="V175" s="158" t="s">
        <v>1968</v>
      </c>
      <c r="W175" s="159">
        <v>1</v>
      </c>
      <c r="X175" s="159">
        <v>4</v>
      </c>
      <c r="Y175" s="158" t="s">
        <v>203</v>
      </c>
      <c r="Z175" s="158" t="s">
        <v>195</v>
      </c>
      <c r="AA175" s="158" t="s">
        <v>196</v>
      </c>
      <c r="AB175" s="158" t="s">
        <v>187</v>
      </c>
      <c r="AC175" s="158" t="s">
        <v>187</v>
      </c>
      <c r="AD175" s="160"/>
      <c r="AE175" s="158" t="s">
        <v>209</v>
      </c>
      <c r="AF175" s="159">
        <v>7.1255041279446001</v>
      </c>
      <c r="AG175" s="161">
        <v>80.009810948061997</v>
      </c>
      <c r="AM175" s="133" t="str" cm="1">
        <f t="array" ref="AM175">IF(ROWS($AN$2:$AN174)&lt;=$AN$2,INDEX($V$3:$V$3000,_xlfn.AGGREGATE(15,3,($B$3:$B$3000=$AM$2)/($B$3:$B$3000=$AM$2)*(ROW($B$3:$B$3000)-ROW($B$2)),ROWS($AN$2:$AN174))),"")</f>
        <v/>
      </c>
      <c r="AN175" s="134" t="str" cm="1">
        <f t="array" ref="AN175">IF(ROWS($AN$2:$AN174)&lt;=$AN$2,INDEX($F$3:$F$3000,_xlfn.AGGREGATE(15,3,($B$3:$B$3000=$AM$2)/($B$3:$B$3000=$AM$2)*(ROW($B$3:$B$3000)-ROW($B$2)),ROWS($AN$2:$AN174))),"")</f>
        <v/>
      </c>
      <c r="AO175" s="135" t="str" cm="1">
        <f t="array" ref="AO175">IF(ROWS($AN$2:$AN174)&lt;=$AN$2,INDEX($G$3:$G$3000,_xlfn.AGGREGATE(15,3,($B$3:$B$3000=$AM$2)/($B$3:$B$3000=$AM$2)*(ROW($B$3:$B$3000)-ROW($B$2)),ROWS($AN$2:$AN174))),"")</f>
        <v/>
      </c>
      <c r="AP175" s="121"/>
      <c r="AT175" s="111"/>
      <c r="AV175" s="133" t="str" cm="1">
        <f t="array" ref="AV175">IF(ROWS($AW$2:$AW174)&lt;=$AW$2,INDEX($AM$3:$AM$792,_xlfn.AGGREGATE(15,3,($AM$3:$AM$792='Planning Template'!$F$45)/($AM$3:$AM$792='Planning Template'!$F$45)*(ROW($AM$3:$AM$792)-ROW($AM$2)),ROWS($AW$2:$AW174))),"")</f>
        <v/>
      </c>
      <c r="AW175" s="134" t="str" cm="1">
        <f t="array" ref="AW175">IF(ROWS($AU$3:$AU175)&lt;=$AW$2,INDEX($AN$3:$AN$792,_xlfn.AGGREGATE(15,3,($AM$3:$AM$792='Planning Template'!$F$45)/($AM$3:$AM$792='Planning Template'!$F$45)*(ROW($AM$3:$AM$792)-ROW($AM$2)),ROWS($AU$3:$AU175))),"")</f>
        <v/>
      </c>
      <c r="AX175" s="135" t="str">
        <f>IF(AW175="","",SUMIFS(TableSSDPeopleGroups[Population], TableSSDPeopleGroups[Ctry],'Planning Template'!$F$30,TableSSDPeopleGroups[PrimaryReligion],'Planning Template'!$F$301,TableSSDPeopleGroups[PeopleCluster],'Planning Template'!$F$45,TableSSDPeopleGroups[PeopNameInCountry],$AW175))</f>
        <v/>
      </c>
      <c r="AY175" s="234" t="str">
        <f t="shared" si="11"/>
        <v/>
      </c>
    </row>
    <row r="176" spans="1:51" s="110" customFormat="1" ht="20" customHeight="1">
      <c r="A176" s="125" t="s">
        <v>224</v>
      </c>
      <c r="B176" s="126" t="s">
        <v>68</v>
      </c>
      <c r="C176" s="127">
        <v>21400</v>
      </c>
      <c r="D176" s="157">
        <v>118207</v>
      </c>
      <c r="E176" s="158" t="s">
        <v>4175</v>
      </c>
      <c r="F176" s="158" t="s">
        <v>4175</v>
      </c>
      <c r="G176" s="159">
        <v>27000</v>
      </c>
      <c r="H176" s="159">
        <v>2</v>
      </c>
      <c r="I176" s="158" t="s">
        <v>209</v>
      </c>
      <c r="J176" s="158" t="s">
        <v>2407</v>
      </c>
      <c r="K176" s="158" t="s">
        <v>2408</v>
      </c>
      <c r="L176" s="159">
        <v>5</v>
      </c>
      <c r="M176" s="159">
        <v>2</v>
      </c>
      <c r="N176" s="158" t="s">
        <v>1718</v>
      </c>
      <c r="O176" s="159">
        <v>5.2770000000000001</v>
      </c>
      <c r="P176" s="160"/>
      <c r="Q176" s="159">
        <v>21</v>
      </c>
      <c r="R176" s="158" t="s">
        <v>200</v>
      </c>
      <c r="S176" s="158" t="s">
        <v>201</v>
      </c>
      <c r="T176" s="159">
        <v>402</v>
      </c>
      <c r="U176" s="158" t="s">
        <v>200</v>
      </c>
      <c r="V176" s="158" t="s">
        <v>1968</v>
      </c>
      <c r="W176" s="159">
        <v>1</v>
      </c>
      <c r="X176" s="159">
        <v>4</v>
      </c>
      <c r="Y176" s="158" t="s">
        <v>203</v>
      </c>
      <c r="Z176" s="158" t="s">
        <v>195</v>
      </c>
      <c r="AA176" s="158" t="s">
        <v>196</v>
      </c>
      <c r="AB176" s="158" t="s">
        <v>187</v>
      </c>
      <c r="AC176" s="158" t="s">
        <v>187</v>
      </c>
      <c r="AD176" s="160"/>
      <c r="AE176" s="158" t="s">
        <v>209</v>
      </c>
      <c r="AF176" s="159">
        <v>7.1250870277516603</v>
      </c>
      <c r="AG176" s="161">
        <v>80.009420736779802</v>
      </c>
      <c r="AM176" s="133" t="str" cm="1">
        <f t="array" ref="AM176">IF(ROWS($AN$2:$AN175)&lt;=$AN$2,INDEX($V$3:$V$3000,_xlfn.AGGREGATE(15,3,($B$3:$B$3000=$AM$2)/($B$3:$B$3000=$AM$2)*(ROW($B$3:$B$3000)-ROW($B$2)),ROWS($AN$2:$AN175))),"")</f>
        <v/>
      </c>
      <c r="AN176" s="134" t="str" cm="1">
        <f t="array" ref="AN176">IF(ROWS($AN$2:$AN175)&lt;=$AN$2,INDEX($F$3:$F$3000,_xlfn.AGGREGATE(15,3,($B$3:$B$3000=$AM$2)/($B$3:$B$3000=$AM$2)*(ROW($B$3:$B$3000)-ROW($B$2)),ROWS($AN$2:$AN175))),"")</f>
        <v/>
      </c>
      <c r="AO176" s="135" t="str" cm="1">
        <f t="array" ref="AO176">IF(ROWS($AN$2:$AN175)&lt;=$AN$2,INDEX($G$3:$G$3000,_xlfn.AGGREGATE(15,3,($B$3:$B$3000=$AM$2)/($B$3:$B$3000=$AM$2)*(ROW($B$3:$B$3000)-ROW($B$2)),ROWS($AN$2:$AN175))),"")</f>
        <v/>
      </c>
      <c r="AP176" s="121"/>
      <c r="AT176" s="111"/>
      <c r="AV176" s="133" t="str" cm="1">
        <f t="array" ref="AV176">IF(ROWS($AW$2:$AW175)&lt;=$AW$2,INDEX($AM$3:$AM$792,_xlfn.AGGREGATE(15,3,($AM$3:$AM$792='Planning Template'!$F$45)/($AM$3:$AM$792='Planning Template'!$F$45)*(ROW($AM$3:$AM$792)-ROW($AM$2)),ROWS($AW$2:$AW175))),"")</f>
        <v/>
      </c>
      <c r="AW176" s="134" t="str" cm="1">
        <f t="array" ref="AW176">IF(ROWS($AU$3:$AU176)&lt;=$AW$2,INDEX($AN$3:$AN$792,_xlfn.AGGREGATE(15,3,($AM$3:$AM$792='Planning Template'!$F$45)/($AM$3:$AM$792='Planning Template'!$F$45)*(ROW($AM$3:$AM$792)-ROW($AM$2)),ROWS($AU$3:$AU176))),"")</f>
        <v/>
      </c>
      <c r="AX176" s="135" t="str">
        <f>IF(AW176="","",SUMIFS(TableSSDPeopleGroups[Population], TableSSDPeopleGroups[Ctry],'Planning Template'!$F$30,TableSSDPeopleGroups[PrimaryReligion],'Planning Template'!$F$301,TableSSDPeopleGroups[PeopleCluster],'Planning Template'!$F$45,TableSSDPeopleGroups[PeopNameInCountry],$AW176))</f>
        <v/>
      </c>
      <c r="AY176" s="234" t="str">
        <f t="shared" si="11"/>
        <v/>
      </c>
    </row>
    <row r="177" spans="1:51" s="110" customFormat="1" ht="20" customHeight="1">
      <c r="A177" s="125" t="s">
        <v>224</v>
      </c>
      <c r="B177" s="126" t="s">
        <v>68</v>
      </c>
      <c r="C177" s="127">
        <v>21401</v>
      </c>
      <c r="D177" s="157">
        <v>118208</v>
      </c>
      <c r="E177" s="158" t="s">
        <v>4176</v>
      </c>
      <c r="F177" s="158" t="s">
        <v>4176</v>
      </c>
      <c r="G177" s="159">
        <v>27000</v>
      </c>
      <c r="H177" s="159">
        <v>2</v>
      </c>
      <c r="I177" s="158" t="s">
        <v>209</v>
      </c>
      <c r="J177" s="158" t="s">
        <v>2407</v>
      </c>
      <c r="K177" s="158" t="s">
        <v>2408</v>
      </c>
      <c r="L177" s="159">
        <v>5</v>
      </c>
      <c r="M177" s="159">
        <v>2</v>
      </c>
      <c r="N177" s="158" t="s">
        <v>1718</v>
      </c>
      <c r="O177" s="159">
        <v>5.2690000000000001</v>
      </c>
      <c r="P177" s="160"/>
      <c r="Q177" s="159">
        <v>21</v>
      </c>
      <c r="R177" s="158" t="s">
        <v>200</v>
      </c>
      <c r="S177" s="158" t="s">
        <v>201</v>
      </c>
      <c r="T177" s="159">
        <v>402</v>
      </c>
      <c r="U177" s="158" t="s">
        <v>200</v>
      </c>
      <c r="V177" s="158" t="s">
        <v>1968</v>
      </c>
      <c r="W177" s="159">
        <v>1</v>
      </c>
      <c r="X177" s="159">
        <v>4</v>
      </c>
      <c r="Y177" s="158" t="s">
        <v>203</v>
      </c>
      <c r="Z177" s="158" t="s">
        <v>195</v>
      </c>
      <c r="AA177" s="158" t="s">
        <v>196</v>
      </c>
      <c r="AB177" s="158" t="s">
        <v>187</v>
      </c>
      <c r="AC177" s="158" t="s">
        <v>187</v>
      </c>
      <c r="AD177" s="160"/>
      <c r="AE177" s="158" t="s">
        <v>209</v>
      </c>
      <c r="AF177" s="159">
        <v>7.1257589755309603</v>
      </c>
      <c r="AG177" s="161">
        <v>80.009628142490499</v>
      </c>
      <c r="AM177" s="133" t="str" cm="1">
        <f t="array" ref="AM177">IF(ROWS($AN$2:$AN176)&lt;=$AN$2,INDEX($V$3:$V$3000,_xlfn.AGGREGATE(15,3,($B$3:$B$3000=$AM$2)/($B$3:$B$3000=$AM$2)*(ROW($B$3:$B$3000)-ROW($B$2)),ROWS($AN$2:$AN176))),"")</f>
        <v/>
      </c>
      <c r="AN177" s="134" t="str" cm="1">
        <f t="array" ref="AN177">IF(ROWS($AN$2:$AN176)&lt;=$AN$2,INDEX($F$3:$F$3000,_xlfn.AGGREGATE(15,3,($B$3:$B$3000=$AM$2)/($B$3:$B$3000=$AM$2)*(ROW($B$3:$B$3000)-ROW($B$2)),ROWS($AN$2:$AN176))),"")</f>
        <v/>
      </c>
      <c r="AO177" s="135" t="str" cm="1">
        <f t="array" ref="AO177">IF(ROWS($AN$2:$AN176)&lt;=$AN$2,INDEX($G$3:$G$3000,_xlfn.AGGREGATE(15,3,($B$3:$B$3000=$AM$2)/($B$3:$B$3000=$AM$2)*(ROW($B$3:$B$3000)-ROW($B$2)),ROWS($AN$2:$AN176))),"")</f>
        <v/>
      </c>
      <c r="AP177" s="121"/>
      <c r="AT177" s="111"/>
      <c r="AV177" s="133" t="str" cm="1">
        <f t="array" ref="AV177">IF(ROWS($AW$2:$AW176)&lt;=$AW$2,INDEX($AM$3:$AM$792,_xlfn.AGGREGATE(15,3,($AM$3:$AM$792='Planning Template'!$F$45)/($AM$3:$AM$792='Planning Template'!$F$45)*(ROW($AM$3:$AM$792)-ROW($AM$2)),ROWS($AW$2:$AW176))),"")</f>
        <v/>
      </c>
      <c r="AW177" s="134" t="str" cm="1">
        <f t="array" ref="AW177">IF(ROWS($AU$3:$AU177)&lt;=$AW$2,INDEX($AN$3:$AN$792,_xlfn.AGGREGATE(15,3,($AM$3:$AM$792='Planning Template'!$F$45)/($AM$3:$AM$792='Planning Template'!$F$45)*(ROW($AM$3:$AM$792)-ROW($AM$2)),ROWS($AU$3:$AU177))),"")</f>
        <v/>
      </c>
      <c r="AX177" s="135" t="str">
        <f>IF(AW177="","",SUMIFS(TableSSDPeopleGroups[Population], TableSSDPeopleGroups[Ctry],'Planning Template'!$F$30,TableSSDPeopleGroups[PrimaryReligion],'Planning Template'!$F$301,TableSSDPeopleGroups[PeopleCluster],'Planning Template'!$F$45,TableSSDPeopleGroups[PeopNameInCountry],$AW177))</f>
        <v/>
      </c>
      <c r="AY177" s="234" t="str">
        <f t="shared" si="11"/>
        <v/>
      </c>
    </row>
    <row r="178" spans="1:51" s="110" customFormat="1" ht="20" customHeight="1">
      <c r="A178" s="125" t="s">
        <v>224</v>
      </c>
      <c r="B178" s="126" t="s">
        <v>68</v>
      </c>
      <c r="C178" s="127">
        <v>21391</v>
      </c>
      <c r="D178" s="157">
        <v>118196</v>
      </c>
      <c r="E178" s="158" t="s">
        <v>3907</v>
      </c>
      <c r="F178" s="158" t="s">
        <v>3907</v>
      </c>
      <c r="G178" s="159">
        <v>15000</v>
      </c>
      <c r="H178" s="159">
        <v>2</v>
      </c>
      <c r="I178" s="158" t="s">
        <v>209</v>
      </c>
      <c r="J178" s="158" t="s">
        <v>2407</v>
      </c>
      <c r="K178" s="158" t="s">
        <v>2408</v>
      </c>
      <c r="L178" s="159">
        <v>5</v>
      </c>
      <c r="M178" s="159">
        <v>2</v>
      </c>
      <c r="N178" s="158" t="s">
        <v>1718</v>
      </c>
      <c r="O178" s="159">
        <v>6.016</v>
      </c>
      <c r="P178" s="160"/>
      <c r="Q178" s="159">
        <v>21</v>
      </c>
      <c r="R178" s="158" t="s">
        <v>200</v>
      </c>
      <c r="S178" s="158" t="s">
        <v>201</v>
      </c>
      <c r="T178" s="159">
        <v>402</v>
      </c>
      <c r="U178" s="158" t="s">
        <v>200</v>
      </c>
      <c r="V178" s="158" t="s">
        <v>1968</v>
      </c>
      <c r="W178" s="159">
        <v>1</v>
      </c>
      <c r="X178" s="159">
        <v>4</v>
      </c>
      <c r="Y178" s="158" t="s">
        <v>203</v>
      </c>
      <c r="Z178" s="158" t="s">
        <v>195</v>
      </c>
      <c r="AA178" s="158" t="s">
        <v>196</v>
      </c>
      <c r="AB178" s="158" t="s">
        <v>187</v>
      </c>
      <c r="AC178" s="158" t="s">
        <v>187</v>
      </c>
      <c r="AD178" s="160"/>
      <c r="AE178" s="158" t="s">
        <v>209</v>
      </c>
      <c r="AF178" s="159">
        <v>7.1254038966153299</v>
      </c>
      <c r="AG178" s="161">
        <v>80.009285591262199</v>
      </c>
      <c r="AM178" s="133" t="str" cm="1">
        <f t="array" ref="AM178">IF(ROWS($AN$2:$AN177)&lt;=$AN$2,INDEX($V$3:$V$3000,_xlfn.AGGREGATE(15,3,($B$3:$B$3000=$AM$2)/($B$3:$B$3000=$AM$2)*(ROW($B$3:$B$3000)-ROW($B$2)),ROWS($AN$2:$AN177))),"")</f>
        <v/>
      </c>
      <c r="AN178" s="134" t="str" cm="1">
        <f t="array" ref="AN178">IF(ROWS($AN$2:$AN177)&lt;=$AN$2,INDEX($F$3:$F$3000,_xlfn.AGGREGATE(15,3,($B$3:$B$3000=$AM$2)/($B$3:$B$3000=$AM$2)*(ROW($B$3:$B$3000)-ROW($B$2)),ROWS($AN$2:$AN177))),"")</f>
        <v/>
      </c>
      <c r="AO178" s="135" t="str" cm="1">
        <f t="array" ref="AO178">IF(ROWS($AN$2:$AN177)&lt;=$AN$2,INDEX($G$3:$G$3000,_xlfn.AGGREGATE(15,3,($B$3:$B$3000=$AM$2)/($B$3:$B$3000=$AM$2)*(ROW($B$3:$B$3000)-ROW($B$2)),ROWS($AN$2:$AN177))),"")</f>
        <v/>
      </c>
      <c r="AP178" s="121"/>
      <c r="AT178" s="111"/>
      <c r="AV178" s="133" t="str" cm="1">
        <f t="array" ref="AV178">IF(ROWS($AW$2:$AW177)&lt;=$AW$2,INDEX($AM$3:$AM$792,_xlfn.AGGREGATE(15,3,($AM$3:$AM$792='Planning Template'!$F$45)/($AM$3:$AM$792='Planning Template'!$F$45)*(ROW($AM$3:$AM$792)-ROW($AM$2)),ROWS($AW$2:$AW177))),"")</f>
        <v/>
      </c>
      <c r="AW178" s="134" t="str" cm="1">
        <f t="array" ref="AW178">IF(ROWS($AU$3:$AU178)&lt;=$AW$2,INDEX($AN$3:$AN$792,_xlfn.AGGREGATE(15,3,($AM$3:$AM$792='Planning Template'!$F$45)/($AM$3:$AM$792='Planning Template'!$F$45)*(ROW($AM$3:$AM$792)-ROW($AM$2)),ROWS($AU$3:$AU178))),"")</f>
        <v/>
      </c>
      <c r="AX178" s="135" t="str">
        <f>IF(AW178="","",SUMIFS(TableSSDPeopleGroups[Population], TableSSDPeopleGroups[Ctry],'Planning Template'!$F$30,TableSSDPeopleGroups[PrimaryReligion],'Planning Template'!$F$301,TableSSDPeopleGroups[PeopleCluster],'Planning Template'!$F$45,TableSSDPeopleGroups[PeopNameInCountry],$AW178))</f>
        <v/>
      </c>
      <c r="AY178" s="234" t="str">
        <f t="shared" si="11"/>
        <v/>
      </c>
    </row>
    <row r="179" spans="1:51" s="110" customFormat="1" ht="20" customHeight="1">
      <c r="A179" s="125" t="s">
        <v>224</v>
      </c>
      <c r="B179" s="126" t="s">
        <v>68</v>
      </c>
      <c r="C179" s="127">
        <v>21412</v>
      </c>
      <c r="D179" s="157">
        <v>118218</v>
      </c>
      <c r="E179" s="158" t="s">
        <v>3908</v>
      </c>
      <c r="F179" s="158" t="s">
        <v>3908</v>
      </c>
      <c r="G179" s="159">
        <v>15000</v>
      </c>
      <c r="H179" s="159">
        <v>2</v>
      </c>
      <c r="I179" s="158" t="s">
        <v>209</v>
      </c>
      <c r="J179" s="158" t="s">
        <v>2407</v>
      </c>
      <c r="K179" s="158" t="s">
        <v>2408</v>
      </c>
      <c r="L179" s="159">
        <v>5</v>
      </c>
      <c r="M179" s="159">
        <v>2</v>
      </c>
      <c r="N179" s="158" t="s">
        <v>1718</v>
      </c>
      <c r="O179" s="159">
        <v>6.101</v>
      </c>
      <c r="P179" s="160"/>
      <c r="Q179" s="159">
        <v>21</v>
      </c>
      <c r="R179" s="158" t="s">
        <v>200</v>
      </c>
      <c r="S179" s="158" t="s">
        <v>201</v>
      </c>
      <c r="T179" s="159">
        <v>402</v>
      </c>
      <c r="U179" s="158" t="s">
        <v>200</v>
      </c>
      <c r="V179" s="158" t="s">
        <v>1968</v>
      </c>
      <c r="W179" s="159">
        <v>1</v>
      </c>
      <c r="X179" s="159">
        <v>4</v>
      </c>
      <c r="Y179" s="158" t="s">
        <v>203</v>
      </c>
      <c r="Z179" s="158" t="s">
        <v>195</v>
      </c>
      <c r="AA179" s="158" t="s">
        <v>196</v>
      </c>
      <c r="AB179" s="158" t="s">
        <v>187</v>
      </c>
      <c r="AC179" s="158" t="s">
        <v>187</v>
      </c>
      <c r="AD179" s="160"/>
      <c r="AE179" s="158" t="s">
        <v>209</v>
      </c>
      <c r="AF179" s="159">
        <v>7.1259869124558097</v>
      </c>
      <c r="AG179" s="161">
        <v>80.009807441034994</v>
      </c>
      <c r="AM179" s="133" t="str" cm="1">
        <f t="array" ref="AM179">IF(ROWS($AN$2:$AN178)&lt;=$AN$2,INDEX($V$3:$V$3000,_xlfn.AGGREGATE(15,3,($B$3:$B$3000=$AM$2)/($B$3:$B$3000=$AM$2)*(ROW($B$3:$B$3000)-ROW($B$2)),ROWS($AN$2:$AN178))),"")</f>
        <v/>
      </c>
      <c r="AN179" s="134" t="str" cm="1">
        <f t="array" ref="AN179">IF(ROWS($AN$2:$AN178)&lt;=$AN$2,INDEX($F$3:$F$3000,_xlfn.AGGREGATE(15,3,($B$3:$B$3000=$AM$2)/($B$3:$B$3000=$AM$2)*(ROW($B$3:$B$3000)-ROW($B$2)),ROWS($AN$2:$AN178))),"")</f>
        <v/>
      </c>
      <c r="AO179" s="135" t="str" cm="1">
        <f t="array" ref="AO179">IF(ROWS($AN$2:$AN178)&lt;=$AN$2,INDEX($G$3:$G$3000,_xlfn.AGGREGATE(15,3,($B$3:$B$3000=$AM$2)/($B$3:$B$3000=$AM$2)*(ROW($B$3:$B$3000)-ROW($B$2)),ROWS($AN$2:$AN178))),"")</f>
        <v/>
      </c>
      <c r="AP179" s="121"/>
      <c r="AT179" s="111"/>
      <c r="AV179" s="133" t="str" cm="1">
        <f t="array" ref="AV179">IF(ROWS($AW$2:$AW178)&lt;=$AW$2,INDEX($AM$3:$AM$792,_xlfn.AGGREGATE(15,3,($AM$3:$AM$792='Planning Template'!$F$45)/($AM$3:$AM$792='Planning Template'!$F$45)*(ROW($AM$3:$AM$792)-ROW($AM$2)),ROWS($AW$2:$AW178))),"")</f>
        <v/>
      </c>
      <c r="AW179" s="134" t="str" cm="1">
        <f t="array" ref="AW179">IF(ROWS($AU$3:$AU179)&lt;=$AW$2,INDEX($AN$3:$AN$792,_xlfn.AGGREGATE(15,3,($AM$3:$AM$792='Planning Template'!$F$45)/($AM$3:$AM$792='Planning Template'!$F$45)*(ROW($AM$3:$AM$792)-ROW($AM$2)),ROWS($AU$3:$AU179))),"")</f>
        <v/>
      </c>
      <c r="AX179" s="135" t="str">
        <f>IF(AW179="","",SUMIFS(TableSSDPeopleGroups[Population], TableSSDPeopleGroups[Ctry],'Planning Template'!$F$30,TableSSDPeopleGroups[PrimaryReligion],'Planning Template'!$F$301,TableSSDPeopleGroups[PeopleCluster],'Planning Template'!$F$45,TableSSDPeopleGroups[PeopNameInCountry],$AW179))</f>
        <v/>
      </c>
      <c r="AY179" s="234" t="str">
        <f t="shared" si="11"/>
        <v/>
      </c>
    </row>
    <row r="180" spans="1:51" s="110" customFormat="1" ht="20" customHeight="1">
      <c r="A180" s="125" t="s">
        <v>224</v>
      </c>
      <c r="B180" s="126" t="s">
        <v>68</v>
      </c>
      <c r="C180" s="127">
        <v>21417</v>
      </c>
      <c r="D180" s="157">
        <v>118223</v>
      </c>
      <c r="E180" s="158" t="s">
        <v>3909</v>
      </c>
      <c r="F180" s="158" t="s">
        <v>3909</v>
      </c>
      <c r="G180" s="159">
        <v>15000</v>
      </c>
      <c r="H180" s="159">
        <v>2</v>
      </c>
      <c r="I180" s="158" t="s">
        <v>209</v>
      </c>
      <c r="J180" s="158" t="s">
        <v>2407</v>
      </c>
      <c r="K180" s="158" t="s">
        <v>2408</v>
      </c>
      <c r="L180" s="159">
        <v>5</v>
      </c>
      <c r="M180" s="159">
        <v>2</v>
      </c>
      <c r="N180" s="158" t="s">
        <v>1718</v>
      </c>
      <c r="O180" s="159">
        <v>5.31</v>
      </c>
      <c r="P180" s="160"/>
      <c r="Q180" s="159">
        <v>21</v>
      </c>
      <c r="R180" s="158" t="s">
        <v>200</v>
      </c>
      <c r="S180" s="158" t="s">
        <v>201</v>
      </c>
      <c r="T180" s="159">
        <v>402</v>
      </c>
      <c r="U180" s="158" t="s">
        <v>200</v>
      </c>
      <c r="V180" s="158" t="s">
        <v>1968</v>
      </c>
      <c r="W180" s="159">
        <v>1</v>
      </c>
      <c r="X180" s="159">
        <v>4</v>
      </c>
      <c r="Y180" s="158" t="s">
        <v>203</v>
      </c>
      <c r="Z180" s="158" t="s">
        <v>195</v>
      </c>
      <c r="AA180" s="158" t="s">
        <v>196</v>
      </c>
      <c r="AB180" s="158" t="s">
        <v>187</v>
      </c>
      <c r="AC180" s="158" t="s">
        <v>187</v>
      </c>
      <c r="AD180" s="160"/>
      <c r="AE180" s="158" t="s">
        <v>209</v>
      </c>
      <c r="AF180" s="159">
        <v>7.1253074193716097</v>
      </c>
      <c r="AG180" s="161">
        <v>80.009481902162904</v>
      </c>
      <c r="AM180" s="133" t="str" cm="1">
        <f t="array" ref="AM180">IF(ROWS($AN$2:$AN179)&lt;=$AN$2,INDEX($V$3:$V$3000,_xlfn.AGGREGATE(15,3,($B$3:$B$3000=$AM$2)/($B$3:$B$3000=$AM$2)*(ROW($B$3:$B$3000)-ROW($B$2)),ROWS($AN$2:$AN179))),"")</f>
        <v/>
      </c>
      <c r="AN180" s="134" t="str" cm="1">
        <f t="array" ref="AN180">IF(ROWS($AN$2:$AN179)&lt;=$AN$2,INDEX($F$3:$F$3000,_xlfn.AGGREGATE(15,3,($B$3:$B$3000=$AM$2)/($B$3:$B$3000=$AM$2)*(ROW($B$3:$B$3000)-ROW($B$2)),ROWS($AN$2:$AN179))),"")</f>
        <v/>
      </c>
      <c r="AO180" s="135" t="str" cm="1">
        <f t="array" ref="AO180">IF(ROWS($AN$2:$AN179)&lt;=$AN$2,INDEX($G$3:$G$3000,_xlfn.AGGREGATE(15,3,($B$3:$B$3000=$AM$2)/($B$3:$B$3000=$AM$2)*(ROW($B$3:$B$3000)-ROW($B$2)),ROWS($AN$2:$AN179))),"")</f>
        <v/>
      </c>
      <c r="AP180" s="121"/>
      <c r="AT180" s="111"/>
      <c r="AV180" s="133" t="str" cm="1">
        <f t="array" ref="AV180">IF(ROWS($AW$2:$AW179)&lt;=$AW$2,INDEX($AM$3:$AM$792,_xlfn.AGGREGATE(15,3,($AM$3:$AM$792='Planning Template'!$F$45)/($AM$3:$AM$792='Planning Template'!$F$45)*(ROW($AM$3:$AM$792)-ROW($AM$2)),ROWS($AW$2:$AW179))),"")</f>
        <v/>
      </c>
      <c r="AW180" s="134" t="str" cm="1">
        <f t="array" ref="AW180">IF(ROWS($AU$3:$AU180)&lt;=$AW$2,INDEX($AN$3:$AN$792,_xlfn.AGGREGATE(15,3,($AM$3:$AM$792='Planning Template'!$F$45)/($AM$3:$AM$792='Planning Template'!$F$45)*(ROW($AM$3:$AM$792)-ROW($AM$2)),ROWS($AU$3:$AU180))),"")</f>
        <v/>
      </c>
      <c r="AX180" s="135" t="str">
        <f>IF(AW180="","",SUMIFS(TableSSDPeopleGroups[Population], TableSSDPeopleGroups[Ctry],'Planning Template'!$F$30,TableSSDPeopleGroups[PrimaryReligion],'Planning Template'!$F$301,TableSSDPeopleGroups[PeopleCluster],'Planning Template'!$F$45,TableSSDPeopleGroups[PeopNameInCountry],$AW180))</f>
        <v/>
      </c>
      <c r="AY180" s="234" t="str">
        <f t="shared" si="11"/>
        <v/>
      </c>
    </row>
    <row r="181" spans="1:51" s="110" customFormat="1" ht="20" customHeight="1">
      <c r="A181" s="125" t="s">
        <v>224</v>
      </c>
      <c r="B181" s="126" t="s">
        <v>68</v>
      </c>
      <c r="C181" s="127">
        <v>21393</v>
      </c>
      <c r="D181" s="157">
        <v>118200</v>
      </c>
      <c r="E181" s="158" t="s">
        <v>3467</v>
      </c>
      <c r="F181" s="158" t="s">
        <v>3467</v>
      </c>
      <c r="G181" s="159">
        <v>8000</v>
      </c>
      <c r="H181" s="159">
        <v>2</v>
      </c>
      <c r="I181" s="158" t="s">
        <v>209</v>
      </c>
      <c r="J181" s="158" t="s">
        <v>2407</v>
      </c>
      <c r="K181" s="158" t="s">
        <v>2408</v>
      </c>
      <c r="L181" s="159">
        <v>5</v>
      </c>
      <c r="M181" s="159">
        <v>2</v>
      </c>
      <c r="N181" s="158" t="s">
        <v>1718</v>
      </c>
      <c r="O181" s="159">
        <v>7.524</v>
      </c>
      <c r="P181" s="160"/>
      <c r="Q181" s="159">
        <v>21</v>
      </c>
      <c r="R181" s="158" t="s">
        <v>200</v>
      </c>
      <c r="S181" s="158" t="s">
        <v>201</v>
      </c>
      <c r="T181" s="159">
        <v>402</v>
      </c>
      <c r="U181" s="158" t="s">
        <v>200</v>
      </c>
      <c r="V181" s="158" t="s">
        <v>1968</v>
      </c>
      <c r="W181" s="159">
        <v>1</v>
      </c>
      <c r="X181" s="159">
        <v>4</v>
      </c>
      <c r="Y181" s="158" t="s">
        <v>203</v>
      </c>
      <c r="Z181" s="158" t="s">
        <v>195</v>
      </c>
      <c r="AA181" s="158" t="s">
        <v>196</v>
      </c>
      <c r="AB181" s="158" t="s">
        <v>187</v>
      </c>
      <c r="AC181" s="158" t="s">
        <v>187</v>
      </c>
      <c r="AD181" s="160"/>
      <c r="AE181" s="158" t="s">
        <v>209</v>
      </c>
      <c r="AF181" s="159">
        <v>6.86900815634234</v>
      </c>
      <c r="AG181" s="161">
        <v>80.020904193459401</v>
      </c>
      <c r="AM181" s="133" t="str" cm="1">
        <f t="array" ref="AM181">IF(ROWS($AN$2:$AN180)&lt;=$AN$2,INDEX($V$3:$V$3000,_xlfn.AGGREGATE(15,3,($B$3:$B$3000=$AM$2)/($B$3:$B$3000=$AM$2)*(ROW($B$3:$B$3000)-ROW($B$2)),ROWS($AN$2:$AN180))),"")</f>
        <v/>
      </c>
      <c r="AN181" s="134" t="str" cm="1">
        <f t="array" ref="AN181">IF(ROWS($AN$2:$AN180)&lt;=$AN$2,INDEX($F$3:$F$3000,_xlfn.AGGREGATE(15,3,($B$3:$B$3000=$AM$2)/($B$3:$B$3000=$AM$2)*(ROW($B$3:$B$3000)-ROW($B$2)),ROWS($AN$2:$AN180))),"")</f>
        <v/>
      </c>
      <c r="AO181" s="135" t="str" cm="1">
        <f t="array" ref="AO181">IF(ROWS($AN$2:$AN180)&lt;=$AN$2,INDEX($G$3:$G$3000,_xlfn.AGGREGATE(15,3,($B$3:$B$3000=$AM$2)/($B$3:$B$3000=$AM$2)*(ROW($B$3:$B$3000)-ROW($B$2)),ROWS($AN$2:$AN180))),"")</f>
        <v/>
      </c>
      <c r="AP181" s="121"/>
      <c r="AT181" s="111"/>
      <c r="AV181" s="133" t="str" cm="1">
        <f t="array" ref="AV181">IF(ROWS($AW$2:$AW180)&lt;=$AW$2,INDEX($AM$3:$AM$792,_xlfn.AGGREGATE(15,3,($AM$3:$AM$792='Planning Template'!$F$45)/($AM$3:$AM$792='Planning Template'!$F$45)*(ROW($AM$3:$AM$792)-ROW($AM$2)),ROWS($AW$2:$AW180))),"")</f>
        <v/>
      </c>
      <c r="AW181" s="134" t="str" cm="1">
        <f t="array" ref="AW181">IF(ROWS($AU$3:$AU181)&lt;=$AW$2,INDEX($AN$3:$AN$792,_xlfn.AGGREGATE(15,3,($AM$3:$AM$792='Planning Template'!$F$45)/($AM$3:$AM$792='Planning Template'!$F$45)*(ROW($AM$3:$AM$792)-ROW($AM$2)),ROWS($AU$3:$AU181))),"")</f>
        <v/>
      </c>
      <c r="AX181" s="135" t="str">
        <f>IF(AW181="","",SUMIFS(TableSSDPeopleGroups[Population], TableSSDPeopleGroups[Ctry],'Planning Template'!$F$30,TableSSDPeopleGroups[PrimaryReligion],'Planning Template'!$F$301,TableSSDPeopleGroups[PeopleCluster],'Planning Template'!$F$45,TableSSDPeopleGroups[PeopNameInCountry],$AW181))</f>
        <v/>
      </c>
      <c r="AY181" s="234" t="str">
        <f t="shared" si="11"/>
        <v/>
      </c>
    </row>
    <row r="182" spans="1:51" s="110" customFormat="1" ht="20" customHeight="1">
      <c r="A182" s="125" t="s">
        <v>224</v>
      </c>
      <c r="B182" s="126" t="s">
        <v>68</v>
      </c>
      <c r="C182" s="127">
        <v>21390</v>
      </c>
      <c r="D182" s="157">
        <v>118195</v>
      </c>
      <c r="E182" s="158" t="s">
        <v>3388</v>
      </c>
      <c r="F182" s="158" t="s">
        <v>3388</v>
      </c>
      <c r="G182" s="159">
        <v>6700</v>
      </c>
      <c r="H182" s="159">
        <v>2</v>
      </c>
      <c r="I182" s="158" t="s">
        <v>209</v>
      </c>
      <c r="J182" s="158" t="s">
        <v>2407</v>
      </c>
      <c r="K182" s="158" t="s">
        <v>2408</v>
      </c>
      <c r="L182" s="159">
        <v>5</v>
      </c>
      <c r="M182" s="159">
        <v>2</v>
      </c>
      <c r="N182" s="158" t="s">
        <v>1718</v>
      </c>
      <c r="O182" s="159">
        <v>5.0529999999999999</v>
      </c>
      <c r="P182" s="160"/>
      <c r="Q182" s="159">
        <v>21</v>
      </c>
      <c r="R182" s="158" t="s">
        <v>200</v>
      </c>
      <c r="S182" s="158" t="s">
        <v>201</v>
      </c>
      <c r="T182" s="159">
        <v>402</v>
      </c>
      <c r="U182" s="158" t="s">
        <v>200</v>
      </c>
      <c r="V182" s="158" t="s">
        <v>1968</v>
      </c>
      <c r="W182" s="159">
        <v>1</v>
      </c>
      <c r="X182" s="159">
        <v>4</v>
      </c>
      <c r="Y182" s="158" t="s">
        <v>203</v>
      </c>
      <c r="Z182" s="158" t="s">
        <v>195</v>
      </c>
      <c r="AA182" s="158" t="s">
        <v>196</v>
      </c>
      <c r="AB182" s="158" t="s">
        <v>187</v>
      </c>
      <c r="AC182" s="158" t="s">
        <v>187</v>
      </c>
      <c r="AD182" s="160"/>
      <c r="AE182" s="158" t="s">
        <v>209</v>
      </c>
      <c r="AF182" s="159">
        <v>7.1258480937951498</v>
      </c>
      <c r="AG182" s="161">
        <v>80.009213911233601</v>
      </c>
      <c r="AM182" s="133" t="str" cm="1">
        <f t="array" ref="AM182">IF(ROWS($AN$2:$AN181)&lt;=$AN$2,INDEX($V$3:$V$3000,_xlfn.AGGREGATE(15,3,($B$3:$B$3000=$AM$2)/($B$3:$B$3000=$AM$2)*(ROW($B$3:$B$3000)-ROW($B$2)),ROWS($AN$2:$AN181))),"")</f>
        <v/>
      </c>
      <c r="AN182" s="134" t="str" cm="1">
        <f t="array" ref="AN182">IF(ROWS($AN$2:$AN181)&lt;=$AN$2,INDEX($F$3:$F$3000,_xlfn.AGGREGATE(15,3,($B$3:$B$3000=$AM$2)/($B$3:$B$3000=$AM$2)*(ROW($B$3:$B$3000)-ROW($B$2)),ROWS($AN$2:$AN181))),"")</f>
        <v/>
      </c>
      <c r="AO182" s="135" t="str" cm="1">
        <f t="array" ref="AO182">IF(ROWS($AN$2:$AN181)&lt;=$AN$2,INDEX($G$3:$G$3000,_xlfn.AGGREGATE(15,3,($B$3:$B$3000=$AM$2)/($B$3:$B$3000=$AM$2)*(ROW($B$3:$B$3000)-ROW($B$2)),ROWS($AN$2:$AN181))),"")</f>
        <v/>
      </c>
      <c r="AP182" s="121"/>
      <c r="AT182" s="111"/>
      <c r="AV182" s="133" t="str" cm="1">
        <f t="array" ref="AV182">IF(ROWS($AW$2:$AW181)&lt;=$AW$2,INDEX($AM$3:$AM$792,_xlfn.AGGREGATE(15,3,($AM$3:$AM$792='Planning Template'!$F$45)/($AM$3:$AM$792='Planning Template'!$F$45)*(ROW($AM$3:$AM$792)-ROW($AM$2)),ROWS($AW$2:$AW181))),"")</f>
        <v/>
      </c>
      <c r="AW182" s="134" t="str" cm="1">
        <f t="array" ref="AW182">IF(ROWS($AU$3:$AU182)&lt;=$AW$2,INDEX($AN$3:$AN$792,_xlfn.AGGREGATE(15,3,($AM$3:$AM$792='Planning Template'!$F$45)/($AM$3:$AM$792='Planning Template'!$F$45)*(ROW($AM$3:$AM$792)-ROW($AM$2)),ROWS($AU$3:$AU182))),"")</f>
        <v/>
      </c>
      <c r="AX182" s="135" t="str">
        <f>IF(AW182="","",SUMIFS(TableSSDPeopleGroups[Population], TableSSDPeopleGroups[Ctry],'Planning Template'!$F$30,TableSSDPeopleGroups[PrimaryReligion],'Planning Template'!$F$301,TableSSDPeopleGroups[PeopleCluster],'Planning Template'!$F$45,TableSSDPeopleGroups[PeopNameInCountry],$AW182))</f>
        <v/>
      </c>
      <c r="AY182" s="234" t="str">
        <f t="shared" si="11"/>
        <v/>
      </c>
    </row>
    <row r="183" spans="1:51" s="110" customFormat="1" ht="20" customHeight="1">
      <c r="A183" s="125" t="s">
        <v>478</v>
      </c>
      <c r="B183" s="126" t="s">
        <v>56</v>
      </c>
      <c r="C183" s="127">
        <v>14196</v>
      </c>
      <c r="D183" s="163">
        <v>109305</v>
      </c>
      <c r="E183" s="164" t="s">
        <v>2406</v>
      </c>
      <c r="F183" s="164" t="s">
        <v>2406</v>
      </c>
      <c r="G183" s="165">
        <v>72000</v>
      </c>
      <c r="H183" s="165">
        <v>1</v>
      </c>
      <c r="I183" s="164" t="s">
        <v>187</v>
      </c>
      <c r="J183" s="164" t="s">
        <v>2407</v>
      </c>
      <c r="K183" s="164" t="s">
        <v>2408</v>
      </c>
      <c r="L183" s="165">
        <v>5</v>
      </c>
      <c r="M183" s="165">
        <v>2</v>
      </c>
      <c r="N183" s="164" t="s">
        <v>1718</v>
      </c>
      <c r="O183" s="165">
        <v>2</v>
      </c>
      <c r="P183" s="165">
        <v>1</v>
      </c>
      <c r="Q183" s="165">
        <v>21</v>
      </c>
      <c r="R183" s="164" t="s">
        <v>200</v>
      </c>
      <c r="S183" s="164" t="s">
        <v>201</v>
      </c>
      <c r="T183" s="165">
        <v>402</v>
      </c>
      <c r="U183" s="164" t="s">
        <v>200</v>
      </c>
      <c r="V183" s="164" t="s">
        <v>1968</v>
      </c>
      <c r="W183" s="165">
        <v>17</v>
      </c>
      <c r="X183" s="165">
        <v>2</v>
      </c>
      <c r="Y183" s="164" t="s">
        <v>194</v>
      </c>
      <c r="Z183" s="164" t="s">
        <v>195</v>
      </c>
      <c r="AA183" s="164" t="s">
        <v>196</v>
      </c>
      <c r="AB183" s="164" t="s">
        <v>187</v>
      </c>
      <c r="AC183" s="164" t="s">
        <v>209</v>
      </c>
      <c r="AD183" s="165">
        <v>1</v>
      </c>
      <c r="AE183" s="164" t="s">
        <v>209</v>
      </c>
      <c r="AF183" s="165">
        <v>13.8559</v>
      </c>
      <c r="AG183" s="166">
        <v>100.44586</v>
      </c>
      <c r="AM183" s="133" t="str" cm="1">
        <f t="array" ref="AM183">IF(ROWS($AN$2:$AN182)&lt;=$AN$2,INDEX($V$3:$V$3000,_xlfn.AGGREGATE(15,3,($B$3:$B$3000=$AM$2)/($B$3:$B$3000=$AM$2)*(ROW($B$3:$B$3000)-ROW($B$2)),ROWS($AN$2:$AN182))),"")</f>
        <v/>
      </c>
      <c r="AN183" s="134" t="str" cm="1">
        <f t="array" ref="AN183">IF(ROWS($AN$2:$AN182)&lt;=$AN$2,INDEX($F$3:$F$3000,_xlfn.AGGREGATE(15,3,($B$3:$B$3000=$AM$2)/($B$3:$B$3000=$AM$2)*(ROW($B$3:$B$3000)-ROW($B$2)),ROWS($AN$2:$AN182))),"")</f>
        <v/>
      </c>
      <c r="AO183" s="135" t="str" cm="1">
        <f t="array" ref="AO183">IF(ROWS($AN$2:$AN182)&lt;=$AN$2,INDEX($G$3:$G$3000,_xlfn.AGGREGATE(15,3,($B$3:$B$3000=$AM$2)/($B$3:$B$3000=$AM$2)*(ROW($B$3:$B$3000)-ROW($B$2)),ROWS($AN$2:$AN182))),"")</f>
        <v/>
      </c>
      <c r="AP183" s="121"/>
      <c r="AT183" s="111"/>
      <c r="AV183" s="133" t="str" cm="1">
        <f t="array" ref="AV183">IF(ROWS($AW$2:$AW182)&lt;=$AW$2,INDEX($AM$3:$AM$792,_xlfn.AGGREGATE(15,3,($AM$3:$AM$792='Planning Template'!$F$45)/($AM$3:$AM$792='Planning Template'!$F$45)*(ROW($AM$3:$AM$792)-ROW($AM$2)),ROWS($AW$2:$AW182))),"")</f>
        <v/>
      </c>
      <c r="AW183" s="134" t="str" cm="1">
        <f t="array" ref="AW183">IF(ROWS($AU$3:$AU183)&lt;=$AW$2,INDEX($AN$3:$AN$792,_xlfn.AGGREGATE(15,3,($AM$3:$AM$792='Planning Template'!$F$45)/($AM$3:$AM$792='Planning Template'!$F$45)*(ROW($AM$3:$AM$792)-ROW($AM$2)),ROWS($AU$3:$AU183))),"")</f>
        <v/>
      </c>
      <c r="AX183" s="135" t="str">
        <f>IF(AW183="","",SUMIFS(TableSSDPeopleGroups[Population], TableSSDPeopleGroups[Ctry],'Planning Template'!$F$30,TableSSDPeopleGroups[PrimaryReligion],'Planning Template'!$F$301,TableSSDPeopleGroups[PeopleCluster],'Planning Template'!$F$45,TableSSDPeopleGroups[PeopNameInCountry],$AW183))</f>
        <v/>
      </c>
      <c r="AY183" s="234" t="str">
        <f t="shared" si="11"/>
        <v/>
      </c>
    </row>
    <row r="184" spans="1:51" s="110" customFormat="1" ht="20" customHeight="1">
      <c r="A184" s="125" t="s">
        <v>486</v>
      </c>
      <c r="B184" s="126" t="s">
        <v>57</v>
      </c>
      <c r="C184" s="127">
        <v>17671</v>
      </c>
      <c r="D184" s="163">
        <v>113113</v>
      </c>
      <c r="E184" s="164" t="s">
        <v>4732</v>
      </c>
      <c r="F184" s="164" t="s">
        <v>4732</v>
      </c>
      <c r="G184" s="165">
        <v>193000</v>
      </c>
      <c r="H184" s="165">
        <v>1</v>
      </c>
      <c r="I184" s="164" t="s">
        <v>187</v>
      </c>
      <c r="J184" s="164" t="s">
        <v>1966</v>
      </c>
      <c r="K184" s="164" t="s">
        <v>1967</v>
      </c>
      <c r="L184" s="165">
        <v>3</v>
      </c>
      <c r="M184" s="165">
        <v>2</v>
      </c>
      <c r="N184" s="164" t="s">
        <v>1718</v>
      </c>
      <c r="O184" s="165">
        <v>3.194</v>
      </c>
      <c r="P184" s="168"/>
      <c r="Q184" s="165">
        <v>21</v>
      </c>
      <c r="R184" s="164" t="s">
        <v>200</v>
      </c>
      <c r="S184" s="164" t="s">
        <v>201</v>
      </c>
      <c r="T184" s="165">
        <v>475</v>
      </c>
      <c r="U184" s="164" t="s">
        <v>200</v>
      </c>
      <c r="V184" s="164" t="s">
        <v>392</v>
      </c>
      <c r="W184" s="165">
        <v>2</v>
      </c>
      <c r="X184" s="165">
        <v>4</v>
      </c>
      <c r="Y184" s="164" t="s">
        <v>203</v>
      </c>
      <c r="Z184" s="164" t="s">
        <v>195</v>
      </c>
      <c r="AA184" s="164" t="s">
        <v>196</v>
      </c>
      <c r="AB184" s="164" t="s">
        <v>187</v>
      </c>
      <c r="AC184" s="164" t="s">
        <v>187</v>
      </c>
      <c r="AD184" s="165">
        <v>4</v>
      </c>
      <c r="AE184" s="164" t="s">
        <v>209</v>
      </c>
      <c r="AF184" s="165">
        <v>22.580183361349299</v>
      </c>
      <c r="AG184" s="166">
        <v>92.3145379985923</v>
      </c>
      <c r="AM184" s="133" t="str" cm="1">
        <f t="array" ref="AM184">IF(ROWS($AN$2:$AN183)&lt;=$AN$2,INDEX($V$3:$V$3000,_xlfn.AGGREGATE(15,3,($B$3:$B$3000=$AM$2)/($B$3:$B$3000=$AM$2)*(ROW($B$3:$B$3000)-ROW($B$2)),ROWS($AN$2:$AN183))),"")</f>
        <v/>
      </c>
      <c r="AN184" s="134" t="str" cm="1">
        <f t="array" ref="AN184">IF(ROWS($AN$2:$AN183)&lt;=$AN$2,INDEX($F$3:$F$3000,_xlfn.AGGREGATE(15,3,($B$3:$B$3000=$AM$2)/($B$3:$B$3000=$AM$2)*(ROW($B$3:$B$3000)-ROW($B$2)),ROWS($AN$2:$AN183))),"")</f>
        <v/>
      </c>
      <c r="AO184" s="135" t="str" cm="1">
        <f t="array" ref="AO184">IF(ROWS($AN$2:$AN183)&lt;=$AN$2,INDEX($G$3:$G$3000,_xlfn.AGGREGATE(15,3,($B$3:$B$3000=$AM$2)/($B$3:$B$3000=$AM$2)*(ROW($B$3:$B$3000)-ROW($B$2)),ROWS($AN$2:$AN183))),"")</f>
        <v/>
      </c>
      <c r="AP184" s="121"/>
      <c r="AT184" s="111"/>
      <c r="AV184" s="133" t="str" cm="1">
        <f t="array" ref="AV184">IF(ROWS($AW$2:$AW183)&lt;=$AW$2,INDEX($AM$3:$AM$792,_xlfn.AGGREGATE(15,3,($AM$3:$AM$792='Planning Template'!$F$45)/($AM$3:$AM$792='Planning Template'!$F$45)*(ROW($AM$3:$AM$792)-ROW($AM$2)),ROWS($AW$2:$AW183))),"")</f>
        <v/>
      </c>
      <c r="AW184" s="134" t="str" cm="1">
        <f t="array" ref="AW184">IF(ROWS($AU$3:$AU184)&lt;=$AW$2,INDEX($AN$3:$AN$792,_xlfn.AGGREGATE(15,3,($AM$3:$AM$792='Planning Template'!$F$45)/($AM$3:$AM$792='Planning Template'!$F$45)*(ROW($AM$3:$AM$792)-ROW($AM$2)),ROWS($AU$3:$AU184))),"")</f>
        <v/>
      </c>
      <c r="AX184" s="135" t="str">
        <f>IF(AW184="","",SUMIFS(TableSSDPeopleGroups[Population], TableSSDPeopleGroups[Ctry],'Planning Template'!$F$30,TableSSDPeopleGroups[PrimaryReligion],'Planning Template'!$F$301,TableSSDPeopleGroups[PeopleCluster],'Planning Template'!$F$45,TableSSDPeopleGroups[PeopNameInCountry],$AW184))</f>
        <v/>
      </c>
      <c r="AY184" s="234" t="str">
        <f t="shared" si="11"/>
        <v/>
      </c>
    </row>
    <row r="185" spans="1:51" s="110" customFormat="1" ht="20" customHeight="1">
      <c r="A185" s="125" t="s">
        <v>486</v>
      </c>
      <c r="B185" s="126" t="s">
        <v>57</v>
      </c>
      <c r="C185" s="127">
        <v>13849</v>
      </c>
      <c r="D185" s="163">
        <v>106847</v>
      </c>
      <c r="E185" s="164" t="s">
        <v>4156</v>
      </c>
      <c r="F185" s="164" t="s">
        <v>4156</v>
      </c>
      <c r="G185" s="165">
        <v>32000</v>
      </c>
      <c r="H185" s="165">
        <v>1</v>
      </c>
      <c r="I185" s="164" t="s">
        <v>187</v>
      </c>
      <c r="J185" s="164" t="s">
        <v>4157</v>
      </c>
      <c r="K185" s="164" t="s">
        <v>4156</v>
      </c>
      <c r="L185" s="165">
        <v>4</v>
      </c>
      <c r="M185" s="165">
        <v>2</v>
      </c>
      <c r="N185" s="164" t="s">
        <v>1718</v>
      </c>
      <c r="O185" s="165">
        <v>4.38</v>
      </c>
      <c r="P185" s="168"/>
      <c r="Q185" s="165">
        <v>21</v>
      </c>
      <c r="R185" s="164" t="s">
        <v>200</v>
      </c>
      <c r="S185" s="164" t="s">
        <v>201</v>
      </c>
      <c r="T185" s="165">
        <v>475</v>
      </c>
      <c r="U185" s="164" t="s">
        <v>200</v>
      </c>
      <c r="V185" s="164" t="s">
        <v>392</v>
      </c>
      <c r="W185" s="165">
        <v>3</v>
      </c>
      <c r="X185" s="165">
        <v>4</v>
      </c>
      <c r="Y185" s="164" t="s">
        <v>203</v>
      </c>
      <c r="Z185" s="164" t="s">
        <v>195</v>
      </c>
      <c r="AA185" s="164" t="s">
        <v>196</v>
      </c>
      <c r="AB185" s="164" t="s">
        <v>187</v>
      </c>
      <c r="AC185" s="164" t="s">
        <v>187</v>
      </c>
      <c r="AD185" s="165">
        <v>1</v>
      </c>
      <c r="AE185" s="164" t="s">
        <v>209</v>
      </c>
      <c r="AF185" s="165">
        <v>21.838768999999999</v>
      </c>
      <c r="AG185" s="166">
        <v>92.299189999999996</v>
      </c>
      <c r="AM185" s="133" t="str" cm="1">
        <f t="array" ref="AM185">IF(ROWS($AN$2:$AN184)&lt;=$AN$2,INDEX($V$3:$V$3000,_xlfn.AGGREGATE(15,3,($B$3:$B$3000=$AM$2)/($B$3:$B$3000=$AM$2)*(ROW($B$3:$B$3000)-ROW($B$2)),ROWS($AN$2:$AN184))),"")</f>
        <v/>
      </c>
      <c r="AN185" s="134" t="str" cm="1">
        <f t="array" ref="AN185">IF(ROWS($AN$2:$AN184)&lt;=$AN$2,INDEX($F$3:$F$3000,_xlfn.AGGREGATE(15,3,($B$3:$B$3000=$AM$2)/($B$3:$B$3000=$AM$2)*(ROW($B$3:$B$3000)-ROW($B$2)),ROWS($AN$2:$AN184))),"")</f>
        <v/>
      </c>
      <c r="AO185" s="135" t="str" cm="1">
        <f t="array" ref="AO185">IF(ROWS($AN$2:$AN184)&lt;=$AN$2,INDEX($G$3:$G$3000,_xlfn.AGGREGATE(15,3,($B$3:$B$3000=$AM$2)/($B$3:$B$3000=$AM$2)*(ROW($B$3:$B$3000)-ROW($B$2)),ROWS($AN$2:$AN184))),"")</f>
        <v/>
      </c>
      <c r="AP185" s="121"/>
      <c r="AT185" s="111"/>
      <c r="AV185" s="133" t="str" cm="1">
        <f t="array" ref="AV185">IF(ROWS($AW$2:$AW184)&lt;=$AW$2,INDEX($AM$3:$AM$792,_xlfn.AGGREGATE(15,3,($AM$3:$AM$792='Planning Template'!$F$45)/($AM$3:$AM$792='Planning Template'!$F$45)*(ROW($AM$3:$AM$792)-ROW($AM$2)),ROWS($AW$2:$AW184))),"")</f>
        <v/>
      </c>
      <c r="AW185" s="134" t="str" cm="1">
        <f t="array" ref="AW185">IF(ROWS($AU$3:$AU185)&lt;=$AW$2,INDEX($AN$3:$AN$792,_xlfn.AGGREGATE(15,3,($AM$3:$AM$792='Planning Template'!$F$45)/($AM$3:$AM$792='Planning Template'!$F$45)*(ROW($AM$3:$AM$792)-ROW($AM$2)),ROWS($AU$3:$AU185))),"")</f>
        <v/>
      </c>
      <c r="AX185" s="135" t="str">
        <f>IF(AW185="","",SUMIFS(TableSSDPeopleGroups[Population], TableSSDPeopleGroups[Ctry],'Planning Template'!$F$30,TableSSDPeopleGroups[PrimaryReligion],'Planning Template'!$F$301,TableSSDPeopleGroups[PeopleCluster],'Planning Template'!$F$45,TableSSDPeopleGroups[PeopNameInCountry],$AW185))</f>
        <v/>
      </c>
      <c r="AY185" s="234" t="str">
        <f t="shared" si="11"/>
        <v/>
      </c>
    </row>
    <row r="186" spans="1:51" s="110" customFormat="1" ht="20" customHeight="1">
      <c r="A186" s="125" t="s">
        <v>486</v>
      </c>
      <c r="B186" s="126" t="s">
        <v>57</v>
      </c>
      <c r="C186" s="127">
        <v>11293</v>
      </c>
      <c r="D186" s="157">
        <v>101976</v>
      </c>
      <c r="E186" s="158" t="s">
        <v>4192</v>
      </c>
      <c r="F186" s="158" t="s">
        <v>4192</v>
      </c>
      <c r="G186" s="159">
        <v>430000</v>
      </c>
      <c r="H186" s="159">
        <v>2</v>
      </c>
      <c r="I186" s="158" t="s">
        <v>209</v>
      </c>
      <c r="J186" s="158" t="s">
        <v>4194</v>
      </c>
      <c r="K186" s="158" t="s">
        <v>4192</v>
      </c>
      <c r="L186" s="159">
        <v>4</v>
      </c>
      <c r="M186" s="159">
        <v>2</v>
      </c>
      <c r="N186" s="158" t="s">
        <v>1718</v>
      </c>
      <c r="O186" s="159">
        <v>15.134</v>
      </c>
      <c r="P186" s="160"/>
      <c r="Q186" s="159">
        <v>21</v>
      </c>
      <c r="R186" s="158" t="s">
        <v>200</v>
      </c>
      <c r="S186" s="158" t="s">
        <v>201</v>
      </c>
      <c r="T186" s="159">
        <v>475</v>
      </c>
      <c r="U186" s="158" t="s">
        <v>200</v>
      </c>
      <c r="V186" s="158" t="s">
        <v>392</v>
      </c>
      <c r="W186" s="159">
        <v>3</v>
      </c>
      <c r="X186" s="159">
        <v>4</v>
      </c>
      <c r="Y186" s="158" t="s">
        <v>203</v>
      </c>
      <c r="Z186" s="158" t="s">
        <v>195</v>
      </c>
      <c r="AA186" s="158" t="s">
        <v>196</v>
      </c>
      <c r="AB186" s="158" t="s">
        <v>187</v>
      </c>
      <c r="AC186" s="158" t="s">
        <v>187</v>
      </c>
      <c r="AD186" s="160"/>
      <c r="AE186" s="158" t="s">
        <v>209</v>
      </c>
      <c r="AF186" s="159">
        <v>22.866599673467299</v>
      </c>
      <c r="AG186" s="161">
        <v>92.328056774198302</v>
      </c>
      <c r="AM186" s="133" t="str" cm="1">
        <f t="array" ref="AM186">IF(ROWS($AN$2:$AN185)&lt;=$AN$2,INDEX($V$3:$V$3000,_xlfn.AGGREGATE(15,3,($B$3:$B$3000=$AM$2)/($B$3:$B$3000=$AM$2)*(ROW($B$3:$B$3000)-ROW($B$2)),ROWS($AN$2:$AN185))),"")</f>
        <v/>
      </c>
      <c r="AN186" s="134" t="str" cm="1">
        <f t="array" ref="AN186">IF(ROWS($AN$2:$AN185)&lt;=$AN$2,INDEX($F$3:$F$3000,_xlfn.AGGREGATE(15,3,($B$3:$B$3000=$AM$2)/($B$3:$B$3000=$AM$2)*(ROW($B$3:$B$3000)-ROW($B$2)),ROWS($AN$2:$AN185))),"")</f>
        <v/>
      </c>
      <c r="AO186" s="135" t="str" cm="1">
        <f t="array" ref="AO186">IF(ROWS($AN$2:$AN185)&lt;=$AN$2,INDEX($G$3:$G$3000,_xlfn.AGGREGATE(15,3,($B$3:$B$3000=$AM$2)/($B$3:$B$3000=$AM$2)*(ROW($B$3:$B$3000)-ROW($B$2)),ROWS($AN$2:$AN185))),"")</f>
        <v/>
      </c>
      <c r="AP186" s="121"/>
      <c r="AT186" s="111"/>
      <c r="AV186" s="133" t="str" cm="1">
        <f t="array" ref="AV186">IF(ROWS($AW$2:$AW185)&lt;=$AW$2,INDEX($AM$3:$AM$792,_xlfn.AGGREGATE(15,3,($AM$3:$AM$792='Planning Template'!$F$45)/($AM$3:$AM$792='Planning Template'!$F$45)*(ROW($AM$3:$AM$792)-ROW($AM$2)),ROWS($AW$2:$AW185))),"")</f>
        <v/>
      </c>
      <c r="AW186" s="134" t="str" cm="1">
        <f t="array" ref="AW186">IF(ROWS($AU$3:$AU186)&lt;=$AW$2,INDEX($AN$3:$AN$792,_xlfn.AGGREGATE(15,3,($AM$3:$AM$792='Planning Template'!$F$45)/($AM$3:$AM$792='Planning Template'!$F$45)*(ROW($AM$3:$AM$792)-ROW($AM$2)),ROWS($AU$3:$AU186))),"")</f>
        <v/>
      </c>
      <c r="AX186" s="135" t="str">
        <f>IF(AW186="","",SUMIFS(TableSSDPeopleGroups[Population], TableSSDPeopleGroups[Ctry],'Planning Template'!$F$30,TableSSDPeopleGroups[PrimaryReligion],'Planning Template'!$F$301,TableSSDPeopleGroups[PeopleCluster],'Planning Template'!$F$45,TableSSDPeopleGroups[PeopNameInCountry],$AW186))</f>
        <v/>
      </c>
      <c r="AY186" s="234" t="str">
        <f t="shared" si="11"/>
        <v/>
      </c>
    </row>
    <row r="187" spans="1:51" s="110" customFormat="1" ht="20" customHeight="1">
      <c r="A187" s="125" t="s">
        <v>1620</v>
      </c>
      <c r="B187" s="126" t="s">
        <v>61</v>
      </c>
      <c r="C187" s="127">
        <v>11293</v>
      </c>
      <c r="D187" s="163">
        <v>101976</v>
      </c>
      <c r="E187" s="164" t="s">
        <v>4192</v>
      </c>
      <c r="F187" s="164" t="s">
        <v>4193</v>
      </c>
      <c r="G187" s="165">
        <v>28000</v>
      </c>
      <c r="H187" s="165">
        <v>1</v>
      </c>
      <c r="I187" s="164" t="s">
        <v>187</v>
      </c>
      <c r="J187" s="164" t="s">
        <v>4194</v>
      </c>
      <c r="K187" s="164" t="s">
        <v>4192</v>
      </c>
      <c r="L187" s="165">
        <v>4</v>
      </c>
      <c r="M187" s="165">
        <v>2</v>
      </c>
      <c r="N187" s="164" t="s">
        <v>1718</v>
      </c>
      <c r="O187" s="165">
        <v>0</v>
      </c>
      <c r="P187" s="165">
        <v>0</v>
      </c>
      <c r="Q187" s="165">
        <v>21</v>
      </c>
      <c r="R187" s="164" t="s">
        <v>200</v>
      </c>
      <c r="S187" s="164" t="s">
        <v>201</v>
      </c>
      <c r="T187" s="165">
        <v>475</v>
      </c>
      <c r="U187" s="164" t="s">
        <v>200</v>
      </c>
      <c r="V187" s="164" t="s">
        <v>392</v>
      </c>
      <c r="W187" s="165">
        <v>3</v>
      </c>
      <c r="X187" s="165">
        <v>2</v>
      </c>
      <c r="Y187" s="164" t="s">
        <v>194</v>
      </c>
      <c r="Z187" s="164" t="s">
        <v>195</v>
      </c>
      <c r="AA187" s="164" t="s">
        <v>196</v>
      </c>
      <c r="AB187" s="164" t="s">
        <v>187</v>
      </c>
      <c r="AC187" s="164" t="s">
        <v>209</v>
      </c>
      <c r="AD187" s="165">
        <v>1</v>
      </c>
      <c r="AE187" s="164" t="s">
        <v>187</v>
      </c>
      <c r="AF187" s="165">
        <v>20.571797</v>
      </c>
      <c r="AG187" s="166">
        <v>93.546796999999998</v>
      </c>
      <c r="AM187" s="133" t="str" cm="1">
        <f t="array" ref="AM187">IF(ROWS($AN$2:$AN186)&lt;=$AN$2,INDEX($V$3:$V$3000,_xlfn.AGGREGATE(15,3,($B$3:$B$3000=$AM$2)/($B$3:$B$3000=$AM$2)*(ROW($B$3:$B$3000)-ROW($B$2)),ROWS($AN$2:$AN186))),"")</f>
        <v/>
      </c>
      <c r="AN187" s="134" t="str" cm="1">
        <f t="array" ref="AN187">IF(ROWS($AN$2:$AN186)&lt;=$AN$2,INDEX($F$3:$F$3000,_xlfn.AGGREGATE(15,3,($B$3:$B$3000=$AM$2)/($B$3:$B$3000=$AM$2)*(ROW($B$3:$B$3000)-ROW($B$2)),ROWS($AN$2:$AN186))),"")</f>
        <v/>
      </c>
      <c r="AO187" s="135" t="str" cm="1">
        <f t="array" ref="AO187">IF(ROWS($AN$2:$AN186)&lt;=$AN$2,INDEX($G$3:$G$3000,_xlfn.AGGREGATE(15,3,($B$3:$B$3000=$AM$2)/($B$3:$B$3000=$AM$2)*(ROW($B$3:$B$3000)-ROW($B$2)),ROWS($AN$2:$AN186))),"")</f>
        <v/>
      </c>
      <c r="AP187" s="121"/>
      <c r="AT187" s="111"/>
      <c r="AV187" s="133" t="str" cm="1">
        <f t="array" ref="AV187">IF(ROWS($AW$2:$AW186)&lt;=$AW$2,INDEX($AM$3:$AM$792,_xlfn.AGGREGATE(15,3,($AM$3:$AM$792='Planning Template'!$F$45)/($AM$3:$AM$792='Planning Template'!$F$45)*(ROW($AM$3:$AM$792)-ROW($AM$2)),ROWS($AW$2:$AW186))),"")</f>
        <v/>
      </c>
      <c r="AW187" s="134" t="str" cm="1">
        <f t="array" ref="AW187">IF(ROWS($AU$3:$AU187)&lt;=$AW$2,INDEX($AN$3:$AN$792,_xlfn.AGGREGATE(15,3,($AM$3:$AM$792='Planning Template'!$F$45)/($AM$3:$AM$792='Planning Template'!$F$45)*(ROW($AM$3:$AM$792)-ROW($AM$2)),ROWS($AU$3:$AU187))),"")</f>
        <v/>
      </c>
      <c r="AX187" s="135" t="str">
        <f>IF(AW187="","",SUMIFS(TableSSDPeopleGroups[Population], TableSSDPeopleGroups[Ctry],'Planning Template'!$F$30,TableSSDPeopleGroups[PrimaryReligion],'Planning Template'!$F$301,TableSSDPeopleGroups[PeopleCluster],'Planning Template'!$F$45,TableSSDPeopleGroups[PeopNameInCountry],$AW187))</f>
        <v/>
      </c>
      <c r="AY187" s="234" t="str">
        <f t="shared" si="11"/>
        <v/>
      </c>
    </row>
    <row r="188" spans="1:51" s="110" customFormat="1" ht="20" customHeight="1">
      <c r="A188" s="125" t="s">
        <v>1620</v>
      </c>
      <c r="B188" s="126" t="s">
        <v>61</v>
      </c>
      <c r="C188" s="127">
        <v>13849</v>
      </c>
      <c r="D188" s="163">
        <v>106847</v>
      </c>
      <c r="E188" s="164" t="s">
        <v>4156</v>
      </c>
      <c r="F188" s="164" t="s">
        <v>4156</v>
      </c>
      <c r="G188" s="165">
        <v>25000</v>
      </c>
      <c r="H188" s="165">
        <v>1</v>
      </c>
      <c r="I188" s="164" t="s">
        <v>187</v>
      </c>
      <c r="J188" s="164" t="s">
        <v>4157</v>
      </c>
      <c r="K188" s="164" t="s">
        <v>4156</v>
      </c>
      <c r="L188" s="165">
        <v>4</v>
      </c>
      <c r="M188" s="165">
        <v>2</v>
      </c>
      <c r="N188" s="164" t="s">
        <v>1718</v>
      </c>
      <c r="O188" s="165">
        <v>4.01</v>
      </c>
      <c r="P188" s="165">
        <v>0.4</v>
      </c>
      <c r="Q188" s="165">
        <v>21</v>
      </c>
      <c r="R188" s="164" t="s">
        <v>200</v>
      </c>
      <c r="S188" s="164" t="s">
        <v>201</v>
      </c>
      <c r="T188" s="165">
        <v>475</v>
      </c>
      <c r="U188" s="164" t="s">
        <v>200</v>
      </c>
      <c r="V188" s="164" t="s">
        <v>392</v>
      </c>
      <c r="W188" s="165">
        <v>3</v>
      </c>
      <c r="X188" s="165">
        <v>2</v>
      </c>
      <c r="Y188" s="164" t="s">
        <v>194</v>
      </c>
      <c r="Z188" s="164" t="s">
        <v>195</v>
      </c>
      <c r="AA188" s="164" t="s">
        <v>196</v>
      </c>
      <c r="AB188" s="164" t="s">
        <v>187</v>
      </c>
      <c r="AC188" s="164" t="s">
        <v>209</v>
      </c>
      <c r="AD188" s="165">
        <v>1</v>
      </c>
      <c r="AE188" s="164" t="s">
        <v>209</v>
      </c>
      <c r="AF188" s="165">
        <v>20.872537000000001</v>
      </c>
      <c r="AG188" s="166">
        <v>92.527550000000005</v>
      </c>
      <c r="AM188" s="133" t="str" cm="1">
        <f t="array" ref="AM188">IF(ROWS($AN$2:$AN187)&lt;=$AN$2,INDEX($V$3:$V$3000,_xlfn.AGGREGATE(15,3,($B$3:$B$3000=$AM$2)/($B$3:$B$3000=$AM$2)*(ROW($B$3:$B$3000)-ROW($B$2)),ROWS($AN$2:$AN187))),"")</f>
        <v/>
      </c>
      <c r="AN188" s="134" t="str" cm="1">
        <f t="array" ref="AN188">IF(ROWS($AN$2:$AN187)&lt;=$AN$2,INDEX($F$3:$F$3000,_xlfn.AGGREGATE(15,3,($B$3:$B$3000=$AM$2)/($B$3:$B$3000=$AM$2)*(ROW($B$3:$B$3000)-ROW($B$2)),ROWS($AN$2:$AN187))),"")</f>
        <v/>
      </c>
      <c r="AO188" s="135" t="str" cm="1">
        <f t="array" ref="AO188">IF(ROWS($AN$2:$AN187)&lt;=$AN$2,INDEX($G$3:$G$3000,_xlfn.AGGREGATE(15,3,($B$3:$B$3000=$AM$2)/($B$3:$B$3000=$AM$2)*(ROW($B$3:$B$3000)-ROW($B$2)),ROWS($AN$2:$AN187))),"")</f>
        <v/>
      </c>
      <c r="AP188" s="121"/>
      <c r="AT188" s="111"/>
      <c r="AV188" s="133" t="str" cm="1">
        <f t="array" ref="AV188">IF(ROWS($AW$2:$AW187)&lt;=$AW$2,INDEX($AM$3:$AM$792,_xlfn.AGGREGATE(15,3,($AM$3:$AM$792='Planning Template'!$F$45)/($AM$3:$AM$792='Planning Template'!$F$45)*(ROW($AM$3:$AM$792)-ROW($AM$2)),ROWS($AW$2:$AW187))),"")</f>
        <v/>
      </c>
      <c r="AW188" s="134" t="str" cm="1">
        <f t="array" ref="AW188">IF(ROWS($AU$3:$AU188)&lt;=$AW$2,INDEX($AN$3:$AN$792,_xlfn.AGGREGATE(15,3,($AM$3:$AM$792='Planning Template'!$F$45)/($AM$3:$AM$792='Planning Template'!$F$45)*(ROW($AM$3:$AM$792)-ROW($AM$2)),ROWS($AU$3:$AU188))),"")</f>
        <v/>
      </c>
      <c r="AX188" s="135" t="str">
        <f>IF(AW188="","",SUMIFS(TableSSDPeopleGroups[Population], TableSSDPeopleGroups[Ctry],'Planning Template'!$F$30,TableSSDPeopleGroups[PrimaryReligion],'Planning Template'!$F$301,TableSSDPeopleGroups[PeopleCluster],'Planning Template'!$F$45,TableSSDPeopleGroups[PeopNameInCountry],$AW188))</f>
        <v/>
      </c>
      <c r="AY188" s="234" t="str">
        <f t="shared" si="11"/>
        <v/>
      </c>
    </row>
    <row r="189" spans="1:51" s="110" customFormat="1" ht="20" customHeight="1">
      <c r="A189" s="125" t="s">
        <v>231</v>
      </c>
      <c r="B189" s="126" t="s">
        <v>66</v>
      </c>
      <c r="C189" s="127">
        <v>16524</v>
      </c>
      <c r="D189" s="163">
        <v>111700</v>
      </c>
      <c r="E189" s="164" t="s">
        <v>3249</v>
      </c>
      <c r="F189" s="164" t="s">
        <v>3249</v>
      </c>
      <c r="G189" s="165">
        <v>5400</v>
      </c>
      <c r="H189" s="165">
        <v>1</v>
      </c>
      <c r="I189" s="164" t="s">
        <v>187</v>
      </c>
      <c r="J189" s="164" t="s">
        <v>293</v>
      </c>
      <c r="K189" s="164" t="s">
        <v>294</v>
      </c>
      <c r="L189" s="165">
        <v>3</v>
      </c>
      <c r="M189" s="165">
        <v>2</v>
      </c>
      <c r="N189" s="164" t="s">
        <v>1718</v>
      </c>
      <c r="O189" s="165">
        <v>0</v>
      </c>
      <c r="P189" s="165">
        <v>0</v>
      </c>
      <c r="Q189" s="165">
        <v>21</v>
      </c>
      <c r="R189" s="164" t="s">
        <v>200</v>
      </c>
      <c r="S189" s="164" t="s">
        <v>201</v>
      </c>
      <c r="T189" s="165">
        <v>475</v>
      </c>
      <c r="U189" s="164" t="s">
        <v>200</v>
      </c>
      <c r="V189" s="164" t="s">
        <v>392</v>
      </c>
      <c r="W189" s="165">
        <v>3</v>
      </c>
      <c r="X189" s="165">
        <v>4</v>
      </c>
      <c r="Y189" s="164" t="s">
        <v>203</v>
      </c>
      <c r="Z189" s="164" t="s">
        <v>195</v>
      </c>
      <c r="AA189" s="164" t="s">
        <v>196</v>
      </c>
      <c r="AB189" s="164" t="s">
        <v>187</v>
      </c>
      <c r="AC189" s="164" t="s">
        <v>187</v>
      </c>
      <c r="AD189" s="165">
        <v>1</v>
      </c>
      <c r="AE189" s="164" t="s">
        <v>187</v>
      </c>
      <c r="AF189" s="165">
        <v>35.403961903794197</v>
      </c>
      <c r="AG189" s="166">
        <v>76.637292096192994</v>
      </c>
      <c r="AM189" s="133" t="str" cm="1">
        <f t="array" ref="AM189">IF(ROWS($AN$2:$AN188)&lt;=$AN$2,INDEX($V$3:$V$3000,_xlfn.AGGREGATE(15,3,($B$3:$B$3000=$AM$2)/($B$3:$B$3000=$AM$2)*(ROW($B$3:$B$3000)-ROW($B$2)),ROWS($AN$2:$AN188))),"")</f>
        <v/>
      </c>
      <c r="AN189" s="134" t="str" cm="1">
        <f t="array" ref="AN189">IF(ROWS($AN$2:$AN188)&lt;=$AN$2,INDEX($F$3:$F$3000,_xlfn.AGGREGATE(15,3,($B$3:$B$3000=$AM$2)/($B$3:$B$3000=$AM$2)*(ROW($B$3:$B$3000)-ROW($B$2)),ROWS($AN$2:$AN188))),"")</f>
        <v/>
      </c>
      <c r="AO189" s="135" t="str" cm="1">
        <f t="array" ref="AO189">IF(ROWS($AN$2:$AN188)&lt;=$AN$2,INDEX($G$3:$G$3000,_xlfn.AGGREGATE(15,3,($B$3:$B$3000=$AM$2)/($B$3:$B$3000=$AM$2)*(ROW($B$3:$B$3000)-ROW($B$2)),ROWS($AN$2:$AN188))),"")</f>
        <v/>
      </c>
      <c r="AP189" s="121"/>
      <c r="AT189" s="111"/>
      <c r="AV189" s="133" t="str" cm="1">
        <f t="array" ref="AV189">IF(ROWS($AW$2:$AW188)&lt;=$AW$2,INDEX($AM$3:$AM$792,_xlfn.AGGREGATE(15,3,($AM$3:$AM$792='Planning Template'!$F$45)/($AM$3:$AM$792='Planning Template'!$F$45)*(ROW($AM$3:$AM$792)-ROW($AM$2)),ROWS($AW$2:$AW188))),"")</f>
        <v/>
      </c>
      <c r="AW189" s="134" t="str" cm="1">
        <f t="array" ref="AW189">IF(ROWS($AU$3:$AU189)&lt;=$AW$2,INDEX($AN$3:$AN$792,_xlfn.AGGREGATE(15,3,($AM$3:$AM$792='Planning Template'!$F$45)/($AM$3:$AM$792='Planning Template'!$F$45)*(ROW($AM$3:$AM$792)-ROW($AM$2)),ROWS($AU$3:$AU189))),"")</f>
        <v/>
      </c>
      <c r="AX189" s="135" t="str">
        <f>IF(AW189="","",SUMIFS(TableSSDPeopleGroups[Population], TableSSDPeopleGroups[Ctry],'Planning Template'!$F$30,TableSSDPeopleGroups[PrimaryReligion],'Planning Template'!$F$301,TableSSDPeopleGroups[PeopleCluster],'Planning Template'!$F$45,TableSSDPeopleGroups[PeopNameInCountry],$AW189))</f>
        <v/>
      </c>
      <c r="AY189" s="234" t="str">
        <f t="shared" si="11"/>
        <v/>
      </c>
    </row>
    <row r="190" spans="1:51" s="110" customFormat="1" ht="20" customHeight="1">
      <c r="A190" s="125" t="s">
        <v>231</v>
      </c>
      <c r="B190" s="126" t="s">
        <v>66</v>
      </c>
      <c r="C190" s="127">
        <v>13783</v>
      </c>
      <c r="D190" s="163">
        <v>115286</v>
      </c>
      <c r="E190" s="164" t="s">
        <v>2439</v>
      </c>
      <c r="F190" s="164" t="s">
        <v>2439</v>
      </c>
      <c r="G190" s="165">
        <v>1200</v>
      </c>
      <c r="H190" s="165">
        <v>1</v>
      </c>
      <c r="I190" s="164" t="s">
        <v>187</v>
      </c>
      <c r="J190" s="164" t="s">
        <v>293</v>
      </c>
      <c r="K190" s="164" t="s">
        <v>294</v>
      </c>
      <c r="L190" s="165">
        <v>3</v>
      </c>
      <c r="M190" s="165">
        <v>2</v>
      </c>
      <c r="N190" s="164" t="s">
        <v>1718</v>
      </c>
      <c r="O190" s="165">
        <v>0</v>
      </c>
      <c r="P190" s="165">
        <v>0</v>
      </c>
      <c r="Q190" s="165">
        <v>21</v>
      </c>
      <c r="R190" s="164" t="s">
        <v>200</v>
      </c>
      <c r="S190" s="164" t="s">
        <v>201</v>
      </c>
      <c r="T190" s="165">
        <v>475</v>
      </c>
      <c r="U190" s="164" t="s">
        <v>200</v>
      </c>
      <c r="V190" s="164" t="s">
        <v>392</v>
      </c>
      <c r="W190" s="165">
        <v>2</v>
      </c>
      <c r="X190" s="165">
        <v>4</v>
      </c>
      <c r="Y190" s="164" t="s">
        <v>203</v>
      </c>
      <c r="Z190" s="164" t="s">
        <v>195</v>
      </c>
      <c r="AA190" s="164" t="s">
        <v>196</v>
      </c>
      <c r="AB190" s="164" t="s">
        <v>187</v>
      </c>
      <c r="AC190" s="164" t="s">
        <v>187</v>
      </c>
      <c r="AD190" s="165">
        <v>1</v>
      </c>
      <c r="AE190" s="164" t="s">
        <v>187</v>
      </c>
      <c r="AF190" s="165">
        <v>35.403076170698</v>
      </c>
      <c r="AG190" s="166">
        <v>76.639824576830307</v>
      </c>
      <c r="AM190" s="133" t="str" cm="1">
        <f t="array" ref="AM190">IF(ROWS($AN$2:$AN189)&lt;=$AN$2,INDEX($V$3:$V$3000,_xlfn.AGGREGATE(15,3,($B$3:$B$3000=$AM$2)/($B$3:$B$3000=$AM$2)*(ROW($B$3:$B$3000)-ROW($B$2)),ROWS($AN$2:$AN189))),"")</f>
        <v/>
      </c>
      <c r="AN190" s="134" t="str" cm="1">
        <f t="array" ref="AN190">IF(ROWS($AN$2:$AN189)&lt;=$AN$2,INDEX($F$3:$F$3000,_xlfn.AGGREGATE(15,3,($B$3:$B$3000=$AM$2)/($B$3:$B$3000=$AM$2)*(ROW($B$3:$B$3000)-ROW($B$2)),ROWS($AN$2:$AN189))),"")</f>
        <v/>
      </c>
      <c r="AO190" s="135" t="str" cm="1">
        <f t="array" ref="AO190">IF(ROWS($AN$2:$AN189)&lt;=$AN$2,INDEX($G$3:$G$3000,_xlfn.AGGREGATE(15,3,($B$3:$B$3000=$AM$2)/($B$3:$B$3000=$AM$2)*(ROW($B$3:$B$3000)-ROW($B$2)),ROWS($AN$2:$AN189))),"")</f>
        <v/>
      </c>
      <c r="AP190" s="121"/>
      <c r="AT190" s="111"/>
      <c r="AV190" s="133" t="str" cm="1">
        <f t="array" ref="AV190">IF(ROWS($AW$2:$AW189)&lt;=$AW$2,INDEX($AM$3:$AM$792,_xlfn.AGGREGATE(15,3,($AM$3:$AM$792='Planning Template'!$F$45)/($AM$3:$AM$792='Planning Template'!$F$45)*(ROW($AM$3:$AM$792)-ROW($AM$2)),ROWS($AW$2:$AW189))),"")</f>
        <v/>
      </c>
      <c r="AW190" s="134" t="str" cm="1">
        <f t="array" ref="AW190">IF(ROWS($AU$3:$AU190)&lt;=$AW$2,INDEX($AN$3:$AN$792,_xlfn.AGGREGATE(15,3,($AM$3:$AM$792='Planning Template'!$F$45)/($AM$3:$AM$792='Planning Template'!$F$45)*(ROW($AM$3:$AM$792)-ROW($AM$2)),ROWS($AU$3:$AU190))),"")</f>
        <v/>
      </c>
      <c r="AX190" s="135" t="str">
        <f>IF(AW190="","",SUMIFS(TableSSDPeopleGroups[Population], TableSSDPeopleGroups[Ctry],'Planning Template'!$F$30,TableSSDPeopleGroups[PrimaryReligion],'Planning Template'!$F$301,TableSSDPeopleGroups[PeopleCluster],'Planning Template'!$F$45,TableSSDPeopleGroups[PeopNameInCountry],$AW190))</f>
        <v/>
      </c>
      <c r="AY190" s="234" t="str">
        <f t="shared" si="11"/>
        <v/>
      </c>
    </row>
    <row r="191" spans="1:51" s="110" customFormat="1" ht="20" customHeight="1">
      <c r="A191" s="125" t="s">
        <v>231</v>
      </c>
      <c r="B191" s="126" t="s">
        <v>66</v>
      </c>
      <c r="C191" s="127">
        <v>16803</v>
      </c>
      <c r="D191" s="163">
        <v>112066</v>
      </c>
      <c r="E191" s="164" t="s">
        <v>2378</v>
      </c>
      <c r="F191" s="164" t="s">
        <v>2378</v>
      </c>
      <c r="G191" s="165">
        <v>1100</v>
      </c>
      <c r="H191" s="165">
        <v>1</v>
      </c>
      <c r="I191" s="164" t="s">
        <v>187</v>
      </c>
      <c r="J191" s="164" t="s">
        <v>293</v>
      </c>
      <c r="K191" s="164" t="s">
        <v>294</v>
      </c>
      <c r="L191" s="165">
        <v>3</v>
      </c>
      <c r="M191" s="165">
        <v>2</v>
      </c>
      <c r="N191" s="164" t="s">
        <v>1718</v>
      </c>
      <c r="O191" s="165">
        <v>0</v>
      </c>
      <c r="P191" s="165">
        <v>0</v>
      </c>
      <c r="Q191" s="165">
        <v>21</v>
      </c>
      <c r="R191" s="164" t="s">
        <v>200</v>
      </c>
      <c r="S191" s="164" t="s">
        <v>201</v>
      </c>
      <c r="T191" s="165">
        <v>475</v>
      </c>
      <c r="U191" s="164" t="s">
        <v>200</v>
      </c>
      <c r="V191" s="164" t="s">
        <v>392</v>
      </c>
      <c r="W191" s="165">
        <v>2</v>
      </c>
      <c r="X191" s="165">
        <v>4</v>
      </c>
      <c r="Y191" s="164" t="s">
        <v>203</v>
      </c>
      <c r="Z191" s="164" t="s">
        <v>195</v>
      </c>
      <c r="AA191" s="164" t="s">
        <v>196</v>
      </c>
      <c r="AB191" s="164" t="s">
        <v>187</v>
      </c>
      <c r="AC191" s="164" t="s">
        <v>187</v>
      </c>
      <c r="AD191" s="165">
        <v>1</v>
      </c>
      <c r="AE191" s="164" t="s">
        <v>187</v>
      </c>
      <c r="AF191" s="165">
        <v>35.6492017963268</v>
      </c>
      <c r="AG191" s="166">
        <v>75.567473301045894</v>
      </c>
      <c r="AM191" s="133" t="str" cm="1">
        <f t="array" ref="AM191">IF(ROWS($AN$2:$AN190)&lt;=$AN$2,INDEX($V$3:$V$3000,_xlfn.AGGREGATE(15,3,($B$3:$B$3000=$AM$2)/($B$3:$B$3000=$AM$2)*(ROW($B$3:$B$3000)-ROW($B$2)),ROWS($AN$2:$AN190))),"")</f>
        <v/>
      </c>
      <c r="AN191" s="134" t="str" cm="1">
        <f t="array" ref="AN191">IF(ROWS($AN$2:$AN190)&lt;=$AN$2,INDEX($F$3:$F$3000,_xlfn.AGGREGATE(15,3,($B$3:$B$3000=$AM$2)/($B$3:$B$3000=$AM$2)*(ROW($B$3:$B$3000)-ROW($B$2)),ROWS($AN$2:$AN190))),"")</f>
        <v/>
      </c>
      <c r="AO191" s="135" t="str" cm="1">
        <f t="array" ref="AO191">IF(ROWS($AN$2:$AN190)&lt;=$AN$2,INDEX($G$3:$G$3000,_xlfn.AGGREGATE(15,3,($B$3:$B$3000=$AM$2)/($B$3:$B$3000=$AM$2)*(ROW($B$3:$B$3000)-ROW($B$2)),ROWS($AN$2:$AN190))),"")</f>
        <v/>
      </c>
      <c r="AP191" s="121"/>
      <c r="AT191" s="111"/>
      <c r="AV191" s="133" t="str" cm="1">
        <f t="array" ref="AV191">IF(ROWS($AW$2:$AW190)&lt;=$AW$2,INDEX($AM$3:$AM$792,_xlfn.AGGREGATE(15,3,($AM$3:$AM$792='Planning Template'!$F$45)/($AM$3:$AM$792='Planning Template'!$F$45)*(ROW($AM$3:$AM$792)-ROW($AM$2)),ROWS($AW$2:$AW190))),"")</f>
        <v/>
      </c>
      <c r="AW191" s="134" t="str" cm="1">
        <f t="array" ref="AW191">IF(ROWS($AU$3:$AU191)&lt;=$AW$2,INDEX($AN$3:$AN$792,_xlfn.AGGREGATE(15,3,($AM$3:$AM$792='Planning Template'!$F$45)/($AM$3:$AM$792='Planning Template'!$F$45)*(ROW($AM$3:$AM$792)-ROW($AM$2)),ROWS($AU$3:$AU191))),"")</f>
        <v/>
      </c>
      <c r="AX191" s="135" t="str">
        <f>IF(AW191="","",SUMIFS(TableSSDPeopleGroups[Population], TableSSDPeopleGroups[Ctry],'Planning Template'!$F$30,TableSSDPeopleGroups[PrimaryReligion],'Planning Template'!$F$301,TableSSDPeopleGroups[PeopleCluster],'Planning Template'!$F$45,TableSSDPeopleGroups[PeopNameInCountry],$AW191))</f>
        <v/>
      </c>
      <c r="AY191" s="234" t="str">
        <f t="shared" si="11"/>
        <v/>
      </c>
    </row>
    <row r="192" spans="1:51" s="110" customFormat="1" ht="20" customHeight="1">
      <c r="A192" s="125" t="s">
        <v>231</v>
      </c>
      <c r="B192" s="126" t="s">
        <v>66</v>
      </c>
      <c r="C192" s="127">
        <v>16433</v>
      </c>
      <c r="D192" s="163">
        <v>111584</v>
      </c>
      <c r="E192" s="164" t="s">
        <v>2216</v>
      </c>
      <c r="F192" s="164" t="s">
        <v>2216</v>
      </c>
      <c r="G192" s="165">
        <v>800</v>
      </c>
      <c r="H192" s="165">
        <v>1</v>
      </c>
      <c r="I192" s="164" t="s">
        <v>187</v>
      </c>
      <c r="J192" s="164" t="s">
        <v>293</v>
      </c>
      <c r="K192" s="164" t="s">
        <v>294</v>
      </c>
      <c r="L192" s="165">
        <v>3</v>
      </c>
      <c r="M192" s="165">
        <v>2</v>
      </c>
      <c r="N192" s="164" t="s">
        <v>1718</v>
      </c>
      <c r="O192" s="165">
        <v>0</v>
      </c>
      <c r="P192" s="165">
        <v>0</v>
      </c>
      <c r="Q192" s="165">
        <v>21</v>
      </c>
      <c r="R192" s="164" t="s">
        <v>200</v>
      </c>
      <c r="S192" s="164" t="s">
        <v>201</v>
      </c>
      <c r="T192" s="165">
        <v>475</v>
      </c>
      <c r="U192" s="164" t="s">
        <v>200</v>
      </c>
      <c r="V192" s="164" t="s">
        <v>392</v>
      </c>
      <c r="W192" s="165">
        <v>2</v>
      </c>
      <c r="X192" s="165">
        <v>4</v>
      </c>
      <c r="Y192" s="164" t="s">
        <v>203</v>
      </c>
      <c r="Z192" s="164" t="s">
        <v>195</v>
      </c>
      <c r="AA192" s="164" t="s">
        <v>196</v>
      </c>
      <c r="AB192" s="164" t="s">
        <v>187</v>
      </c>
      <c r="AC192" s="164" t="s">
        <v>187</v>
      </c>
      <c r="AD192" s="165">
        <v>1</v>
      </c>
      <c r="AE192" s="164" t="s">
        <v>187</v>
      </c>
      <c r="AF192" s="165">
        <v>35.403332439625899</v>
      </c>
      <c r="AG192" s="166">
        <v>76.644646093219606</v>
      </c>
      <c r="AM192" s="133" t="str" cm="1">
        <f t="array" ref="AM192">IF(ROWS($AN$2:$AN191)&lt;=$AN$2,INDEX($V$3:$V$3000,_xlfn.AGGREGATE(15,3,($B$3:$B$3000=$AM$2)/($B$3:$B$3000=$AM$2)*(ROW($B$3:$B$3000)-ROW($B$2)),ROWS($AN$2:$AN191))),"")</f>
        <v/>
      </c>
      <c r="AN192" s="134" t="str" cm="1">
        <f t="array" ref="AN192">IF(ROWS($AN$2:$AN191)&lt;=$AN$2,INDEX($F$3:$F$3000,_xlfn.AGGREGATE(15,3,($B$3:$B$3000=$AM$2)/($B$3:$B$3000=$AM$2)*(ROW($B$3:$B$3000)-ROW($B$2)),ROWS($AN$2:$AN191))),"")</f>
        <v/>
      </c>
      <c r="AO192" s="135" t="str" cm="1">
        <f t="array" ref="AO192">IF(ROWS($AN$2:$AN191)&lt;=$AN$2,INDEX($G$3:$G$3000,_xlfn.AGGREGATE(15,3,($B$3:$B$3000=$AM$2)/($B$3:$B$3000=$AM$2)*(ROW($B$3:$B$3000)-ROW($B$2)),ROWS($AN$2:$AN191))),"")</f>
        <v/>
      </c>
      <c r="AP192" s="121"/>
      <c r="AT192" s="111"/>
      <c r="AV192" s="133" t="str" cm="1">
        <f t="array" ref="AV192">IF(ROWS($AW$2:$AW191)&lt;=$AW$2,INDEX($AM$3:$AM$792,_xlfn.AGGREGATE(15,3,($AM$3:$AM$792='Planning Template'!$F$45)/($AM$3:$AM$792='Planning Template'!$F$45)*(ROW($AM$3:$AM$792)-ROW($AM$2)),ROWS($AW$2:$AW191))),"")</f>
        <v/>
      </c>
      <c r="AW192" s="134" t="str" cm="1">
        <f t="array" ref="AW192">IF(ROWS($AU$3:$AU192)&lt;=$AW$2,INDEX($AN$3:$AN$792,_xlfn.AGGREGATE(15,3,($AM$3:$AM$792='Planning Template'!$F$45)/($AM$3:$AM$792='Planning Template'!$F$45)*(ROW($AM$3:$AM$792)-ROW($AM$2)),ROWS($AU$3:$AU192))),"")</f>
        <v/>
      </c>
      <c r="AX192" s="135" t="str">
        <f>IF(AW192="","",SUMIFS(TableSSDPeopleGroups[Population], TableSSDPeopleGroups[Ctry],'Planning Template'!$F$30,TableSSDPeopleGroups[PrimaryReligion],'Planning Template'!$F$301,TableSSDPeopleGroups[PeopleCluster],'Planning Template'!$F$45,TableSSDPeopleGroups[PeopNameInCountry],$AW192))</f>
        <v/>
      </c>
      <c r="AY192" s="234" t="str">
        <f t="shared" si="11"/>
        <v/>
      </c>
    </row>
    <row r="193" spans="1:51" s="110" customFormat="1" ht="20" customHeight="1">
      <c r="A193" s="125" t="s">
        <v>231</v>
      </c>
      <c r="B193" s="126" t="s">
        <v>66</v>
      </c>
      <c r="C193" s="127">
        <v>19193</v>
      </c>
      <c r="D193" s="163">
        <v>115253</v>
      </c>
      <c r="E193" s="164" t="s">
        <v>1895</v>
      </c>
      <c r="F193" s="164" t="s">
        <v>1895</v>
      </c>
      <c r="G193" s="165">
        <v>400</v>
      </c>
      <c r="H193" s="165">
        <v>1</v>
      </c>
      <c r="I193" s="164" t="s">
        <v>187</v>
      </c>
      <c r="J193" s="164" t="s">
        <v>293</v>
      </c>
      <c r="K193" s="164" t="s">
        <v>294</v>
      </c>
      <c r="L193" s="165">
        <v>3</v>
      </c>
      <c r="M193" s="165">
        <v>2</v>
      </c>
      <c r="N193" s="164" t="s">
        <v>1718</v>
      </c>
      <c r="O193" s="165">
        <v>2.702</v>
      </c>
      <c r="P193" s="168"/>
      <c r="Q193" s="165">
        <v>21</v>
      </c>
      <c r="R193" s="164" t="s">
        <v>200</v>
      </c>
      <c r="S193" s="164" t="s">
        <v>201</v>
      </c>
      <c r="T193" s="165">
        <v>475</v>
      </c>
      <c r="U193" s="164" t="s">
        <v>200</v>
      </c>
      <c r="V193" s="164" t="s">
        <v>392</v>
      </c>
      <c r="W193" s="165">
        <v>2</v>
      </c>
      <c r="X193" s="165">
        <v>4</v>
      </c>
      <c r="Y193" s="164" t="s">
        <v>203</v>
      </c>
      <c r="Z193" s="164" t="s">
        <v>195</v>
      </c>
      <c r="AA193" s="164" t="s">
        <v>196</v>
      </c>
      <c r="AB193" s="164" t="s">
        <v>187</v>
      </c>
      <c r="AC193" s="164" t="s">
        <v>187</v>
      </c>
      <c r="AD193" s="165">
        <v>1</v>
      </c>
      <c r="AE193" s="164" t="s">
        <v>209</v>
      </c>
      <c r="AF193" s="165">
        <v>35.404333495887002</v>
      </c>
      <c r="AG193" s="166">
        <v>76.637843224894198</v>
      </c>
      <c r="AM193" s="133" t="str" cm="1">
        <f t="array" ref="AM193">IF(ROWS($AN$2:$AN192)&lt;=$AN$2,INDEX($V$3:$V$3000,_xlfn.AGGREGATE(15,3,($B$3:$B$3000=$AM$2)/($B$3:$B$3000=$AM$2)*(ROW($B$3:$B$3000)-ROW($B$2)),ROWS($AN$2:$AN192))),"")</f>
        <v/>
      </c>
      <c r="AN193" s="134" t="str" cm="1">
        <f t="array" ref="AN193">IF(ROWS($AN$2:$AN192)&lt;=$AN$2,INDEX($F$3:$F$3000,_xlfn.AGGREGATE(15,3,($B$3:$B$3000=$AM$2)/($B$3:$B$3000=$AM$2)*(ROW($B$3:$B$3000)-ROW($B$2)),ROWS($AN$2:$AN192))),"")</f>
        <v/>
      </c>
      <c r="AO193" s="135" t="str" cm="1">
        <f t="array" ref="AO193">IF(ROWS($AN$2:$AN192)&lt;=$AN$2,INDEX($G$3:$G$3000,_xlfn.AGGREGATE(15,3,($B$3:$B$3000=$AM$2)/($B$3:$B$3000=$AM$2)*(ROW($B$3:$B$3000)-ROW($B$2)),ROWS($AN$2:$AN192))),"")</f>
        <v/>
      </c>
      <c r="AP193" s="121"/>
      <c r="AT193" s="111"/>
      <c r="AV193" s="133" t="str" cm="1">
        <f t="array" ref="AV193">IF(ROWS($AW$2:$AW192)&lt;=$AW$2,INDEX($AM$3:$AM$792,_xlfn.AGGREGATE(15,3,($AM$3:$AM$792='Planning Template'!$F$45)/($AM$3:$AM$792='Planning Template'!$F$45)*(ROW($AM$3:$AM$792)-ROW($AM$2)),ROWS($AW$2:$AW192))),"")</f>
        <v/>
      </c>
      <c r="AW193" s="134" t="str" cm="1">
        <f t="array" ref="AW193">IF(ROWS($AU$3:$AU193)&lt;=$AW$2,INDEX($AN$3:$AN$792,_xlfn.AGGREGATE(15,3,($AM$3:$AM$792='Planning Template'!$F$45)/($AM$3:$AM$792='Planning Template'!$F$45)*(ROW($AM$3:$AM$792)-ROW($AM$2)),ROWS($AU$3:$AU193))),"")</f>
        <v/>
      </c>
      <c r="AX193" s="135" t="str">
        <f>IF(AW193="","",SUMIFS(TableSSDPeopleGroups[Population], TableSSDPeopleGroups[Ctry],'Planning Template'!$F$30,TableSSDPeopleGroups[PrimaryReligion],'Planning Template'!$F$301,TableSSDPeopleGroups[PeopleCluster],'Planning Template'!$F$45,TableSSDPeopleGroups[PeopNameInCountry],$AW193))</f>
        <v/>
      </c>
      <c r="AY193" s="234" t="str">
        <f t="shared" si="11"/>
        <v/>
      </c>
    </row>
    <row r="194" spans="1:51" s="110" customFormat="1" ht="20" customHeight="1">
      <c r="A194" s="125" t="s">
        <v>231</v>
      </c>
      <c r="B194" s="126" t="s">
        <v>66</v>
      </c>
      <c r="C194" s="127">
        <v>17870</v>
      </c>
      <c r="D194" s="163">
        <v>113346</v>
      </c>
      <c r="E194" s="164" t="s">
        <v>1717</v>
      </c>
      <c r="F194" s="164" t="s">
        <v>1717</v>
      </c>
      <c r="G194" s="165">
        <v>200</v>
      </c>
      <c r="H194" s="165">
        <v>1</v>
      </c>
      <c r="I194" s="164" t="s">
        <v>187</v>
      </c>
      <c r="J194" s="164" t="s">
        <v>293</v>
      </c>
      <c r="K194" s="164" t="s">
        <v>294</v>
      </c>
      <c r="L194" s="165">
        <v>3</v>
      </c>
      <c r="M194" s="165">
        <v>2</v>
      </c>
      <c r="N194" s="164" t="s">
        <v>1718</v>
      </c>
      <c r="O194" s="165">
        <v>0</v>
      </c>
      <c r="P194" s="165">
        <v>0</v>
      </c>
      <c r="Q194" s="165">
        <v>21</v>
      </c>
      <c r="R194" s="164" t="s">
        <v>200</v>
      </c>
      <c r="S194" s="164" t="s">
        <v>201</v>
      </c>
      <c r="T194" s="165">
        <v>475</v>
      </c>
      <c r="U194" s="164" t="s">
        <v>200</v>
      </c>
      <c r="V194" s="164" t="s">
        <v>392</v>
      </c>
      <c r="W194" s="165">
        <v>2</v>
      </c>
      <c r="X194" s="165">
        <v>4</v>
      </c>
      <c r="Y194" s="164" t="s">
        <v>203</v>
      </c>
      <c r="Z194" s="164" t="s">
        <v>195</v>
      </c>
      <c r="AA194" s="164" t="s">
        <v>196</v>
      </c>
      <c r="AB194" s="164" t="s">
        <v>187</v>
      </c>
      <c r="AC194" s="164" t="s">
        <v>187</v>
      </c>
      <c r="AD194" s="165">
        <v>1</v>
      </c>
      <c r="AE194" s="164" t="s">
        <v>187</v>
      </c>
      <c r="AF194" s="165">
        <v>35.4046381611805</v>
      </c>
      <c r="AG194" s="166">
        <v>76.639930768099006</v>
      </c>
      <c r="AM194" s="133" t="str" cm="1">
        <f t="array" ref="AM194">IF(ROWS($AN$2:$AN193)&lt;=$AN$2,INDEX($V$3:$V$3000,_xlfn.AGGREGATE(15,3,($B$3:$B$3000=$AM$2)/($B$3:$B$3000=$AM$2)*(ROW($B$3:$B$3000)-ROW($B$2)),ROWS($AN$2:$AN193))),"")</f>
        <v/>
      </c>
      <c r="AN194" s="134" t="str" cm="1">
        <f t="array" ref="AN194">IF(ROWS($AN$2:$AN193)&lt;=$AN$2,INDEX($F$3:$F$3000,_xlfn.AGGREGATE(15,3,($B$3:$B$3000=$AM$2)/($B$3:$B$3000=$AM$2)*(ROW($B$3:$B$3000)-ROW($B$2)),ROWS($AN$2:$AN193))),"")</f>
        <v/>
      </c>
      <c r="AO194" s="135" t="str" cm="1">
        <f t="array" ref="AO194">IF(ROWS($AN$2:$AN193)&lt;=$AN$2,INDEX($G$3:$G$3000,_xlfn.AGGREGATE(15,3,($B$3:$B$3000=$AM$2)/($B$3:$B$3000=$AM$2)*(ROW($B$3:$B$3000)-ROW($B$2)),ROWS($AN$2:$AN193))),"")</f>
        <v/>
      </c>
      <c r="AP194" s="121"/>
      <c r="AT194" s="111"/>
      <c r="AV194" s="133" t="str" cm="1">
        <f t="array" ref="AV194">IF(ROWS($AW$2:$AW193)&lt;=$AW$2,INDEX($AM$3:$AM$792,_xlfn.AGGREGATE(15,3,($AM$3:$AM$792='Planning Template'!$F$45)/($AM$3:$AM$792='Planning Template'!$F$45)*(ROW($AM$3:$AM$792)-ROW($AM$2)),ROWS($AW$2:$AW193))),"")</f>
        <v/>
      </c>
      <c r="AW194" s="134" t="str" cm="1">
        <f t="array" ref="AW194">IF(ROWS($AU$3:$AU194)&lt;=$AW$2,INDEX($AN$3:$AN$792,_xlfn.AGGREGATE(15,3,($AM$3:$AM$792='Planning Template'!$F$45)/($AM$3:$AM$792='Planning Template'!$F$45)*(ROW($AM$3:$AM$792)-ROW($AM$2)),ROWS($AU$3:$AU194))),"")</f>
        <v/>
      </c>
      <c r="AX194" s="135" t="str">
        <f>IF(AW194="","",SUMIFS(TableSSDPeopleGroups[Population], TableSSDPeopleGroups[Ctry],'Planning Template'!$F$30,TableSSDPeopleGroups[PrimaryReligion],'Planning Template'!$F$301,TableSSDPeopleGroups[PeopleCluster],'Planning Template'!$F$45,TableSSDPeopleGroups[PeopNameInCountry],$AW194))</f>
        <v/>
      </c>
      <c r="AY194" s="234" t="str">
        <f t="shared" si="11"/>
        <v/>
      </c>
    </row>
    <row r="195" spans="1:51" s="110" customFormat="1" ht="20" customHeight="1">
      <c r="A195" s="125" t="s">
        <v>483</v>
      </c>
      <c r="B195" s="126" t="s">
        <v>55</v>
      </c>
      <c r="C195" s="127">
        <v>14379</v>
      </c>
      <c r="D195" s="163">
        <v>108011</v>
      </c>
      <c r="E195" s="164" t="s">
        <v>2770</v>
      </c>
      <c r="F195" s="164" t="s">
        <v>2770</v>
      </c>
      <c r="G195" s="165">
        <v>2300</v>
      </c>
      <c r="H195" s="165">
        <v>1</v>
      </c>
      <c r="I195" s="164" t="s">
        <v>187</v>
      </c>
      <c r="J195" s="164" t="s">
        <v>2771</v>
      </c>
      <c r="K195" s="164" t="s">
        <v>2772</v>
      </c>
      <c r="L195" s="165">
        <v>1</v>
      </c>
      <c r="M195" s="165">
        <v>2</v>
      </c>
      <c r="N195" s="164" t="s">
        <v>1718</v>
      </c>
      <c r="O195" s="165">
        <v>2</v>
      </c>
      <c r="P195" s="165">
        <v>1</v>
      </c>
      <c r="Q195" s="165">
        <v>20</v>
      </c>
      <c r="R195" s="164" t="s">
        <v>574</v>
      </c>
      <c r="S195" s="164" t="s">
        <v>575</v>
      </c>
      <c r="T195" s="165">
        <v>295</v>
      </c>
      <c r="U195" s="164" t="s">
        <v>1702</v>
      </c>
      <c r="V195" s="164" t="s">
        <v>1703</v>
      </c>
      <c r="W195" s="165">
        <v>3</v>
      </c>
      <c r="X195" s="165">
        <v>2</v>
      </c>
      <c r="Y195" s="164" t="s">
        <v>194</v>
      </c>
      <c r="Z195" s="164" t="s">
        <v>195</v>
      </c>
      <c r="AA195" s="164" t="s">
        <v>196</v>
      </c>
      <c r="AB195" s="164" t="s">
        <v>187</v>
      </c>
      <c r="AC195" s="164" t="s">
        <v>209</v>
      </c>
      <c r="AD195" s="165">
        <v>1</v>
      </c>
      <c r="AE195" s="164" t="s">
        <v>209</v>
      </c>
      <c r="AF195" s="165">
        <v>13.473672000000001</v>
      </c>
      <c r="AG195" s="166">
        <v>103.17723599999999</v>
      </c>
      <c r="AM195" s="133" t="str" cm="1">
        <f t="array" ref="AM195">IF(ROWS($AN$2:$AN194)&lt;=$AN$2,INDEX($V$3:$V$3000,_xlfn.AGGREGATE(15,3,($B$3:$B$3000=$AM$2)/($B$3:$B$3000=$AM$2)*(ROW($B$3:$B$3000)-ROW($B$2)),ROWS($AN$2:$AN194))),"")</f>
        <v/>
      </c>
      <c r="AN195" s="134" t="str" cm="1">
        <f t="array" ref="AN195">IF(ROWS($AN$2:$AN194)&lt;=$AN$2,INDEX($F$3:$F$3000,_xlfn.AGGREGATE(15,3,($B$3:$B$3000=$AM$2)/($B$3:$B$3000=$AM$2)*(ROW($B$3:$B$3000)-ROW($B$2)),ROWS($AN$2:$AN194))),"")</f>
        <v/>
      </c>
      <c r="AO195" s="135" t="str" cm="1">
        <f t="array" ref="AO195">IF(ROWS($AN$2:$AN194)&lt;=$AN$2,INDEX($G$3:$G$3000,_xlfn.AGGREGATE(15,3,($B$3:$B$3000=$AM$2)/($B$3:$B$3000=$AM$2)*(ROW($B$3:$B$3000)-ROW($B$2)),ROWS($AN$2:$AN194))),"")</f>
        <v/>
      </c>
      <c r="AP195" s="121"/>
      <c r="AT195" s="111"/>
      <c r="AV195" s="133" t="str" cm="1">
        <f t="array" ref="AV195">IF(ROWS($AW$2:$AW194)&lt;=$AW$2,INDEX($AM$3:$AM$792,_xlfn.AGGREGATE(15,3,($AM$3:$AM$792='Planning Template'!$F$45)/($AM$3:$AM$792='Planning Template'!$F$45)*(ROW($AM$3:$AM$792)-ROW($AM$2)),ROWS($AW$2:$AW194))),"")</f>
        <v/>
      </c>
      <c r="AW195" s="134" t="str" cm="1">
        <f t="array" ref="AW195">IF(ROWS($AU$3:$AU195)&lt;=$AW$2,INDEX($AN$3:$AN$792,_xlfn.AGGREGATE(15,3,($AM$3:$AM$792='Planning Template'!$F$45)/($AM$3:$AM$792='Planning Template'!$F$45)*(ROW($AM$3:$AM$792)-ROW($AM$2)),ROWS($AU$3:$AU195))),"")</f>
        <v/>
      </c>
      <c r="AX195" s="135" t="str">
        <f>IF(AW195="","",SUMIFS(TableSSDPeopleGroups[Population], TableSSDPeopleGroups[Ctry],'Planning Template'!$F$30,TableSSDPeopleGroups[PrimaryReligion],'Planning Template'!$F$301,TableSSDPeopleGroups[PeopleCluster],'Planning Template'!$F$45,TableSSDPeopleGroups[PeopNameInCountry],$AW195))</f>
        <v/>
      </c>
      <c r="AY195" s="234" t="str">
        <f t="shared" si="11"/>
        <v/>
      </c>
    </row>
    <row r="196" spans="1:51" s="110" customFormat="1" ht="20" customHeight="1">
      <c r="A196" s="125" t="s">
        <v>471</v>
      </c>
      <c r="B196" s="126" t="s">
        <v>65</v>
      </c>
      <c r="C196" s="127">
        <v>14383</v>
      </c>
      <c r="D196" s="163">
        <v>108016</v>
      </c>
      <c r="E196" s="164" t="s">
        <v>1955</v>
      </c>
      <c r="F196" s="164" t="s">
        <v>1955</v>
      </c>
      <c r="G196" s="165">
        <v>220000</v>
      </c>
      <c r="H196" s="165">
        <v>1</v>
      </c>
      <c r="I196" s="164" t="s">
        <v>187</v>
      </c>
      <c r="J196" s="164" t="s">
        <v>1954</v>
      </c>
      <c r="K196" s="164" t="s">
        <v>1955</v>
      </c>
      <c r="L196" s="165">
        <v>2</v>
      </c>
      <c r="M196" s="165">
        <v>2</v>
      </c>
      <c r="N196" s="164" t="s">
        <v>1718</v>
      </c>
      <c r="O196" s="165">
        <v>0.5</v>
      </c>
      <c r="P196" s="165">
        <v>0.4</v>
      </c>
      <c r="Q196" s="165">
        <v>20</v>
      </c>
      <c r="R196" s="164" t="s">
        <v>574</v>
      </c>
      <c r="S196" s="164" t="s">
        <v>575</v>
      </c>
      <c r="T196" s="165">
        <v>295</v>
      </c>
      <c r="U196" s="164" t="s">
        <v>1702</v>
      </c>
      <c r="V196" s="164" t="s">
        <v>1703</v>
      </c>
      <c r="W196" s="165">
        <v>4</v>
      </c>
      <c r="X196" s="165">
        <v>2</v>
      </c>
      <c r="Y196" s="164" t="s">
        <v>194</v>
      </c>
      <c r="Z196" s="164" t="s">
        <v>195</v>
      </c>
      <c r="AA196" s="164" t="s">
        <v>196</v>
      </c>
      <c r="AB196" s="164" t="s">
        <v>187</v>
      </c>
      <c r="AC196" s="164" t="s">
        <v>187</v>
      </c>
      <c r="AD196" s="165">
        <v>4</v>
      </c>
      <c r="AE196" s="164" t="s">
        <v>209</v>
      </c>
      <c r="AF196" s="165">
        <v>16.748550000000002</v>
      </c>
      <c r="AG196" s="166">
        <v>106.16415000000001</v>
      </c>
      <c r="AM196" s="133" t="str" cm="1">
        <f t="array" ref="AM196">IF(ROWS($AN$2:$AN195)&lt;=$AN$2,INDEX($V$3:$V$3000,_xlfn.AGGREGATE(15,3,($B$3:$B$3000=$AM$2)/($B$3:$B$3000=$AM$2)*(ROW($B$3:$B$3000)-ROW($B$2)),ROWS($AN$2:$AN195))),"")</f>
        <v/>
      </c>
      <c r="AN196" s="134" t="str" cm="1">
        <f t="array" ref="AN196">IF(ROWS($AN$2:$AN195)&lt;=$AN$2,INDEX($F$3:$F$3000,_xlfn.AGGREGATE(15,3,($B$3:$B$3000=$AM$2)/($B$3:$B$3000=$AM$2)*(ROW($B$3:$B$3000)-ROW($B$2)),ROWS($AN$2:$AN195))),"")</f>
        <v/>
      </c>
      <c r="AO196" s="135" t="str" cm="1">
        <f t="array" ref="AO196">IF(ROWS($AN$2:$AN195)&lt;=$AN$2,INDEX($G$3:$G$3000,_xlfn.AGGREGATE(15,3,($B$3:$B$3000=$AM$2)/($B$3:$B$3000=$AM$2)*(ROW($B$3:$B$3000)-ROW($B$2)),ROWS($AN$2:$AN195))),"")</f>
        <v/>
      </c>
      <c r="AP196" s="121"/>
      <c r="AT196" s="111"/>
      <c r="AV196" s="133" t="str" cm="1">
        <f t="array" ref="AV196">IF(ROWS($AW$2:$AW195)&lt;=$AW$2,INDEX($AM$3:$AM$792,_xlfn.AGGREGATE(15,3,($AM$3:$AM$792='Planning Template'!$F$45)/($AM$3:$AM$792='Planning Template'!$F$45)*(ROW($AM$3:$AM$792)-ROW($AM$2)),ROWS($AW$2:$AW195))),"")</f>
        <v/>
      </c>
      <c r="AW196" s="134" t="str" cm="1">
        <f t="array" ref="AW196">IF(ROWS($AU$3:$AU196)&lt;=$AW$2,INDEX($AN$3:$AN$792,_xlfn.AGGREGATE(15,3,($AM$3:$AM$792='Planning Template'!$F$45)/($AM$3:$AM$792='Planning Template'!$F$45)*(ROW($AM$3:$AM$792)-ROW($AM$2)),ROWS($AU$3:$AU196))),"")</f>
        <v/>
      </c>
      <c r="AX196" s="135" t="str">
        <f>IF(AW196="","",SUMIFS(TableSSDPeopleGroups[Population], TableSSDPeopleGroups[Ctry],'Planning Template'!$F$30,TableSSDPeopleGroups[PrimaryReligion],'Planning Template'!$F$301,TableSSDPeopleGroups[PeopleCluster],'Planning Template'!$F$45,TableSSDPeopleGroups[PeopNameInCountry],$AW196))</f>
        <v/>
      </c>
      <c r="AY196" s="234" t="str">
        <f t="shared" ref="AY196:AY210" si="12">IF(AW196="","",AW196&amp;" ("&amp;FIXED(AX196,0)&amp;")")</f>
        <v/>
      </c>
    </row>
    <row r="197" spans="1:51" s="110" customFormat="1" ht="20" customHeight="1">
      <c r="A197" s="125" t="s">
        <v>471</v>
      </c>
      <c r="B197" s="126" t="s">
        <v>65</v>
      </c>
      <c r="C197" s="127">
        <v>14379</v>
      </c>
      <c r="D197" s="163">
        <v>108011</v>
      </c>
      <c r="E197" s="164" t="s">
        <v>2770</v>
      </c>
      <c r="F197" s="164" t="s">
        <v>2770</v>
      </c>
      <c r="G197" s="165">
        <v>145000</v>
      </c>
      <c r="H197" s="165">
        <v>1</v>
      </c>
      <c r="I197" s="164" t="s">
        <v>187</v>
      </c>
      <c r="J197" s="164" t="s">
        <v>2771</v>
      </c>
      <c r="K197" s="164" t="s">
        <v>2772</v>
      </c>
      <c r="L197" s="165">
        <v>1</v>
      </c>
      <c r="M197" s="165">
        <v>2</v>
      </c>
      <c r="N197" s="164" t="s">
        <v>1718</v>
      </c>
      <c r="O197" s="165">
        <v>1</v>
      </c>
      <c r="P197" s="165">
        <v>0.8</v>
      </c>
      <c r="Q197" s="165">
        <v>20</v>
      </c>
      <c r="R197" s="164" t="s">
        <v>574</v>
      </c>
      <c r="S197" s="164" t="s">
        <v>575</v>
      </c>
      <c r="T197" s="165">
        <v>295</v>
      </c>
      <c r="U197" s="164" t="s">
        <v>1702</v>
      </c>
      <c r="V197" s="164" t="s">
        <v>1703</v>
      </c>
      <c r="W197" s="165">
        <v>3</v>
      </c>
      <c r="X197" s="165">
        <v>2</v>
      </c>
      <c r="Y197" s="164" t="s">
        <v>194</v>
      </c>
      <c r="Z197" s="164" t="s">
        <v>195</v>
      </c>
      <c r="AA197" s="164" t="s">
        <v>196</v>
      </c>
      <c r="AB197" s="164" t="s">
        <v>187</v>
      </c>
      <c r="AC197" s="164" t="s">
        <v>187</v>
      </c>
      <c r="AD197" s="165">
        <v>3</v>
      </c>
      <c r="AE197" s="164" t="s">
        <v>209</v>
      </c>
      <c r="AF197" s="165">
        <v>19.561119999888099</v>
      </c>
      <c r="AG197" s="166">
        <v>103.295419999733</v>
      </c>
      <c r="AM197" s="133" t="str" cm="1">
        <f t="array" ref="AM197">IF(ROWS($AN$2:$AN196)&lt;=$AN$2,INDEX($V$3:$V$3000,_xlfn.AGGREGATE(15,3,($B$3:$B$3000=$AM$2)/($B$3:$B$3000=$AM$2)*(ROW($B$3:$B$3000)-ROW($B$2)),ROWS($AN$2:$AN196))),"")</f>
        <v/>
      </c>
      <c r="AN197" s="134" t="str" cm="1">
        <f t="array" ref="AN197">IF(ROWS($AN$2:$AN196)&lt;=$AN$2,INDEX($F$3:$F$3000,_xlfn.AGGREGATE(15,3,($B$3:$B$3000=$AM$2)/($B$3:$B$3000=$AM$2)*(ROW($B$3:$B$3000)-ROW($B$2)),ROWS($AN$2:$AN196))),"")</f>
        <v/>
      </c>
      <c r="AO197" s="135" t="str" cm="1">
        <f t="array" ref="AO197">IF(ROWS($AN$2:$AN196)&lt;=$AN$2,INDEX($G$3:$G$3000,_xlfn.AGGREGATE(15,3,($B$3:$B$3000=$AM$2)/($B$3:$B$3000=$AM$2)*(ROW($B$3:$B$3000)-ROW($B$2)),ROWS($AN$2:$AN196))),"")</f>
        <v/>
      </c>
      <c r="AP197" s="121"/>
      <c r="AT197" s="111"/>
      <c r="AV197" s="133" t="str" cm="1">
        <f t="array" ref="AV197">IF(ROWS($AW$2:$AW196)&lt;=$AW$2,INDEX($AM$3:$AM$792,_xlfn.AGGREGATE(15,3,($AM$3:$AM$792='Planning Template'!$F$45)/($AM$3:$AM$792='Planning Template'!$F$45)*(ROW($AM$3:$AM$792)-ROW($AM$2)),ROWS($AW$2:$AW196))),"")</f>
        <v/>
      </c>
      <c r="AW197" s="134" t="str" cm="1">
        <f t="array" ref="AW197">IF(ROWS($AU$3:$AU197)&lt;=$AW$2,INDEX($AN$3:$AN$792,_xlfn.AGGREGATE(15,3,($AM$3:$AM$792='Planning Template'!$F$45)/($AM$3:$AM$792='Planning Template'!$F$45)*(ROW($AM$3:$AM$792)-ROW($AM$2)),ROWS($AU$3:$AU197))),"")</f>
        <v/>
      </c>
      <c r="AX197" s="135" t="str">
        <f>IF(AW197="","",SUMIFS(TableSSDPeopleGroups[Population], TableSSDPeopleGroups[Ctry],'Planning Template'!$F$30,TableSSDPeopleGroups[PrimaryReligion],'Planning Template'!$F$301,TableSSDPeopleGroups[PeopleCluster],'Planning Template'!$F$45,TableSSDPeopleGroups[PeopNameInCountry],$AW197))</f>
        <v/>
      </c>
      <c r="AY197" s="234" t="str">
        <f t="shared" si="12"/>
        <v/>
      </c>
    </row>
    <row r="198" spans="1:51" s="110" customFormat="1" ht="20" customHeight="1">
      <c r="A198" s="125" t="s">
        <v>471</v>
      </c>
      <c r="B198" s="126" t="s">
        <v>65</v>
      </c>
      <c r="C198" s="127">
        <v>18566</v>
      </c>
      <c r="D198" s="163">
        <v>114183</v>
      </c>
      <c r="E198" s="164" t="s">
        <v>3315</v>
      </c>
      <c r="F198" s="164" t="s">
        <v>3315</v>
      </c>
      <c r="G198" s="165">
        <v>127000</v>
      </c>
      <c r="H198" s="165">
        <v>1</v>
      </c>
      <c r="I198" s="164" t="s">
        <v>187</v>
      </c>
      <c r="J198" s="164" t="s">
        <v>3316</v>
      </c>
      <c r="K198" s="164" t="s">
        <v>3317</v>
      </c>
      <c r="L198" s="165">
        <v>4</v>
      </c>
      <c r="M198" s="165">
        <v>2</v>
      </c>
      <c r="N198" s="164" t="s">
        <v>1718</v>
      </c>
      <c r="O198" s="165">
        <v>0.1</v>
      </c>
      <c r="P198" s="165">
        <v>0.1</v>
      </c>
      <c r="Q198" s="165">
        <v>20</v>
      </c>
      <c r="R198" s="164" t="s">
        <v>574</v>
      </c>
      <c r="S198" s="164" t="s">
        <v>575</v>
      </c>
      <c r="T198" s="165">
        <v>295</v>
      </c>
      <c r="U198" s="164" t="s">
        <v>1702</v>
      </c>
      <c r="V198" s="164" t="s">
        <v>1703</v>
      </c>
      <c r="W198" s="165">
        <v>6</v>
      </c>
      <c r="X198" s="165">
        <v>2</v>
      </c>
      <c r="Y198" s="164" t="s">
        <v>194</v>
      </c>
      <c r="Z198" s="164" t="s">
        <v>195</v>
      </c>
      <c r="AA198" s="164" t="s">
        <v>196</v>
      </c>
      <c r="AB198" s="164" t="s">
        <v>187</v>
      </c>
      <c r="AC198" s="164" t="s">
        <v>187</v>
      </c>
      <c r="AD198" s="165">
        <v>3</v>
      </c>
      <c r="AE198" s="164" t="s">
        <v>187</v>
      </c>
      <c r="AF198" s="165">
        <v>21.920839999999998</v>
      </c>
      <c r="AG198" s="166">
        <v>102.30555</v>
      </c>
      <c r="AM198" s="133" t="str" cm="1">
        <f t="array" ref="AM198">IF(ROWS($AN$2:$AN197)&lt;=$AN$2,INDEX($V$3:$V$3000,_xlfn.AGGREGATE(15,3,($B$3:$B$3000=$AM$2)/($B$3:$B$3000=$AM$2)*(ROW($B$3:$B$3000)-ROW($B$2)),ROWS($AN$2:$AN197))),"")</f>
        <v/>
      </c>
      <c r="AN198" s="134" t="str" cm="1">
        <f t="array" ref="AN198">IF(ROWS($AN$2:$AN197)&lt;=$AN$2,INDEX($F$3:$F$3000,_xlfn.AGGREGATE(15,3,($B$3:$B$3000=$AM$2)/($B$3:$B$3000=$AM$2)*(ROW($B$3:$B$3000)-ROW($B$2)),ROWS($AN$2:$AN197))),"")</f>
        <v/>
      </c>
      <c r="AO198" s="135" t="str" cm="1">
        <f t="array" ref="AO198">IF(ROWS($AN$2:$AN197)&lt;=$AN$2,INDEX($G$3:$G$3000,_xlfn.AGGREGATE(15,3,($B$3:$B$3000=$AM$2)/($B$3:$B$3000=$AM$2)*(ROW($B$3:$B$3000)-ROW($B$2)),ROWS($AN$2:$AN197))),"")</f>
        <v/>
      </c>
      <c r="AP198" s="121"/>
      <c r="AT198" s="111"/>
      <c r="AV198" s="133" t="str" cm="1">
        <f t="array" ref="AV198">IF(ROWS($AW$2:$AW197)&lt;=$AW$2,INDEX($AM$3:$AM$792,_xlfn.AGGREGATE(15,3,($AM$3:$AM$792='Planning Template'!$F$45)/($AM$3:$AM$792='Planning Template'!$F$45)*(ROW($AM$3:$AM$792)-ROW($AM$2)),ROWS($AW$2:$AW197))),"")</f>
        <v/>
      </c>
      <c r="AW198" s="134" t="str" cm="1">
        <f t="array" ref="AW198">IF(ROWS($AU$3:$AU198)&lt;=$AW$2,INDEX($AN$3:$AN$792,_xlfn.AGGREGATE(15,3,($AM$3:$AM$792='Planning Template'!$F$45)/($AM$3:$AM$792='Planning Template'!$F$45)*(ROW($AM$3:$AM$792)-ROW($AM$2)),ROWS($AU$3:$AU198))),"")</f>
        <v/>
      </c>
      <c r="AX198" s="135" t="str">
        <f>IF(AW198="","",SUMIFS(TableSSDPeopleGroups[Population], TableSSDPeopleGroups[Ctry],'Planning Template'!$F$30,TableSSDPeopleGroups[PrimaryReligion],'Planning Template'!$F$301,TableSSDPeopleGroups[PeopleCluster],'Planning Template'!$F$45,TableSSDPeopleGroups[PeopNameInCountry],$AW198))</f>
        <v/>
      </c>
      <c r="AY198" s="234" t="str">
        <f t="shared" si="12"/>
        <v/>
      </c>
    </row>
    <row r="199" spans="1:51" s="110" customFormat="1" ht="20" customHeight="1">
      <c r="A199" s="125" t="s">
        <v>471</v>
      </c>
      <c r="B199" s="126" t="s">
        <v>65</v>
      </c>
      <c r="C199" s="127">
        <v>16148</v>
      </c>
      <c r="D199" s="163">
        <v>111248</v>
      </c>
      <c r="E199" s="164" t="s">
        <v>3952</v>
      </c>
      <c r="F199" s="164" t="s">
        <v>3952</v>
      </c>
      <c r="G199" s="165">
        <v>17000</v>
      </c>
      <c r="H199" s="165">
        <v>1</v>
      </c>
      <c r="I199" s="164" t="s">
        <v>187</v>
      </c>
      <c r="J199" s="164" t="s">
        <v>3953</v>
      </c>
      <c r="K199" s="164" t="s">
        <v>3952</v>
      </c>
      <c r="L199" s="165">
        <v>1</v>
      </c>
      <c r="M199" s="165">
        <v>2</v>
      </c>
      <c r="N199" s="164" t="s">
        <v>1718</v>
      </c>
      <c r="O199" s="165">
        <v>0.5</v>
      </c>
      <c r="P199" s="165">
        <v>0.4</v>
      </c>
      <c r="Q199" s="165">
        <v>20</v>
      </c>
      <c r="R199" s="164" t="s">
        <v>574</v>
      </c>
      <c r="S199" s="164" t="s">
        <v>575</v>
      </c>
      <c r="T199" s="165">
        <v>295</v>
      </c>
      <c r="U199" s="164" t="s">
        <v>1702</v>
      </c>
      <c r="V199" s="164" t="s">
        <v>1703</v>
      </c>
      <c r="W199" s="165">
        <v>2</v>
      </c>
      <c r="X199" s="165">
        <v>2</v>
      </c>
      <c r="Y199" s="164" t="s">
        <v>194</v>
      </c>
      <c r="Z199" s="164" t="s">
        <v>195</v>
      </c>
      <c r="AA199" s="164" t="s">
        <v>196</v>
      </c>
      <c r="AB199" s="164" t="s">
        <v>187</v>
      </c>
      <c r="AC199" s="164" t="s">
        <v>209</v>
      </c>
      <c r="AD199" s="165">
        <v>1</v>
      </c>
      <c r="AE199" s="164" t="s">
        <v>209</v>
      </c>
      <c r="AF199" s="165">
        <v>18.319776999999998</v>
      </c>
      <c r="AG199" s="166">
        <v>103.99911899999999</v>
      </c>
      <c r="AM199" s="133" t="str" cm="1">
        <f t="array" ref="AM199">IF(ROWS($AN$2:$AN198)&lt;=$AN$2,INDEX($V$3:$V$3000,_xlfn.AGGREGATE(15,3,($B$3:$B$3000=$AM$2)/($B$3:$B$3000=$AM$2)*(ROW($B$3:$B$3000)-ROW($B$2)),ROWS($AN$2:$AN198))),"")</f>
        <v/>
      </c>
      <c r="AN199" s="134" t="str" cm="1">
        <f t="array" ref="AN199">IF(ROWS($AN$2:$AN198)&lt;=$AN$2,INDEX($F$3:$F$3000,_xlfn.AGGREGATE(15,3,($B$3:$B$3000=$AM$2)/($B$3:$B$3000=$AM$2)*(ROW($B$3:$B$3000)-ROW($B$2)),ROWS($AN$2:$AN198))),"")</f>
        <v/>
      </c>
      <c r="AO199" s="135" t="str" cm="1">
        <f t="array" ref="AO199">IF(ROWS($AN$2:$AN198)&lt;=$AN$2,INDEX($G$3:$G$3000,_xlfn.AGGREGATE(15,3,($B$3:$B$3000=$AM$2)/($B$3:$B$3000=$AM$2)*(ROW($B$3:$B$3000)-ROW($B$2)),ROWS($AN$2:$AN198))),"")</f>
        <v/>
      </c>
      <c r="AP199" s="121"/>
      <c r="AT199" s="111"/>
      <c r="AV199" s="133" t="str" cm="1">
        <f t="array" ref="AV199">IF(ROWS($AW$2:$AW198)&lt;=$AW$2,INDEX($AM$3:$AM$792,_xlfn.AGGREGATE(15,3,($AM$3:$AM$792='Planning Template'!$F$45)/($AM$3:$AM$792='Planning Template'!$F$45)*(ROW($AM$3:$AM$792)-ROW($AM$2)),ROWS($AW$2:$AW198))),"")</f>
        <v/>
      </c>
      <c r="AW199" s="134" t="str" cm="1">
        <f t="array" ref="AW199">IF(ROWS($AU$3:$AU199)&lt;=$AW$2,INDEX($AN$3:$AN$792,_xlfn.AGGREGATE(15,3,($AM$3:$AM$792='Planning Template'!$F$45)/($AM$3:$AM$792='Planning Template'!$F$45)*(ROW($AM$3:$AM$792)-ROW($AM$2)),ROWS($AU$3:$AU199))),"")</f>
        <v/>
      </c>
      <c r="AX199" s="135" t="str">
        <f>IF(AW199="","",SUMIFS(TableSSDPeopleGroups[Population], TableSSDPeopleGroups[Ctry],'Planning Template'!$F$30,TableSSDPeopleGroups[PrimaryReligion],'Planning Template'!$F$301,TableSSDPeopleGroups[PeopleCluster],'Planning Template'!$F$45,TableSSDPeopleGroups[PeopNameInCountry],$AW199))</f>
        <v/>
      </c>
      <c r="AY199" s="234" t="str">
        <f t="shared" si="12"/>
        <v/>
      </c>
    </row>
    <row r="200" spans="1:51" s="110" customFormat="1" ht="20" customHeight="1">
      <c r="A200" s="125" t="s">
        <v>471</v>
      </c>
      <c r="B200" s="126" t="s">
        <v>65</v>
      </c>
      <c r="C200" s="127">
        <v>15193</v>
      </c>
      <c r="D200" s="163">
        <v>109720</v>
      </c>
      <c r="E200" s="164" t="s">
        <v>3841</v>
      </c>
      <c r="F200" s="164" t="s">
        <v>3841</v>
      </c>
      <c r="G200" s="165">
        <v>14000</v>
      </c>
      <c r="H200" s="165">
        <v>1</v>
      </c>
      <c r="I200" s="164" t="s">
        <v>187</v>
      </c>
      <c r="J200" s="164" t="s">
        <v>3842</v>
      </c>
      <c r="K200" s="164" t="s">
        <v>3843</v>
      </c>
      <c r="L200" s="165">
        <v>3</v>
      </c>
      <c r="M200" s="165">
        <v>2</v>
      </c>
      <c r="N200" s="164" t="s">
        <v>1718</v>
      </c>
      <c r="O200" s="165">
        <v>0</v>
      </c>
      <c r="P200" s="165">
        <v>0</v>
      </c>
      <c r="Q200" s="165">
        <v>20</v>
      </c>
      <c r="R200" s="164" t="s">
        <v>574</v>
      </c>
      <c r="S200" s="164" t="s">
        <v>575</v>
      </c>
      <c r="T200" s="165">
        <v>295</v>
      </c>
      <c r="U200" s="164" t="s">
        <v>1702</v>
      </c>
      <c r="V200" s="164" t="s">
        <v>1703</v>
      </c>
      <c r="W200" s="165">
        <v>4</v>
      </c>
      <c r="X200" s="165">
        <v>2</v>
      </c>
      <c r="Y200" s="164" t="s">
        <v>194</v>
      </c>
      <c r="Z200" s="164" t="s">
        <v>195</v>
      </c>
      <c r="AA200" s="164" t="s">
        <v>196</v>
      </c>
      <c r="AB200" s="164" t="s">
        <v>187</v>
      </c>
      <c r="AC200" s="164" t="s">
        <v>209</v>
      </c>
      <c r="AD200" s="165">
        <v>1</v>
      </c>
      <c r="AE200" s="164" t="s">
        <v>187</v>
      </c>
      <c r="AF200" s="165">
        <v>19.377569999855599</v>
      </c>
      <c r="AG200" s="166">
        <v>103.420059999969</v>
      </c>
      <c r="AM200" s="133" t="str" cm="1">
        <f t="array" ref="AM200">IF(ROWS($AN$2:$AN199)&lt;=$AN$2,INDEX($V$3:$V$3000,_xlfn.AGGREGATE(15,3,($B$3:$B$3000=$AM$2)/($B$3:$B$3000=$AM$2)*(ROW($B$3:$B$3000)-ROW($B$2)),ROWS($AN$2:$AN199))),"")</f>
        <v/>
      </c>
      <c r="AN200" s="134" t="str" cm="1">
        <f t="array" ref="AN200">IF(ROWS($AN$2:$AN199)&lt;=$AN$2,INDEX($F$3:$F$3000,_xlfn.AGGREGATE(15,3,($B$3:$B$3000=$AM$2)/($B$3:$B$3000=$AM$2)*(ROW($B$3:$B$3000)-ROW($B$2)),ROWS($AN$2:$AN199))),"")</f>
        <v/>
      </c>
      <c r="AO200" s="135" t="str" cm="1">
        <f t="array" ref="AO200">IF(ROWS($AN$2:$AN199)&lt;=$AN$2,INDEX($G$3:$G$3000,_xlfn.AGGREGATE(15,3,($B$3:$B$3000=$AM$2)/($B$3:$B$3000=$AM$2)*(ROW($B$3:$B$3000)-ROW($B$2)),ROWS($AN$2:$AN199))),"")</f>
        <v/>
      </c>
      <c r="AP200" s="121"/>
      <c r="AT200" s="111"/>
      <c r="AV200" s="133" t="str" cm="1">
        <f t="array" ref="AV200">IF(ROWS($AW$2:$AW199)&lt;=$AW$2,INDEX($AM$3:$AM$792,_xlfn.AGGREGATE(15,3,($AM$3:$AM$792='Planning Template'!$F$45)/($AM$3:$AM$792='Planning Template'!$F$45)*(ROW($AM$3:$AM$792)-ROW($AM$2)),ROWS($AW$2:$AW199))),"")</f>
        <v/>
      </c>
      <c r="AW200" s="134" t="str" cm="1">
        <f t="array" ref="AW200">IF(ROWS($AU$3:$AU200)&lt;=$AW$2,INDEX($AN$3:$AN$792,_xlfn.AGGREGATE(15,3,($AM$3:$AM$792='Planning Template'!$F$45)/($AM$3:$AM$792='Planning Template'!$F$45)*(ROW($AM$3:$AM$792)-ROW($AM$2)),ROWS($AU$3:$AU200))),"")</f>
        <v/>
      </c>
      <c r="AX200" s="135" t="str">
        <f>IF(AW200="","",SUMIFS(TableSSDPeopleGroups[Population], TableSSDPeopleGroups[Ctry],'Planning Template'!$F$30,TableSSDPeopleGroups[PrimaryReligion],'Planning Template'!$F$301,TableSSDPeopleGroups[PeopleCluster],'Planning Template'!$F$45,TableSSDPeopleGroups[PeopNameInCountry],$AW200))</f>
        <v/>
      </c>
      <c r="AY200" s="234" t="str">
        <f t="shared" si="12"/>
        <v/>
      </c>
    </row>
    <row r="201" spans="1:51" s="110" customFormat="1" ht="20" customHeight="1">
      <c r="A201" s="125" t="s">
        <v>471</v>
      </c>
      <c r="B201" s="126" t="s">
        <v>65</v>
      </c>
      <c r="C201" s="127">
        <v>15189</v>
      </c>
      <c r="D201" s="163">
        <v>109712</v>
      </c>
      <c r="E201" s="164" t="s">
        <v>3034</v>
      </c>
      <c r="F201" s="164" t="s">
        <v>3034</v>
      </c>
      <c r="G201" s="165">
        <v>4000</v>
      </c>
      <c r="H201" s="165">
        <v>1</v>
      </c>
      <c r="I201" s="164" t="s">
        <v>187</v>
      </c>
      <c r="J201" s="164" t="s">
        <v>634</v>
      </c>
      <c r="K201" s="164" t="s">
        <v>635</v>
      </c>
      <c r="L201" s="165">
        <v>0</v>
      </c>
      <c r="M201" s="165">
        <v>2</v>
      </c>
      <c r="N201" s="164" t="s">
        <v>1718</v>
      </c>
      <c r="O201" s="165">
        <v>0</v>
      </c>
      <c r="P201" s="165">
        <v>0</v>
      </c>
      <c r="Q201" s="165">
        <v>20</v>
      </c>
      <c r="R201" s="164" t="s">
        <v>574</v>
      </c>
      <c r="S201" s="164" t="s">
        <v>575</v>
      </c>
      <c r="T201" s="165">
        <v>295</v>
      </c>
      <c r="U201" s="164" t="s">
        <v>1702</v>
      </c>
      <c r="V201" s="164" t="s">
        <v>1703</v>
      </c>
      <c r="W201" s="165">
        <v>1</v>
      </c>
      <c r="X201" s="165">
        <v>2</v>
      </c>
      <c r="Y201" s="164" t="s">
        <v>194</v>
      </c>
      <c r="Z201" s="164" t="s">
        <v>195</v>
      </c>
      <c r="AA201" s="164" t="s">
        <v>196</v>
      </c>
      <c r="AB201" s="164" t="s">
        <v>187</v>
      </c>
      <c r="AC201" s="164" t="s">
        <v>187</v>
      </c>
      <c r="AD201" s="165">
        <v>1</v>
      </c>
      <c r="AE201" s="164" t="s">
        <v>187</v>
      </c>
      <c r="AF201" s="165">
        <v>18.488163616057999</v>
      </c>
      <c r="AG201" s="166">
        <v>104.403276841853</v>
      </c>
      <c r="AM201" s="133" t="str" cm="1">
        <f t="array" ref="AM201">IF(ROWS($AN$2:$AN200)&lt;=$AN$2,INDEX($V$3:$V$3000,_xlfn.AGGREGATE(15,3,($B$3:$B$3000=$AM$2)/($B$3:$B$3000=$AM$2)*(ROW($B$3:$B$3000)-ROW($B$2)),ROWS($AN$2:$AN200))),"")</f>
        <v/>
      </c>
      <c r="AN201" s="134" t="str" cm="1">
        <f t="array" ref="AN201">IF(ROWS($AN$2:$AN200)&lt;=$AN$2,INDEX($F$3:$F$3000,_xlfn.AGGREGATE(15,3,($B$3:$B$3000=$AM$2)/($B$3:$B$3000=$AM$2)*(ROW($B$3:$B$3000)-ROW($B$2)),ROWS($AN$2:$AN200))),"")</f>
        <v/>
      </c>
      <c r="AO201" s="135" t="str" cm="1">
        <f t="array" ref="AO201">IF(ROWS($AN$2:$AN200)&lt;=$AN$2,INDEX($G$3:$G$3000,_xlfn.AGGREGATE(15,3,($B$3:$B$3000=$AM$2)/($B$3:$B$3000=$AM$2)*(ROW($B$3:$B$3000)-ROW($B$2)),ROWS($AN$2:$AN200))),"")</f>
        <v/>
      </c>
      <c r="AP201" s="121"/>
      <c r="AT201" s="111"/>
      <c r="AV201" s="133" t="str" cm="1">
        <f t="array" ref="AV201">IF(ROWS($AW$2:$AW200)&lt;=$AW$2,INDEX($AM$3:$AM$792,_xlfn.AGGREGATE(15,3,($AM$3:$AM$792='Planning Template'!$F$45)/($AM$3:$AM$792='Planning Template'!$F$45)*(ROW($AM$3:$AM$792)-ROW($AM$2)),ROWS($AW$2:$AW200))),"")</f>
        <v/>
      </c>
      <c r="AW201" s="134" t="str" cm="1">
        <f t="array" ref="AW201">IF(ROWS($AU$3:$AU201)&lt;=$AW$2,INDEX($AN$3:$AN$792,_xlfn.AGGREGATE(15,3,($AM$3:$AM$792='Planning Template'!$F$45)/($AM$3:$AM$792='Planning Template'!$F$45)*(ROW($AM$3:$AM$792)-ROW($AM$2)),ROWS($AU$3:$AU201))),"")</f>
        <v/>
      </c>
      <c r="AX201" s="135" t="str">
        <f>IF(AW201="","",SUMIFS(TableSSDPeopleGroups[Population], TableSSDPeopleGroups[Ctry],'Planning Template'!$F$30,TableSSDPeopleGroups[PrimaryReligion],'Planning Template'!$F$301,TableSSDPeopleGroups[PeopleCluster],'Planning Template'!$F$45,TableSSDPeopleGroups[PeopNameInCountry],$AW201))</f>
        <v/>
      </c>
      <c r="AY201" s="234" t="str">
        <f t="shared" si="12"/>
        <v/>
      </c>
    </row>
    <row r="202" spans="1:51" s="110" customFormat="1" ht="20" customHeight="1">
      <c r="A202" s="125" t="s">
        <v>471</v>
      </c>
      <c r="B202" s="126" t="s">
        <v>65</v>
      </c>
      <c r="C202" s="127">
        <v>16147</v>
      </c>
      <c r="D202" s="163">
        <v>111245</v>
      </c>
      <c r="E202" s="164" t="s">
        <v>2925</v>
      </c>
      <c r="F202" s="164" t="s">
        <v>2925</v>
      </c>
      <c r="G202" s="165">
        <v>3200</v>
      </c>
      <c r="H202" s="165">
        <v>1</v>
      </c>
      <c r="I202" s="164" t="s">
        <v>187</v>
      </c>
      <c r="J202" s="164" t="s">
        <v>2926</v>
      </c>
      <c r="K202" s="164" t="s">
        <v>2927</v>
      </c>
      <c r="L202" s="165">
        <v>4</v>
      </c>
      <c r="M202" s="165">
        <v>2</v>
      </c>
      <c r="N202" s="164" t="s">
        <v>1718</v>
      </c>
      <c r="O202" s="165">
        <v>0</v>
      </c>
      <c r="P202" s="165">
        <v>0</v>
      </c>
      <c r="Q202" s="165">
        <v>20</v>
      </c>
      <c r="R202" s="164" t="s">
        <v>574</v>
      </c>
      <c r="S202" s="164" t="s">
        <v>575</v>
      </c>
      <c r="T202" s="165">
        <v>295</v>
      </c>
      <c r="U202" s="164" t="s">
        <v>1702</v>
      </c>
      <c r="V202" s="164" t="s">
        <v>1703</v>
      </c>
      <c r="W202" s="165">
        <v>2</v>
      </c>
      <c r="X202" s="165">
        <v>2</v>
      </c>
      <c r="Y202" s="164" t="s">
        <v>194</v>
      </c>
      <c r="Z202" s="164" t="s">
        <v>195</v>
      </c>
      <c r="AA202" s="164" t="s">
        <v>196</v>
      </c>
      <c r="AB202" s="164" t="s">
        <v>187</v>
      </c>
      <c r="AC202" s="164" t="s">
        <v>209</v>
      </c>
      <c r="AD202" s="165">
        <v>1</v>
      </c>
      <c r="AE202" s="164" t="s">
        <v>187</v>
      </c>
      <c r="AF202" s="165">
        <v>18.579675851259498</v>
      </c>
      <c r="AG202" s="166">
        <v>104.986492323862</v>
      </c>
      <c r="AM202" s="133" t="str" cm="1">
        <f t="array" ref="AM202">IF(ROWS($AN$2:$AN201)&lt;=$AN$2,INDEX($V$3:$V$3000,_xlfn.AGGREGATE(15,3,($B$3:$B$3000=$AM$2)/($B$3:$B$3000=$AM$2)*(ROW($B$3:$B$3000)-ROW($B$2)),ROWS($AN$2:$AN201))),"")</f>
        <v/>
      </c>
      <c r="AN202" s="134" t="str" cm="1">
        <f t="array" ref="AN202">IF(ROWS($AN$2:$AN201)&lt;=$AN$2,INDEX($F$3:$F$3000,_xlfn.AGGREGATE(15,3,($B$3:$B$3000=$AM$2)/($B$3:$B$3000=$AM$2)*(ROW($B$3:$B$3000)-ROW($B$2)),ROWS($AN$2:$AN201))),"")</f>
        <v/>
      </c>
      <c r="AO202" s="135" t="str" cm="1">
        <f t="array" ref="AO202">IF(ROWS($AN$2:$AN201)&lt;=$AN$2,INDEX($G$3:$G$3000,_xlfn.AGGREGATE(15,3,($B$3:$B$3000=$AM$2)/($B$3:$B$3000=$AM$2)*(ROW($B$3:$B$3000)-ROW($B$2)),ROWS($AN$2:$AN201))),"")</f>
        <v/>
      </c>
      <c r="AP202" s="121"/>
      <c r="AT202" s="111"/>
      <c r="AV202" s="133" t="str" cm="1">
        <f t="array" ref="AV202">IF(ROWS($AW$2:$AW201)&lt;=$AW$2,INDEX($AM$3:$AM$792,_xlfn.AGGREGATE(15,3,($AM$3:$AM$792='Planning Template'!$F$45)/($AM$3:$AM$792='Planning Template'!$F$45)*(ROW($AM$3:$AM$792)-ROW($AM$2)),ROWS($AW$2:$AW201))),"")</f>
        <v/>
      </c>
      <c r="AW202" s="134" t="str" cm="1">
        <f t="array" ref="AW202">IF(ROWS($AU$3:$AU202)&lt;=$AW$2,INDEX($AN$3:$AN$792,_xlfn.AGGREGATE(15,3,($AM$3:$AM$792='Planning Template'!$F$45)/($AM$3:$AM$792='Planning Template'!$F$45)*(ROW($AM$3:$AM$792)-ROW($AM$2)),ROWS($AU$3:$AU202))),"")</f>
        <v/>
      </c>
      <c r="AX202" s="135" t="str">
        <f>IF(AW202="","",SUMIFS(TableSSDPeopleGroups[Population], TableSSDPeopleGroups[Ctry],'Planning Template'!$F$30,TableSSDPeopleGroups[PrimaryReligion],'Planning Template'!$F$301,TableSSDPeopleGroups[PeopleCluster],'Planning Template'!$F$45,TableSSDPeopleGroups[PeopNameInCountry],$AW202))</f>
        <v/>
      </c>
      <c r="AY202" s="234" t="str">
        <f t="shared" si="12"/>
        <v/>
      </c>
    </row>
    <row r="203" spans="1:51" s="110" customFormat="1" ht="20" customHeight="1">
      <c r="A203" s="125" t="s">
        <v>471</v>
      </c>
      <c r="B203" s="126" t="s">
        <v>65</v>
      </c>
      <c r="C203" s="127">
        <v>12111</v>
      </c>
      <c r="D203" s="163">
        <v>103841</v>
      </c>
      <c r="E203" s="164" t="s">
        <v>2204</v>
      </c>
      <c r="F203" s="164" t="s">
        <v>2204</v>
      </c>
      <c r="G203" s="165">
        <v>800</v>
      </c>
      <c r="H203" s="165">
        <v>1</v>
      </c>
      <c r="I203" s="164" t="s">
        <v>187</v>
      </c>
      <c r="J203" s="164" t="s">
        <v>2205</v>
      </c>
      <c r="K203" s="164" t="s">
        <v>2206</v>
      </c>
      <c r="L203" s="165">
        <v>3</v>
      </c>
      <c r="M203" s="165">
        <v>2</v>
      </c>
      <c r="N203" s="164" t="s">
        <v>1718</v>
      </c>
      <c r="O203" s="165">
        <v>4</v>
      </c>
      <c r="P203" s="165">
        <v>2</v>
      </c>
      <c r="Q203" s="165">
        <v>20</v>
      </c>
      <c r="R203" s="164" t="s">
        <v>574</v>
      </c>
      <c r="S203" s="164" t="s">
        <v>575</v>
      </c>
      <c r="T203" s="165">
        <v>295</v>
      </c>
      <c r="U203" s="164" t="s">
        <v>1702</v>
      </c>
      <c r="V203" s="164" t="s">
        <v>1703</v>
      </c>
      <c r="W203" s="165">
        <v>3</v>
      </c>
      <c r="X203" s="165">
        <v>2</v>
      </c>
      <c r="Y203" s="164" t="s">
        <v>194</v>
      </c>
      <c r="Z203" s="164" t="s">
        <v>195</v>
      </c>
      <c r="AA203" s="164" t="s">
        <v>196</v>
      </c>
      <c r="AB203" s="164" t="s">
        <v>187</v>
      </c>
      <c r="AC203" s="164" t="s">
        <v>187</v>
      </c>
      <c r="AD203" s="165">
        <v>1</v>
      </c>
      <c r="AE203" s="164" t="s">
        <v>209</v>
      </c>
      <c r="AF203" s="165">
        <v>19.881982000000001</v>
      </c>
      <c r="AG203" s="166">
        <v>102.13655799999999</v>
      </c>
      <c r="AM203" s="133" t="str" cm="1">
        <f t="array" ref="AM203">IF(ROWS($AN$2:$AN202)&lt;=$AN$2,INDEX($V$3:$V$3000,_xlfn.AGGREGATE(15,3,($B$3:$B$3000=$AM$2)/($B$3:$B$3000=$AM$2)*(ROW($B$3:$B$3000)-ROW($B$2)),ROWS($AN$2:$AN202))),"")</f>
        <v/>
      </c>
      <c r="AN203" s="134" t="str" cm="1">
        <f t="array" ref="AN203">IF(ROWS($AN$2:$AN202)&lt;=$AN$2,INDEX($F$3:$F$3000,_xlfn.AGGREGATE(15,3,($B$3:$B$3000=$AM$2)/($B$3:$B$3000=$AM$2)*(ROW($B$3:$B$3000)-ROW($B$2)),ROWS($AN$2:$AN202))),"")</f>
        <v/>
      </c>
      <c r="AO203" s="135" t="str" cm="1">
        <f t="array" ref="AO203">IF(ROWS($AN$2:$AN202)&lt;=$AN$2,INDEX($G$3:$G$3000,_xlfn.AGGREGATE(15,3,($B$3:$B$3000=$AM$2)/($B$3:$B$3000=$AM$2)*(ROW($B$3:$B$3000)-ROW($B$2)),ROWS($AN$2:$AN202))),"")</f>
        <v/>
      </c>
      <c r="AP203" s="121"/>
      <c r="AT203" s="111"/>
      <c r="AV203" s="133" t="str" cm="1">
        <f t="array" ref="AV203">IF(ROWS($AW$2:$AW202)&lt;=$AW$2,INDEX($AM$3:$AM$792,_xlfn.AGGREGATE(15,3,($AM$3:$AM$792='Planning Template'!$F$45)/($AM$3:$AM$792='Planning Template'!$F$45)*(ROW($AM$3:$AM$792)-ROW($AM$2)),ROWS($AW$2:$AW202))),"")</f>
        <v/>
      </c>
      <c r="AW203" s="134" t="str" cm="1">
        <f t="array" ref="AW203">IF(ROWS($AU$3:$AU203)&lt;=$AW$2,INDEX($AN$3:$AN$792,_xlfn.AGGREGATE(15,3,($AM$3:$AM$792='Planning Template'!$F$45)/($AM$3:$AM$792='Planning Template'!$F$45)*(ROW($AM$3:$AM$792)-ROW($AM$2)),ROWS($AU$3:$AU203))),"")</f>
        <v/>
      </c>
      <c r="AX203" s="135" t="str">
        <f>IF(AW203="","",SUMIFS(TableSSDPeopleGroups[Population], TableSSDPeopleGroups[Ctry],'Planning Template'!$F$30,TableSSDPeopleGroups[PrimaryReligion],'Planning Template'!$F$301,TableSSDPeopleGroups[PeopleCluster],'Planning Template'!$F$45,TableSSDPeopleGroups[PeopNameInCountry],$AW203))</f>
        <v/>
      </c>
      <c r="AY203" s="234" t="str">
        <f t="shared" si="12"/>
        <v/>
      </c>
    </row>
    <row r="204" spans="1:51" s="110" customFormat="1" ht="20" customHeight="1">
      <c r="A204" s="125" t="s">
        <v>471</v>
      </c>
      <c r="B204" s="126" t="s">
        <v>65</v>
      </c>
      <c r="C204" s="127">
        <v>15190</v>
      </c>
      <c r="D204" s="163">
        <v>109714</v>
      </c>
      <c r="E204" s="164" t="s">
        <v>2122</v>
      </c>
      <c r="F204" s="164" t="s">
        <v>2122</v>
      </c>
      <c r="G204" s="165">
        <v>700</v>
      </c>
      <c r="H204" s="165">
        <v>1</v>
      </c>
      <c r="I204" s="164" t="s">
        <v>187</v>
      </c>
      <c r="J204" s="164" t="s">
        <v>634</v>
      </c>
      <c r="K204" s="164" t="s">
        <v>635</v>
      </c>
      <c r="L204" s="165">
        <v>0</v>
      </c>
      <c r="M204" s="165">
        <v>2</v>
      </c>
      <c r="N204" s="164" t="s">
        <v>1718</v>
      </c>
      <c r="O204" s="165">
        <v>0</v>
      </c>
      <c r="P204" s="165">
        <v>0</v>
      </c>
      <c r="Q204" s="165">
        <v>20</v>
      </c>
      <c r="R204" s="164" t="s">
        <v>574</v>
      </c>
      <c r="S204" s="164" t="s">
        <v>575</v>
      </c>
      <c r="T204" s="165">
        <v>295</v>
      </c>
      <c r="U204" s="164" t="s">
        <v>1702</v>
      </c>
      <c r="V204" s="164" t="s">
        <v>1703</v>
      </c>
      <c r="W204" s="165">
        <v>1</v>
      </c>
      <c r="X204" s="165">
        <v>2</v>
      </c>
      <c r="Y204" s="164" t="s">
        <v>194</v>
      </c>
      <c r="Z204" s="164" t="s">
        <v>195</v>
      </c>
      <c r="AA204" s="164" t="s">
        <v>196</v>
      </c>
      <c r="AB204" s="164" t="s">
        <v>187</v>
      </c>
      <c r="AC204" s="164" t="s">
        <v>187</v>
      </c>
      <c r="AD204" s="165">
        <v>1</v>
      </c>
      <c r="AE204" s="164" t="s">
        <v>187</v>
      </c>
      <c r="AF204" s="165">
        <v>19.632408510244499</v>
      </c>
      <c r="AG204" s="166">
        <v>103.56138114532401</v>
      </c>
      <c r="AM204" s="133" t="str" cm="1">
        <f t="array" ref="AM204">IF(ROWS($AN$2:$AN203)&lt;=$AN$2,INDEX($V$3:$V$3000,_xlfn.AGGREGATE(15,3,($B$3:$B$3000=$AM$2)/($B$3:$B$3000=$AM$2)*(ROW($B$3:$B$3000)-ROW($B$2)),ROWS($AN$2:$AN203))),"")</f>
        <v/>
      </c>
      <c r="AN204" s="134" t="str" cm="1">
        <f t="array" ref="AN204">IF(ROWS($AN$2:$AN203)&lt;=$AN$2,INDEX($F$3:$F$3000,_xlfn.AGGREGATE(15,3,($B$3:$B$3000=$AM$2)/($B$3:$B$3000=$AM$2)*(ROW($B$3:$B$3000)-ROW($B$2)),ROWS($AN$2:$AN203))),"")</f>
        <v/>
      </c>
      <c r="AO204" s="135" t="str" cm="1">
        <f t="array" ref="AO204">IF(ROWS($AN$2:$AN203)&lt;=$AN$2,INDEX($G$3:$G$3000,_xlfn.AGGREGATE(15,3,($B$3:$B$3000=$AM$2)/($B$3:$B$3000=$AM$2)*(ROW($B$3:$B$3000)-ROW($B$2)),ROWS($AN$2:$AN203))),"")</f>
        <v/>
      </c>
      <c r="AP204" s="121"/>
      <c r="AT204" s="111"/>
      <c r="AV204" s="133" t="str" cm="1">
        <f t="array" ref="AV204">IF(ROWS($AW$2:$AW203)&lt;=$AW$2,INDEX($AM$3:$AM$792,_xlfn.AGGREGATE(15,3,($AM$3:$AM$792='Planning Template'!$F$45)/($AM$3:$AM$792='Planning Template'!$F$45)*(ROW($AM$3:$AM$792)-ROW($AM$2)),ROWS($AW$2:$AW203))),"")</f>
        <v/>
      </c>
      <c r="AW204" s="134" t="str" cm="1">
        <f t="array" ref="AW204">IF(ROWS($AU$3:$AU204)&lt;=$AW$2,INDEX($AN$3:$AN$792,_xlfn.AGGREGATE(15,3,($AM$3:$AM$792='Planning Template'!$F$45)/($AM$3:$AM$792='Planning Template'!$F$45)*(ROW($AM$3:$AM$792)-ROW($AM$2)),ROWS($AU$3:$AU204))),"")</f>
        <v/>
      </c>
      <c r="AX204" s="135" t="str">
        <f>IF(AW204="","",SUMIFS(TableSSDPeopleGroups[Population], TableSSDPeopleGroups[Ctry],'Planning Template'!$F$30,TableSSDPeopleGroups[PrimaryReligion],'Planning Template'!$F$301,TableSSDPeopleGroups[PeopleCluster],'Planning Template'!$F$45,TableSSDPeopleGroups[PeopNameInCountry],$AW204))</f>
        <v/>
      </c>
      <c r="AY204" s="234" t="str">
        <f t="shared" si="12"/>
        <v/>
      </c>
    </row>
    <row r="205" spans="1:51" s="110" customFormat="1" ht="20" customHeight="1">
      <c r="A205" s="125" t="s">
        <v>471</v>
      </c>
      <c r="B205" s="126" t="s">
        <v>65</v>
      </c>
      <c r="C205" s="127">
        <v>19263</v>
      </c>
      <c r="D205" s="163">
        <v>115538</v>
      </c>
      <c r="E205" s="164" t="s">
        <v>1953</v>
      </c>
      <c r="F205" s="164" t="s">
        <v>1953</v>
      </c>
      <c r="G205" s="165">
        <v>500</v>
      </c>
      <c r="H205" s="165">
        <v>1</v>
      </c>
      <c r="I205" s="164" t="s">
        <v>187</v>
      </c>
      <c r="J205" s="164" t="s">
        <v>1954</v>
      </c>
      <c r="K205" s="164" t="s">
        <v>1955</v>
      </c>
      <c r="L205" s="165">
        <v>2</v>
      </c>
      <c r="M205" s="165">
        <v>2</v>
      </c>
      <c r="N205" s="164" t="s">
        <v>1718</v>
      </c>
      <c r="O205" s="165">
        <v>0</v>
      </c>
      <c r="P205" s="165">
        <v>0</v>
      </c>
      <c r="Q205" s="165">
        <v>20</v>
      </c>
      <c r="R205" s="164" t="s">
        <v>574</v>
      </c>
      <c r="S205" s="164" t="s">
        <v>575</v>
      </c>
      <c r="T205" s="165">
        <v>295</v>
      </c>
      <c r="U205" s="164" t="s">
        <v>1702</v>
      </c>
      <c r="V205" s="164" t="s">
        <v>1703</v>
      </c>
      <c r="W205" s="165">
        <v>2</v>
      </c>
      <c r="X205" s="165">
        <v>2</v>
      </c>
      <c r="Y205" s="164" t="s">
        <v>194</v>
      </c>
      <c r="Z205" s="164" t="s">
        <v>195</v>
      </c>
      <c r="AA205" s="164" t="s">
        <v>196</v>
      </c>
      <c r="AB205" s="164" t="s">
        <v>187</v>
      </c>
      <c r="AC205" s="164" t="s">
        <v>187</v>
      </c>
      <c r="AD205" s="165">
        <v>1</v>
      </c>
      <c r="AE205" s="164" t="s">
        <v>187</v>
      </c>
      <c r="AF205" s="165">
        <v>18.070004999999998</v>
      </c>
      <c r="AG205" s="166">
        <v>105.091498</v>
      </c>
      <c r="AM205" s="133" t="str" cm="1">
        <f t="array" ref="AM205">IF(ROWS($AN$2:$AN204)&lt;=$AN$2,INDEX($V$3:$V$3000,_xlfn.AGGREGATE(15,3,($B$3:$B$3000=$AM$2)/($B$3:$B$3000=$AM$2)*(ROW($B$3:$B$3000)-ROW($B$2)),ROWS($AN$2:$AN204))),"")</f>
        <v/>
      </c>
      <c r="AN205" s="134" t="str" cm="1">
        <f t="array" ref="AN205">IF(ROWS($AN$2:$AN204)&lt;=$AN$2,INDEX($F$3:$F$3000,_xlfn.AGGREGATE(15,3,($B$3:$B$3000=$AM$2)/($B$3:$B$3000=$AM$2)*(ROW($B$3:$B$3000)-ROW($B$2)),ROWS($AN$2:$AN204))),"")</f>
        <v/>
      </c>
      <c r="AO205" s="135" t="str" cm="1">
        <f t="array" ref="AO205">IF(ROWS($AN$2:$AN204)&lt;=$AN$2,INDEX($G$3:$G$3000,_xlfn.AGGREGATE(15,3,($B$3:$B$3000=$AM$2)/($B$3:$B$3000=$AM$2)*(ROW($B$3:$B$3000)-ROW($B$2)),ROWS($AN$2:$AN204))),"")</f>
        <v/>
      </c>
      <c r="AP205" s="121"/>
      <c r="AT205" s="111"/>
      <c r="AV205" s="133" t="str" cm="1">
        <f t="array" ref="AV205">IF(ROWS($AW$2:$AW204)&lt;=$AW$2,INDEX($AM$3:$AM$792,_xlfn.AGGREGATE(15,3,($AM$3:$AM$792='Planning Template'!$F$45)/($AM$3:$AM$792='Planning Template'!$F$45)*(ROW($AM$3:$AM$792)-ROW($AM$2)),ROWS($AW$2:$AW204))),"")</f>
        <v/>
      </c>
      <c r="AW205" s="134" t="str" cm="1">
        <f t="array" ref="AW205">IF(ROWS($AU$3:$AU205)&lt;=$AW$2,INDEX($AN$3:$AN$792,_xlfn.AGGREGATE(15,3,($AM$3:$AM$792='Planning Template'!$F$45)/($AM$3:$AM$792='Planning Template'!$F$45)*(ROW($AM$3:$AM$792)-ROW($AM$2)),ROWS($AU$3:$AU205))),"")</f>
        <v/>
      </c>
      <c r="AX205" s="135" t="str">
        <f>IF(AW205="","",SUMIFS(TableSSDPeopleGroups[Population], TableSSDPeopleGroups[Ctry],'Planning Template'!$F$30,TableSSDPeopleGroups[PrimaryReligion],'Planning Template'!$F$301,TableSSDPeopleGroups[PeopleCluster],'Planning Template'!$F$45,TableSSDPeopleGroups[PeopNameInCountry],$AW205))</f>
        <v/>
      </c>
      <c r="AY205" s="234" t="str">
        <f t="shared" si="12"/>
        <v/>
      </c>
    </row>
    <row r="206" spans="1:51" s="110" customFormat="1" ht="20" customHeight="1">
      <c r="A206" s="125" t="s">
        <v>1620</v>
      </c>
      <c r="B206" s="126" t="s">
        <v>61</v>
      </c>
      <c r="C206" s="127">
        <v>12111</v>
      </c>
      <c r="D206" s="163">
        <v>103841</v>
      </c>
      <c r="E206" s="164" t="s">
        <v>2204</v>
      </c>
      <c r="F206" s="164" t="s">
        <v>2204</v>
      </c>
      <c r="G206" s="165">
        <v>129000</v>
      </c>
      <c r="H206" s="165">
        <v>1</v>
      </c>
      <c r="I206" s="164" t="s">
        <v>187</v>
      </c>
      <c r="J206" s="164" t="s">
        <v>2205</v>
      </c>
      <c r="K206" s="164" t="s">
        <v>2206</v>
      </c>
      <c r="L206" s="165">
        <v>3</v>
      </c>
      <c r="M206" s="165">
        <v>2</v>
      </c>
      <c r="N206" s="164" t="s">
        <v>1718</v>
      </c>
      <c r="O206" s="165">
        <v>2.2999999999999998</v>
      </c>
      <c r="P206" s="165">
        <v>1.9039999999999999</v>
      </c>
      <c r="Q206" s="165">
        <v>20</v>
      </c>
      <c r="R206" s="164" t="s">
        <v>574</v>
      </c>
      <c r="S206" s="164" t="s">
        <v>575</v>
      </c>
      <c r="T206" s="165">
        <v>295</v>
      </c>
      <c r="U206" s="164" t="s">
        <v>1702</v>
      </c>
      <c r="V206" s="164" t="s">
        <v>1703</v>
      </c>
      <c r="W206" s="165">
        <v>3</v>
      </c>
      <c r="X206" s="165">
        <v>2</v>
      </c>
      <c r="Y206" s="164" t="s">
        <v>194</v>
      </c>
      <c r="Z206" s="164" t="s">
        <v>195</v>
      </c>
      <c r="AA206" s="164" t="s">
        <v>196</v>
      </c>
      <c r="AB206" s="164" t="s">
        <v>187</v>
      </c>
      <c r="AC206" s="164" t="s">
        <v>187</v>
      </c>
      <c r="AD206" s="165">
        <v>3</v>
      </c>
      <c r="AE206" s="164" t="s">
        <v>209</v>
      </c>
      <c r="AF206" s="165">
        <v>20.5836499999475</v>
      </c>
      <c r="AG206" s="166">
        <v>99.778969999965497</v>
      </c>
      <c r="AM206" s="133" t="str" cm="1">
        <f t="array" ref="AM206">IF(ROWS($AN$2:$AN205)&lt;=$AN$2,INDEX($V$3:$V$3000,_xlfn.AGGREGATE(15,3,($B$3:$B$3000=$AM$2)/($B$3:$B$3000=$AM$2)*(ROW($B$3:$B$3000)-ROW($B$2)),ROWS($AN$2:$AN205))),"")</f>
        <v/>
      </c>
      <c r="AN206" s="134" t="str" cm="1">
        <f t="array" ref="AN206">IF(ROWS($AN$2:$AN205)&lt;=$AN$2,INDEX($F$3:$F$3000,_xlfn.AGGREGATE(15,3,($B$3:$B$3000=$AM$2)/($B$3:$B$3000=$AM$2)*(ROW($B$3:$B$3000)-ROW($B$2)),ROWS($AN$2:$AN205))),"")</f>
        <v/>
      </c>
      <c r="AO206" s="135" t="str" cm="1">
        <f t="array" ref="AO206">IF(ROWS($AN$2:$AN205)&lt;=$AN$2,INDEX($G$3:$G$3000,_xlfn.AGGREGATE(15,3,($B$3:$B$3000=$AM$2)/($B$3:$B$3000=$AM$2)*(ROW($B$3:$B$3000)-ROW($B$2)),ROWS($AN$2:$AN205))),"")</f>
        <v/>
      </c>
      <c r="AP206" s="121"/>
      <c r="AT206" s="111"/>
      <c r="AV206" s="133" t="str" cm="1">
        <f t="array" ref="AV206">IF(ROWS($AW$2:$AW205)&lt;=$AW$2,INDEX($AM$3:$AM$792,_xlfn.AGGREGATE(15,3,($AM$3:$AM$792='Planning Template'!$F$45)/($AM$3:$AM$792='Planning Template'!$F$45)*(ROW($AM$3:$AM$792)-ROW($AM$2)),ROWS($AW$2:$AW205))),"")</f>
        <v/>
      </c>
      <c r="AW206" s="134" t="str" cm="1">
        <f t="array" ref="AW206">IF(ROWS($AU$3:$AU206)&lt;=$AW$2,INDEX($AN$3:$AN$792,_xlfn.AGGREGATE(15,3,($AM$3:$AM$792='Planning Template'!$F$45)/($AM$3:$AM$792='Planning Template'!$F$45)*(ROW($AM$3:$AM$792)-ROW($AM$2)),ROWS($AU$3:$AU206))),"")</f>
        <v/>
      </c>
      <c r="AX206" s="135" t="str">
        <f>IF(AW206="","",SUMIFS(TableSSDPeopleGroups[Population], TableSSDPeopleGroups[Ctry],'Planning Template'!$F$30,TableSSDPeopleGroups[PrimaryReligion],'Planning Template'!$F$301,TableSSDPeopleGroups[PeopleCluster],'Planning Template'!$F$45,TableSSDPeopleGroups[PeopNameInCountry],$AW206))</f>
        <v/>
      </c>
      <c r="AY206" s="234" t="str">
        <f t="shared" si="12"/>
        <v/>
      </c>
    </row>
    <row r="207" spans="1:51" s="110" customFormat="1" ht="20" customHeight="1">
      <c r="A207" s="125" t="s">
        <v>1620</v>
      </c>
      <c r="B207" s="126" t="s">
        <v>61</v>
      </c>
      <c r="C207" s="127">
        <v>20584</v>
      </c>
      <c r="D207" s="163">
        <v>116915</v>
      </c>
      <c r="E207" s="164" t="s">
        <v>4632</v>
      </c>
      <c r="F207" s="164" t="s">
        <v>4632</v>
      </c>
      <c r="G207" s="165">
        <v>114000</v>
      </c>
      <c r="H207" s="165">
        <v>1</v>
      </c>
      <c r="I207" s="164" t="s">
        <v>187</v>
      </c>
      <c r="J207" s="164" t="s">
        <v>4633</v>
      </c>
      <c r="K207" s="164" t="s">
        <v>4632</v>
      </c>
      <c r="L207" s="165">
        <v>1</v>
      </c>
      <c r="M207" s="165">
        <v>2</v>
      </c>
      <c r="N207" s="164" t="s">
        <v>1718</v>
      </c>
      <c r="O207" s="165">
        <v>1</v>
      </c>
      <c r="P207" s="165">
        <v>0.3</v>
      </c>
      <c r="Q207" s="165">
        <v>20</v>
      </c>
      <c r="R207" s="164" t="s">
        <v>574</v>
      </c>
      <c r="S207" s="164" t="s">
        <v>575</v>
      </c>
      <c r="T207" s="165">
        <v>295</v>
      </c>
      <c r="U207" s="164" t="s">
        <v>1702</v>
      </c>
      <c r="V207" s="164" t="s">
        <v>1703</v>
      </c>
      <c r="W207" s="165">
        <v>1</v>
      </c>
      <c r="X207" s="165">
        <v>2</v>
      </c>
      <c r="Y207" s="164" t="s">
        <v>194</v>
      </c>
      <c r="Z207" s="164" t="s">
        <v>195</v>
      </c>
      <c r="AA207" s="164" t="s">
        <v>196</v>
      </c>
      <c r="AB207" s="164" t="s">
        <v>187</v>
      </c>
      <c r="AC207" s="164" t="s">
        <v>187</v>
      </c>
      <c r="AD207" s="165">
        <v>2</v>
      </c>
      <c r="AE207" s="164" t="s">
        <v>209</v>
      </c>
      <c r="AF207" s="165">
        <v>25.346616999999998</v>
      </c>
      <c r="AG207" s="166">
        <v>97.399957999999998</v>
      </c>
      <c r="AM207" s="133" t="str" cm="1">
        <f t="array" ref="AM207">IF(ROWS($AN$2:$AN206)&lt;=$AN$2,INDEX($V$3:$V$3000,_xlfn.AGGREGATE(15,3,($B$3:$B$3000=$AM$2)/($B$3:$B$3000=$AM$2)*(ROW($B$3:$B$3000)-ROW($B$2)),ROWS($AN$2:$AN206))),"")</f>
        <v/>
      </c>
      <c r="AN207" s="134" t="str" cm="1">
        <f t="array" ref="AN207">IF(ROWS($AN$2:$AN206)&lt;=$AN$2,INDEX($F$3:$F$3000,_xlfn.AGGREGATE(15,3,($B$3:$B$3000=$AM$2)/($B$3:$B$3000=$AM$2)*(ROW($B$3:$B$3000)-ROW($B$2)),ROWS($AN$2:$AN206))),"")</f>
        <v/>
      </c>
      <c r="AO207" s="135" t="str" cm="1">
        <f t="array" ref="AO207">IF(ROWS($AN$2:$AN206)&lt;=$AN$2,INDEX($G$3:$G$3000,_xlfn.AGGREGATE(15,3,($B$3:$B$3000=$AM$2)/($B$3:$B$3000=$AM$2)*(ROW($B$3:$B$3000)-ROW($B$2)),ROWS($AN$2:$AN206))),"")</f>
        <v/>
      </c>
      <c r="AP207" s="121"/>
      <c r="AT207" s="111"/>
      <c r="AV207" s="133" t="str" cm="1">
        <f t="array" ref="AV207">IF(ROWS($AW$2:$AW206)&lt;=$AW$2,INDEX($AM$3:$AM$792,_xlfn.AGGREGATE(15,3,($AM$3:$AM$792='Planning Template'!$F$45)/($AM$3:$AM$792='Planning Template'!$F$45)*(ROW($AM$3:$AM$792)-ROW($AM$2)),ROWS($AW$2:$AW206))),"")</f>
        <v/>
      </c>
      <c r="AW207" s="134" t="str" cm="1">
        <f t="array" ref="AW207">IF(ROWS($AU$3:$AU207)&lt;=$AW$2,INDEX($AN$3:$AN$792,_xlfn.AGGREGATE(15,3,($AM$3:$AM$792='Planning Template'!$F$45)/($AM$3:$AM$792='Planning Template'!$F$45)*(ROW($AM$3:$AM$792)-ROW($AM$2)),ROWS($AU$3:$AU207))),"")</f>
        <v/>
      </c>
      <c r="AX207" s="135" t="str">
        <f>IF(AW207="","",SUMIFS(TableSSDPeopleGroups[Population], TableSSDPeopleGroups[Ctry],'Planning Template'!$F$30,TableSSDPeopleGroups[PrimaryReligion],'Planning Template'!$F$301,TableSSDPeopleGroups[PeopleCluster],'Planning Template'!$F$45,TableSSDPeopleGroups[PeopNameInCountry],$AW207))</f>
        <v/>
      </c>
      <c r="AY207" s="234" t="str">
        <f t="shared" si="12"/>
        <v/>
      </c>
    </row>
    <row r="208" spans="1:51" s="110" customFormat="1" ht="20" customHeight="1">
      <c r="A208" s="125" t="s">
        <v>1620</v>
      </c>
      <c r="B208" s="126" t="s">
        <v>61</v>
      </c>
      <c r="C208" s="127">
        <v>15193</v>
      </c>
      <c r="D208" s="163">
        <v>109720</v>
      </c>
      <c r="E208" s="164" t="s">
        <v>3841</v>
      </c>
      <c r="F208" s="164" t="s">
        <v>3841</v>
      </c>
      <c r="G208" s="165">
        <v>102000</v>
      </c>
      <c r="H208" s="165">
        <v>1</v>
      </c>
      <c r="I208" s="164" t="s">
        <v>187</v>
      </c>
      <c r="J208" s="164" t="s">
        <v>3842</v>
      </c>
      <c r="K208" s="164" t="s">
        <v>3843</v>
      </c>
      <c r="L208" s="165">
        <v>3</v>
      </c>
      <c r="M208" s="165">
        <v>2</v>
      </c>
      <c r="N208" s="164" t="s">
        <v>1718</v>
      </c>
      <c r="O208" s="165">
        <v>0.5</v>
      </c>
      <c r="P208" s="165">
        <v>0.35</v>
      </c>
      <c r="Q208" s="165">
        <v>20</v>
      </c>
      <c r="R208" s="164" t="s">
        <v>574</v>
      </c>
      <c r="S208" s="164" t="s">
        <v>575</v>
      </c>
      <c r="T208" s="165">
        <v>295</v>
      </c>
      <c r="U208" s="164" t="s">
        <v>1702</v>
      </c>
      <c r="V208" s="164" t="s">
        <v>1703</v>
      </c>
      <c r="W208" s="165">
        <v>4</v>
      </c>
      <c r="X208" s="165">
        <v>2</v>
      </c>
      <c r="Y208" s="164" t="s">
        <v>194</v>
      </c>
      <c r="Z208" s="164" t="s">
        <v>195</v>
      </c>
      <c r="AA208" s="164" t="s">
        <v>196</v>
      </c>
      <c r="AB208" s="164" t="s">
        <v>187</v>
      </c>
      <c r="AC208" s="164" t="s">
        <v>187</v>
      </c>
      <c r="AD208" s="165">
        <v>2</v>
      </c>
      <c r="AE208" s="164" t="s">
        <v>209</v>
      </c>
      <c r="AF208" s="165">
        <v>24.204680000281801</v>
      </c>
      <c r="AG208" s="166">
        <v>97.551790000108397</v>
      </c>
      <c r="AM208" s="133" t="str" cm="1">
        <f t="array" ref="AM208">IF(ROWS($AN$2:$AN207)&lt;=$AN$2,INDEX($V$3:$V$3000,_xlfn.AGGREGATE(15,3,($B$3:$B$3000=$AM$2)/($B$3:$B$3000=$AM$2)*(ROW($B$3:$B$3000)-ROW($B$2)),ROWS($AN$2:$AN207))),"")</f>
        <v/>
      </c>
      <c r="AN208" s="134" t="str" cm="1">
        <f t="array" ref="AN208">IF(ROWS($AN$2:$AN207)&lt;=$AN$2,INDEX($F$3:$F$3000,_xlfn.AGGREGATE(15,3,($B$3:$B$3000=$AM$2)/($B$3:$B$3000=$AM$2)*(ROW($B$3:$B$3000)-ROW($B$2)),ROWS($AN$2:$AN207))),"")</f>
        <v/>
      </c>
      <c r="AO208" s="135" t="str" cm="1">
        <f t="array" ref="AO208">IF(ROWS($AN$2:$AN207)&lt;=$AN$2,INDEX($G$3:$G$3000,_xlfn.AGGREGATE(15,3,($B$3:$B$3000=$AM$2)/($B$3:$B$3000=$AM$2)*(ROW($B$3:$B$3000)-ROW($B$2)),ROWS($AN$2:$AN207))),"")</f>
        <v/>
      </c>
      <c r="AP208" s="121"/>
      <c r="AT208" s="111"/>
      <c r="AV208" s="133" t="str" cm="1">
        <f t="array" ref="AV208">IF(ROWS($AW$2:$AW207)&lt;=$AW$2,INDEX($AM$3:$AM$792,_xlfn.AGGREGATE(15,3,($AM$3:$AM$792='Planning Template'!$F$45)/($AM$3:$AM$792='Planning Template'!$F$45)*(ROW($AM$3:$AM$792)-ROW($AM$2)),ROWS($AW$2:$AW207))),"")</f>
        <v/>
      </c>
      <c r="AW208" s="134" t="str" cm="1">
        <f t="array" ref="AW208">IF(ROWS($AU$3:$AU208)&lt;=$AW$2,INDEX($AN$3:$AN$792,_xlfn.AGGREGATE(15,3,($AM$3:$AM$792='Planning Template'!$F$45)/($AM$3:$AM$792='Planning Template'!$F$45)*(ROW($AM$3:$AM$792)-ROW($AM$2)),ROWS($AU$3:$AU208))),"")</f>
        <v/>
      </c>
      <c r="AX208" s="135" t="str">
        <f>IF(AW208="","",SUMIFS(TableSSDPeopleGroups[Population], TableSSDPeopleGroups[Ctry],'Planning Template'!$F$30,TableSSDPeopleGroups[PrimaryReligion],'Planning Template'!$F$301,TableSSDPeopleGroups[PeopleCluster],'Planning Template'!$F$45,TableSSDPeopleGroups[PeopNameInCountry],$AW208))</f>
        <v/>
      </c>
      <c r="AY208" s="234" t="str">
        <f t="shared" si="12"/>
        <v/>
      </c>
    </row>
    <row r="209" spans="1:51" s="110" customFormat="1" ht="20" customHeight="1">
      <c r="A209" s="125" t="s">
        <v>1620</v>
      </c>
      <c r="B209" s="126" t="s">
        <v>61</v>
      </c>
      <c r="C209" s="127">
        <v>18566</v>
      </c>
      <c r="D209" s="163">
        <v>114183</v>
      </c>
      <c r="E209" s="164" t="s">
        <v>3315</v>
      </c>
      <c r="F209" s="164" t="s">
        <v>3315</v>
      </c>
      <c r="G209" s="165">
        <v>61000</v>
      </c>
      <c r="H209" s="165">
        <v>1</v>
      </c>
      <c r="I209" s="164" t="s">
        <v>187</v>
      </c>
      <c r="J209" s="164" t="s">
        <v>3316</v>
      </c>
      <c r="K209" s="164" t="s">
        <v>3317</v>
      </c>
      <c r="L209" s="165">
        <v>4</v>
      </c>
      <c r="M209" s="165">
        <v>2</v>
      </c>
      <c r="N209" s="164" t="s">
        <v>1718</v>
      </c>
      <c r="O209" s="165">
        <v>0.2</v>
      </c>
      <c r="P209" s="165">
        <v>0.06</v>
      </c>
      <c r="Q209" s="165">
        <v>20</v>
      </c>
      <c r="R209" s="164" t="s">
        <v>574</v>
      </c>
      <c r="S209" s="164" t="s">
        <v>575</v>
      </c>
      <c r="T209" s="165">
        <v>295</v>
      </c>
      <c r="U209" s="164" t="s">
        <v>1702</v>
      </c>
      <c r="V209" s="164" t="s">
        <v>1703</v>
      </c>
      <c r="W209" s="165">
        <v>6</v>
      </c>
      <c r="X209" s="165">
        <v>2</v>
      </c>
      <c r="Y209" s="164" t="s">
        <v>194</v>
      </c>
      <c r="Z209" s="164" t="s">
        <v>195</v>
      </c>
      <c r="AA209" s="164" t="s">
        <v>196</v>
      </c>
      <c r="AB209" s="164" t="s">
        <v>187</v>
      </c>
      <c r="AC209" s="164" t="s">
        <v>187</v>
      </c>
      <c r="AD209" s="165">
        <v>1</v>
      </c>
      <c r="AE209" s="164" t="s">
        <v>209</v>
      </c>
      <c r="AF209" s="165">
        <v>21.267866999999999</v>
      </c>
      <c r="AG209" s="166">
        <v>100.710955</v>
      </c>
      <c r="AM209" s="133" t="str" cm="1">
        <f t="array" ref="AM209">IF(ROWS($AN$2:$AN208)&lt;=$AN$2,INDEX($V$3:$V$3000,_xlfn.AGGREGATE(15,3,($B$3:$B$3000=$AM$2)/($B$3:$B$3000=$AM$2)*(ROW($B$3:$B$3000)-ROW($B$2)),ROWS($AN$2:$AN208))),"")</f>
        <v/>
      </c>
      <c r="AN209" s="134" t="str" cm="1">
        <f t="array" ref="AN209">IF(ROWS($AN$2:$AN208)&lt;=$AN$2,INDEX($F$3:$F$3000,_xlfn.AGGREGATE(15,3,($B$3:$B$3000=$AM$2)/($B$3:$B$3000=$AM$2)*(ROW($B$3:$B$3000)-ROW($B$2)),ROWS($AN$2:$AN208))),"")</f>
        <v/>
      </c>
      <c r="AO209" s="135" t="str" cm="1">
        <f t="array" ref="AO209">IF(ROWS($AN$2:$AN208)&lt;=$AN$2,INDEX($G$3:$G$3000,_xlfn.AGGREGATE(15,3,($B$3:$B$3000=$AM$2)/($B$3:$B$3000=$AM$2)*(ROW($B$3:$B$3000)-ROW($B$2)),ROWS($AN$2:$AN208))),"")</f>
        <v/>
      </c>
      <c r="AP209" s="121"/>
      <c r="AT209" s="111"/>
      <c r="AV209" s="133" t="str" cm="1">
        <f t="array" ref="AV209">IF(ROWS($AW$2:$AW208)&lt;=$AW$2,INDEX($AM$3:$AM$792,_xlfn.AGGREGATE(15,3,($AM$3:$AM$792='Planning Template'!$F$45)/($AM$3:$AM$792='Planning Template'!$F$45)*(ROW($AM$3:$AM$792)-ROW($AM$2)),ROWS($AW$2:$AW208))),"")</f>
        <v/>
      </c>
      <c r="AW209" s="134" t="str" cm="1">
        <f t="array" ref="AW209">IF(ROWS($AU$3:$AU209)&lt;=$AW$2,INDEX($AN$3:$AN$792,_xlfn.AGGREGATE(15,3,($AM$3:$AM$792='Planning Template'!$F$45)/($AM$3:$AM$792='Planning Template'!$F$45)*(ROW($AM$3:$AM$792)-ROW($AM$2)),ROWS($AU$3:$AU209))),"")</f>
        <v/>
      </c>
      <c r="AX209" s="135" t="str">
        <f>IF(AW209="","",SUMIFS(TableSSDPeopleGroups[Population], TableSSDPeopleGroups[Ctry],'Planning Template'!$F$30,TableSSDPeopleGroups[PrimaryReligion],'Planning Template'!$F$301,TableSSDPeopleGroups[PeopleCluster],'Planning Template'!$F$45,TableSSDPeopleGroups[PeopNameInCountry],$AW209))</f>
        <v/>
      </c>
      <c r="AY209" s="234" t="str">
        <f t="shared" si="12"/>
        <v/>
      </c>
    </row>
    <row r="210" spans="1:51" s="110" customFormat="1" ht="20" customHeight="1">
      <c r="A210" s="125" t="s">
        <v>478</v>
      </c>
      <c r="B210" s="126" t="s">
        <v>56</v>
      </c>
      <c r="C210" s="127">
        <v>14383</v>
      </c>
      <c r="D210" s="163">
        <v>108016</v>
      </c>
      <c r="E210" s="164" t="s">
        <v>1955</v>
      </c>
      <c r="F210" s="164" t="s">
        <v>1955</v>
      </c>
      <c r="G210" s="165">
        <v>490000</v>
      </c>
      <c r="H210" s="165">
        <v>1</v>
      </c>
      <c r="I210" s="164" t="s">
        <v>187</v>
      </c>
      <c r="J210" s="164" t="s">
        <v>1954</v>
      </c>
      <c r="K210" s="164" t="s">
        <v>1955</v>
      </c>
      <c r="L210" s="165">
        <v>2</v>
      </c>
      <c r="M210" s="165">
        <v>2</v>
      </c>
      <c r="N210" s="164" t="s">
        <v>1718</v>
      </c>
      <c r="O210" s="165">
        <v>0.6</v>
      </c>
      <c r="P210" s="165">
        <v>0.1</v>
      </c>
      <c r="Q210" s="165">
        <v>20</v>
      </c>
      <c r="R210" s="164" t="s">
        <v>574</v>
      </c>
      <c r="S210" s="164" t="s">
        <v>575</v>
      </c>
      <c r="T210" s="165">
        <v>295</v>
      </c>
      <c r="U210" s="164" t="s">
        <v>1702</v>
      </c>
      <c r="V210" s="164" t="s">
        <v>1703</v>
      </c>
      <c r="W210" s="165">
        <v>4</v>
      </c>
      <c r="X210" s="165">
        <v>2</v>
      </c>
      <c r="Y210" s="164" t="s">
        <v>194</v>
      </c>
      <c r="Z210" s="164" t="s">
        <v>195</v>
      </c>
      <c r="AA210" s="164" t="s">
        <v>196</v>
      </c>
      <c r="AB210" s="164" t="s">
        <v>187</v>
      </c>
      <c r="AC210" s="164" t="s">
        <v>187</v>
      </c>
      <c r="AD210" s="165">
        <v>10</v>
      </c>
      <c r="AE210" s="164" t="s">
        <v>209</v>
      </c>
      <c r="AF210" s="165">
        <v>17.159079999999999</v>
      </c>
      <c r="AG210" s="166">
        <v>103.88257</v>
      </c>
      <c r="AM210" s="133" t="str" cm="1">
        <f t="array" ref="AM210">IF(ROWS($AN$2:$AN209)&lt;=$AN$2,INDEX($V$3:$V$3000,_xlfn.AGGREGATE(15,3,($B$3:$B$3000=$AM$2)/($B$3:$B$3000=$AM$2)*(ROW($B$3:$B$3000)-ROW($B$2)),ROWS($AN$2:$AN209))),"")</f>
        <v/>
      </c>
      <c r="AN210" s="134" t="str" cm="1">
        <f t="array" ref="AN210">IF(ROWS($AN$2:$AN209)&lt;=$AN$2,INDEX($F$3:$F$3000,_xlfn.AGGREGATE(15,3,($B$3:$B$3000=$AM$2)/($B$3:$B$3000=$AM$2)*(ROW($B$3:$B$3000)-ROW($B$2)),ROWS($AN$2:$AN209))),"")</f>
        <v/>
      </c>
      <c r="AO210" s="135" t="str" cm="1">
        <f t="array" ref="AO210">IF(ROWS($AN$2:$AN209)&lt;=$AN$2,INDEX($G$3:$G$3000,_xlfn.AGGREGATE(15,3,($B$3:$B$3000=$AM$2)/($B$3:$B$3000=$AM$2)*(ROW($B$3:$B$3000)-ROW($B$2)),ROWS($AN$2:$AN209))),"")</f>
        <v/>
      </c>
      <c r="AP210" s="121"/>
      <c r="AT210" s="111"/>
      <c r="AV210" s="139" t="str" cm="1">
        <f t="array" ref="AV210">IF(ROWS($AW$2:$AW209)&lt;=$AW$2,INDEX($AM$3:$AM$792,_xlfn.AGGREGATE(15,3,($AM$3:$AM$792='Planning Template'!$F$45)/($AM$3:$AM$792='Planning Template'!$F$45)*(ROW($AM$3:$AM$792)-ROW($AM$2)),ROWS($AW$2:$AW209))),"")</f>
        <v/>
      </c>
      <c r="AW210" s="143" t="str" cm="1">
        <f t="array" ref="AW210">IF(ROWS($AU$3:$AU210)&lt;=$AW$2,INDEX($AN$3:$AN$792,_xlfn.AGGREGATE(15,3,($AM$3:$AM$792='Planning Template'!$F$45)/($AM$3:$AM$792='Planning Template'!$F$45)*(ROW($AM$3:$AM$792)-ROW($AM$2)),ROWS($AU$3:$AU210))),"")</f>
        <v/>
      </c>
      <c r="AX210" s="135" t="str">
        <f>IF(AW210="","",SUMIFS(TableSSDPeopleGroups[Population], TableSSDPeopleGroups[Ctry],'Planning Template'!$F$30,TableSSDPeopleGroups[PrimaryReligion],'Planning Template'!$F$301,TableSSDPeopleGroups[PeopleCluster],'Planning Template'!$F$45,TableSSDPeopleGroups[PeopNameInCountry],$AW210))</f>
        <v/>
      </c>
      <c r="AY210" s="234" t="str">
        <f t="shared" si="12"/>
        <v/>
      </c>
    </row>
    <row r="211" spans="1:51" s="110" customFormat="1" ht="20" customHeight="1">
      <c r="A211" s="125" t="s">
        <v>478</v>
      </c>
      <c r="B211" s="126" t="s">
        <v>56</v>
      </c>
      <c r="C211" s="127">
        <v>14379</v>
      </c>
      <c r="D211" s="163">
        <v>108011</v>
      </c>
      <c r="E211" s="164" t="s">
        <v>2770</v>
      </c>
      <c r="F211" s="164" t="s">
        <v>2770</v>
      </c>
      <c r="G211" s="165">
        <v>208000</v>
      </c>
      <c r="H211" s="165">
        <v>1</v>
      </c>
      <c r="I211" s="164" t="s">
        <v>187</v>
      </c>
      <c r="J211" s="164" t="s">
        <v>2771</v>
      </c>
      <c r="K211" s="164" t="s">
        <v>2772</v>
      </c>
      <c r="L211" s="165">
        <v>1</v>
      </c>
      <c r="M211" s="165">
        <v>2</v>
      </c>
      <c r="N211" s="164" t="s">
        <v>1718</v>
      </c>
      <c r="O211" s="165">
        <v>1.5</v>
      </c>
      <c r="P211" s="165">
        <v>0.1</v>
      </c>
      <c r="Q211" s="165">
        <v>20</v>
      </c>
      <c r="R211" s="164" t="s">
        <v>574</v>
      </c>
      <c r="S211" s="164" t="s">
        <v>575</v>
      </c>
      <c r="T211" s="165">
        <v>295</v>
      </c>
      <c r="U211" s="164" t="s">
        <v>1702</v>
      </c>
      <c r="V211" s="164" t="s">
        <v>1703</v>
      </c>
      <c r="W211" s="165">
        <v>3</v>
      </c>
      <c r="X211" s="165">
        <v>2</v>
      </c>
      <c r="Y211" s="164" t="s">
        <v>194</v>
      </c>
      <c r="Z211" s="164" t="s">
        <v>195</v>
      </c>
      <c r="AA211" s="164" t="s">
        <v>196</v>
      </c>
      <c r="AB211" s="164" t="s">
        <v>187</v>
      </c>
      <c r="AC211" s="164" t="s">
        <v>187</v>
      </c>
      <c r="AD211" s="165">
        <v>4</v>
      </c>
      <c r="AE211" s="164" t="s">
        <v>209</v>
      </c>
      <c r="AF211" s="165">
        <v>15.587149999999999</v>
      </c>
      <c r="AG211" s="166">
        <v>101.10196999999999</v>
      </c>
      <c r="AM211" s="133" t="str" cm="1">
        <f t="array" ref="AM211">IF(ROWS($AN$2:$AN210)&lt;=$AN$2,INDEX($V$3:$V$3000,_xlfn.AGGREGATE(15,3,($B$3:$B$3000=$AM$2)/($B$3:$B$3000=$AM$2)*(ROW($B$3:$B$3000)-ROW($B$2)),ROWS($AN$2:$AN210))),"")</f>
        <v/>
      </c>
      <c r="AN211" s="134" t="str" cm="1">
        <f t="array" ref="AN211">IF(ROWS($AN$2:$AN210)&lt;=$AN$2,INDEX($F$3:$F$3000,_xlfn.AGGREGATE(15,3,($B$3:$B$3000=$AM$2)/($B$3:$B$3000=$AM$2)*(ROW($B$3:$B$3000)-ROW($B$2)),ROWS($AN$2:$AN210))),"")</f>
        <v/>
      </c>
      <c r="AO211" s="135" t="str" cm="1">
        <f t="array" ref="AO211">IF(ROWS($AN$2:$AN210)&lt;=$AN$2,INDEX($G$3:$G$3000,_xlfn.AGGREGATE(15,3,($B$3:$B$3000=$AM$2)/($B$3:$B$3000=$AM$2)*(ROW($B$3:$B$3000)-ROW($B$2)),ROWS($AN$2:$AN210))),"")</f>
        <v/>
      </c>
      <c r="AP211" s="121"/>
      <c r="AT211" s="111"/>
      <c r="AV211" s="302" t="str" cm="1">
        <f t="array" ref="AV211">IF(ROWS($AW$2:$AW210)&lt;=$AW$2,INDEX($AM$3:$AM$792,_xlfn.AGGREGATE(15,3,($AM$3:$AM$792='Planning Template'!$F$45)/($AM$3:$AM$792='Planning Template'!$F$45)*(ROW($AM$3:$AM$792)-ROW($AM$2)),ROWS($AW$2:$AW210))),"")</f>
        <v/>
      </c>
      <c r="AW211" s="134"/>
      <c r="AX211" s="136"/>
      <c r="AY211" s="134"/>
    </row>
    <row r="212" spans="1:51" s="110" customFormat="1" ht="20" customHeight="1">
      <c r="A212" s="125" t="s">
        <v>478</v>
      </c>
      <c r="B212" s="126" t="s">
        <v>56</v>
      </c>
      <c r="C212" s="127">
        <v>18566</v>
      </c>
      <c r="D212" s="163">
        <v>114183</v>
      </c>
      <c r="E212" s="164" t="s">
        <v>3315</v>
      </c>
      <c r="F212" s="164" t="s">
        <v>3315</v>
      </c>
      <c r="G212" s="165">
        <v>91000</v>
      </c>
      <c r="H212" s="165">
        <v>1</v>
      </c>
      <c r="I212" s="164" t="s">
        <v>187</v>
      </c>
      <c r="J212" s="164" t="s">
        <v>3316</v>
      </c>
      <c r="K212" s="164" t="s">
        <v>3317</v>
      </c>
      <c r="L212" s="165">
        <v>4</v>
      </c>
      <c r="M212" s="165">
        <v>2</v>
      </c>
      <c r="N212" s="164" t="s">
        <v>1718</v>
      </c>
      <c r="O212" s="165">
        <v>0.5</v>
      </c>
      <c r="P212" s="165">
        <v>0.1</v>
      </c>
      <c r="Q212" s="165">
        <v>20</v>
      </c>
      <c r="R212" s="164" t="s">
        <v>574</v>
      </c>
      <c r="S212" s="164" t="s">
        <v>575</v>
      </c>
      <c r="T212" s="165">
        <v>295</v>
      </c>
      <c r="U212" s="164" t="s">
        <v>1702</v>
      </c>
      <c r="V212" s="164" t="s">
        <v>1703</v>
      </c>
      <c r="W212" s="165">
        <v>6</v>
      </c>
      <c r="X212" s="165">
        <v>2</v>
      </c>
      <c r="Y212" s="164" t="s">
        <v>194</v>
      </c>
      <c r="Z212" s="164" t="s">
        <v>195</v>
      </c>
      <c r="AA212" s="164" t="s">
        <v>196</v>
      </c>
      <c r="AB212" s="164" t="s">
        <v>187</v>
      </c>
      <c r="AC212" s="164" t="s">
        <v>209</v>
      </c>
      <c r="AD212" s="165">
        <v>2</v>
      </c>
      <c r="AE212" s="164" t="s">
        <v>209</v>
      </c>
      <c r="AF212" s="165">
        <v>19.398119999999999</v>
      </c>
      <c r="AG212" s="166">
        <v>100.59399000000001</v>
      </c>
      <c r="AM212" s="133" t="str" cm="1">
        <f t="array" ref="AM212">IF(ROWS($AN$2:$AN211)&lt;=$AN$2,INDEX($V$3:$V$3000,_xlfn.AGGREGATE(15,3,($B$3:$B$3000=$AM$2)/($B$3:$B$3000=$AM$2)*(ROW($B$3:$B$3000)-ROW($B$2)),ROWS($AN$2:$AN211))),"")</f>
        <v/>
      </c>
      <c r="AN212" s="134" t="str" cm="1">
        <f t="array" ref="AN212">IF(ROWS($AN$2:$AN211)&lt;=$AN$2,INDEX($F$3:$F$3000,_xlfn.AGGREGATE(15,3,($B$3:$B$3000=$AM$2)/($B$3:$B$3000=$AM$2)*(ROW($B$3:$B$3000)-ROW($B$2)),ROWS($AN$2:$AN211))),"")</f>
        <v/>
      </c>
      <c r="AO212" s="135" t="str" cm="1">
        <f t="array" ref="AO212">IF(ROWS($AN$2:$AN211)&lt;=$AN$2,INDEX($G$3:$G$3000,_xlfn.AGGREGATE(15,3,($B$3:$B$3000=$AM$2)/($B$3:$B$3000=$AM$2)*(ROW($B$3:$B$3000)-ROW($B$2)),ROWS($AN$2:$AN211))),"")</f>
        <v/>
      </c>
      <c r="AP212" s="121"/>
      <c r="AT212" s="111"/>
      <c r="AV212" s="134" t="str" cm="1">
        <f t="array" ref="AV212">IF(ROWS($AW$2:$AW211)&lt;=$AW$2,INDEX($AM$3:$AM$792,_xlfn.AGGREGATE(15,3,($AM$3:$AM$792='Planning Template'!$F$45)/($AM$3:$AM$792='Planning Template'!$F$45)*(ROW($AM$3:$AM$792)-ROW($AM$2)),ROWS($AW$2:$AW211))),"")</f>
        <v/>
      </c>
      <c r="AW212" s="134"/>
      <c r="AX212" s="136"/>
      <c r="AY212" s="134"/>
    </row>
    <row r="213" spans="1:51" s="110" customFormat="1" ht="20" customHeight="1">
      <c r="A213" s="125" t="s">
        <v>478</v>
      </c>
      <c r="B213" s="126" t="s">
        <v>56</v>
      </c>
      <c r="C213" s="127">
        <v>16148</v>
      </c>
      <c r="D213" s="163">
        <v>111248</v>
      </c>
      <c r="E213" s="164" t="s">
        <v>3952</v>
      </c>
      <c r="F213" s="164" t="s">
        <v>3952</v>
      </c>
      <c r="G213" s="165">
        <v>81000</v>
      </c>
      <c r="H213" s="165">
        <v>1</v>
      </c>
      <c r="I213" s="164" t="s">
        <v>187</v>
      </c>
      <c r="J213" s="164" t="s">
        <v>3953</v>
      </c>
      <c r="K213" s="164" t="s">
        <v>3952</v>
      </c>
      <c r="L213" s="165">
        <v>1</v>
      </c>
      <c r="M213" s="165">
        <v>2</v>
      </c>
      <c r="N213" s="164" t="s">
        <v>1718</v>
      </c>
      <c r="O213" s="165">
        <v>1</v>
      </c>
      <c r="P213" s="165">
        <v>0</v>
      </c>
      <c r="Q213" s="165">
        <v>20</v>
      </c>
      <c r="R213" s="164" t="s">
        <v>574</v>
      </c>
      <c r="S213" s="164" t="s">
        <v>575</v>
      </c>
      <c r="T213" s="165">
        <v>295</v>
      </c>
      <c r="U213" s="164" t="s">
        <v>1702</v>
      </c>
      <c r="V213" s="164" t="s">
        <v>1703</v>
      </c>
      <c r="W213" s="165">
        <v>2</v>
      </c>
      <c r="X213" s="165">
        <v>2</v>
      </c>
      <c r="Y213" s="164" t="s">
        <v>194</v>
      </c>
      <c r="Z213" s="164" t="s">
        <v>195</v>
      </c>
      <c r="AA213" s="164" t="s">
        <v>196</v>
      </c>
      <c r="AB213" s="164" t="s">
        <v>187</v>
      </c>
      <c r="AC213" s="164" t="s">
        <v>187</v>
      </c>
      <c r="AD213" s="165">
        <v>2</v>
      </c>
      <c r="AE213" s="164" t="s">
        <v>209</v>
      </c>
      <c r="AF213" s="165">
        <v>17.257549999999998</v>
      </c>
      <c r="AG213" s="166">
        <v>103.84984</v>
      </c>
      <c r="AM213" s="133" t="str" cm="1">
        <f t="array" ref="AM213">IF(ROWS($AN$2:$AN212)&lt;=$AN$2,INDEX($V$3:$V$3000,_xlfn.AGGREGATE(15,3,($B$3:$B$3000=$AM$2)/($B$3:$B$3000=$AM$2)*(ROW($B$3:$B$3000)-ROW($B$2)),ROWS($AN$2:$AN212))),"")</f>
        <v/>
      </c>
      <c r="AN213" s="134" t="str" cm="1">
        <f t="array" ref="AN213">IF(ROWS($AN$2:$AN212)&lt;=$AN$2,INDEX($F$3:$F$3000,_xlfn.AGGREGATE(15,3,($B$3:$B$3000=$AM$2)/($B$3:$B$3000=$AM$2)*(ROW($B$3:$B$3000)-ROW($B$2)),ROWS($AN$2:$AN212))),"")</f>
        <v/>
      </c>
      <c r="AO213" s="135" t="str" cm="1">
        <f t="array" ref="AO213">IF(ROWS($AN$2:$AN212)&lt;=$AN$2,INDEX($G$3:$G$3000,_xlfn.AGGREGATE(15,3,($B$3:$B$3000=$AM$2)/($B$3:$B$3000=$AM$2)*(ROW($B$3:$B$3000)-ROW($B$2)),ROWS($AN$2:$AN212))),"")</f>
        <v/>
      </c>
      <c r="AP213" s="121"/>
      <c r="AT213" s="111"/>
      <c r="AV213" s="134" t="str" cm="1">
        <f t="array" ref="AV213">IF(ROWS($AW$2:$AW212)&lt;=$AW$2,INDEX($AM$3:$AM$792,_xlfn.AGGREGATE(15,3,($AM$3:$AM$792='Planning Template'!$F$45)/($AM$3:$AM$792='Planning Template'!$F$45)*(ROW($AM$3:$AM$792)-ROW($AM$2)),ROWS($AW$2:$AW212))),"")</f>
        <v/>
      </c>
      <c r="AW213" s="134"/>
      <c r="AX213" s="136"/>
      <c r="AY213" s="134"/>
    </row>
    <row r="214" spans="1:51" s="110" customFormat="1" ht="20" customHeight="1">
      <c r="A214" s="125" t="s">
        <v>478</v>
      </c>
      <c r="B214" s="126" t="s">
        <v>56</v>
      </c>
      <c r="C214" s="127">
        <v>12990</v>
      </c>
      <c r="D214" s="163">
        <v>105644</v>
      </c>
      <c r="E214" s="164" t="s">
        <v>4319</v>
      </c>
      <c r="F214" s="164" t="s">
        <v>4319</v>
      </c>
      <c r="G214" s="165">
        <v>36000</v>
      </c>
      <c r="H214" s="165">
        <v>1</v>
      </c>
      <c r="I214" s="164" t="s">
        <v>187</v>
      </c>
      <c r="J214" s="164" t="s">
        <v>4320</v>
      </c>
      <c r="K214" s="164" t="s">
        <v>4321</v>
      </c>
      <c r="L214" s="165">
        <v>3</v>
      </c>
      <c r="M214" s="165">
        <v>2</v>
      </c>
      <c r="N214" s="164" t="s">
        <v>1718</v>
      </c>
      <c r="O214" s="165">
        <v>1</v>
      </c>
      <c r="P214" s="165">
        <v>0.9</v>
      </c>
      <c r="Q214" s="165">
        <v>20</v>
      </c>
      <c r="R214" s="164" t="s">
        <v>574</v>
      </c>
      <c r="S214" s="164" t="s">
        <v>575</v>
      </c>
      <c r="T214" s="165">
        <v>295</v>
      </c>
      <c r="U214" s="164" t="s">
        <v>1702</v>
      </c>
      <c r="V214" s="164" t="s">
        <v>1703</v>
      </c>
      <c r="W214" s="165">
        <v>1</v>
      </c>
      <c r="X214" s="165">
        <v>2</v>
      </c>
      <c r="Y214" s="164" t="s">
        <v>194</v>
      </c>
      <c r="Z214" s="164" t="s">
        <v>195</v>
      </c>
      <c r="AA214" s="164" t="s">
        <v>196</v>
      </c>
      <c r="AB214" s="164" t="s">
        <v>187</v>
      </c>
      <c r="AC214" s="164" t="s">
        <v>187</v>
      </c>
      <c r="AD214" s="165">
        <v>1</v>
      </c>
      <c r="AE214" s="164" t="s">
        <v>209</v>
      </c>
      <c r="AF214" s="165">
        <v>13.2136</v>
      </c>
      <c r="AG214" s="166">
        <v>99.865089999999995</v>
      </c>
      <c r="AM214" s="133" t="str" cm="1">
        <f t="array" ref="AM214">IF(ROWS($AN$2:$AN213)&lt;=$AN$2,INDEX($V$3:$V$3000,_xlfn.AGGREGATE(15,3,($B$3:$B$3000=$AM$2)/($B$3:$B$3000=$AM$2)*(ROW($B$3:$B$3000)-ROW($B$2)),ROWS($AN$2:$AN213))),"")</f>
        <v/>
      </c>
      <c r="AN214" s="134" t="str" cm="1">
        <f t="array" ref="AN214">IF(ROWS($AN$2:$AN213)&lt;=$AN$2,INDEX($F$3:$F$3000,_xlfn.AGGREGATE(15,3,($B$3:$B$3000=$AM$2)/($B$3:$B$3000=$AM$2)*(ROW($B$3:$B$3000)-ROW($B$2)),ROWS($AN$2:$AN213))),"")</f>
        <v/>
      </c>
      <c r="AO214" s="135" t="str" cm="1">
        <f t="array" ref="AO214">IF(ROWS($AN$2:$AN213)&lt;=$AN$2,INDEX($G$3:$G$3000,_xlfn.AGGREGATE(15,3,($B$3:$B$3000=$AM$2)/($B$3:$B$3000=$AM$2)*(ROW($B$3:$B$3000)-ROW($B$2)),ROWS($AN$2:$AN213))),"")</f>
        <v/>
      </c>
      <c r="AP214" s="121"/>
      <c r="AT214" s="111"/>
      <c r="AV214" s="134" t="str" cm="1">
        <f t="array" ref="AV214">IF(ROWS($AW$2:$AW213)&lt;=$AW$2,INDEX($AM$3:$AM$792,_xlfn.AGGREGATE(15,3,($AM$3:$AM$792='Planning Template'!$F$45)/($AM$3:$AM$792='Planning Template'!$F$45)*(ROW($AM$3:$AM$792)-ROW($AM$2)),ROWS($AW$2:$AW213))),"")</f>
        <v/>
      </c>
      <c r="AW214" s="134"/>
      <c r="AX214" s="136"/>
      <c r="AY214" s="134"/>
    </row>
    <row r="215" spans="1:51" s="110" customFormat="1" ht="20" customHeight="1">
      <c r="A215" s="125" t="s">
        <v>478</v>
      </c>
      <c r="B215" s="126" t="s">
        <v>56</v>
      </c>
      <c r="C215" s="127">
        <v>19264</v>
      </c>
      <c r="D215" s="163">
        <v>115539</v>
      </c>
      <c r="E215" s="164" t="s">
        <v>4303</v>
      </c>
      <c r="F215" s="164" t="s">
        <v>4303</v>
      </c>
      <c r="G215" s="165">
        <v>35000</v>
      </c>
      <c r="H215" s="165">
        <v>1</v>
      </c>
      <c r="I215" s="164" t="s">
        <v>187</v>
      </c>
      <c r="J215" s="164" t="s">
        <v>1442</v>
      </c>
      <c r="K215" s="164" t="s">
        <v>1443</v>
      </c>
      <c r="L215" s="165">
        <v>5</v>
      </c>
      <c r="M215" s="165">
        <v>2</v>
      </c>
      <c r="N215" s="164" t="s">
        <v>1718</v>
      </c>
      <c r="O215" s="165">
        <v>0</v>
      </c>
      <c r="P215" s="165">
        <v>0</v>
      </c>
      <c r="Q215" s="165">
        <v>20</v>
      </c>
      <c r="R215" s="164" t="s">
        <v>574</v>
      </c>
      <c r="S215" s="164" t="s">
        <v>575</v>
      </c>
      <c r="T215" s="165">
        <v>295</v>
      </c>
      <c r="U215" s="164" t="s">
        <v>1702</v>
      </c>
      <c r="V215" s="164" t="s">
        <v>1703</v>
      </c>
      <c r="W215" s="165">
        <v>1</v>
      </c>
      <c r="X215" s="165">
        <v>2</v>
      </c>
      <c r="Y215" s="164" t="s">
        <v>194</v>
      </c>
      <c r="Z215" s="164" t="s">
        <v>195</v>
      </c>
      <c r="AA215" s="164" t="s">
        <v>196</v>
      </c>
      <c r="AB215" s="164" t="s">
        <v>187</v>
      </c>
      <c r="AC215" s="164" t="s">
        <v>187</v>
      </c>
      <c r="AD215" s="165">
        <v>1</v>
      </c>
      <c r="AE215" s="164" t="s">
        <v>187</v>
      </c>
      <c r="AF215" s="165">
        <v>15.620552</v>
      </c>
      <c r="AG215" s="166">
        <v>100.44997499999999</v>
      </c>
      <c r="AM215" s="133" t="str" cm="1">
        <f t="array" ref="AM215">IF(ROWS($AN$2:$AN214)&lt;=$AN$2,INDEX($V$3:$V$3000,_xlfn.AGGREGATE(15,3,($B$3:$B$3000=$AM$2)/($B$3:$B$3000=$AM$2)*(ROW($B$3:$B$3000)-ROW($B$2)),ROWS($AN$2:$AN214))),"")</f>
        <v/>
      </c>
      <c r="AN215" s="134" t="str" cm="1">
        <f t="array" ref="AN215">IF(ROWS($AN$2:$AN214)&lt;=$AN$2,INDEX($F$3:$F$3000,_xlfn.AGGREGATE(15,3,($B$3:$B$3000=$AM$2)/($B$3:$B$3000=$AM$2)*(ROW($B$3:$B$3000)-ROW($B$2)),ROWS($AN$2:$AN214))),"")</f>
        <v/>
      </c>
      <c r="AO215" s="135" t="str" cm="1">
        <f t="array" ref="AO215">IF(ROWS($AN$2:$AN214)&lt;=$AN$2,INDEX($G$3:$G$3000,_xlfn.AGGREGATE(15,3,($B$3:$B$3000=$AM$2)/($B$3:$B$3000=$AM$2)*(ROW($B$3:$B$3000)-ROW($B$2)),ROWS($AN$2:$AN214))),"")</f>
        <v/>
      </c>
      <c r="AP215" s="121"/>
      <c r="AT215" s="111"/>
      <c r="AV215" s="134" t="str" cm="1">
        <f t="array" ref="AV215">IF(ROWS($AW$2:$AW214)&lt;=$AW$2,INDEX($AM$3:$AM$792,_xlfn.AGGREGATE(15,3,($AM$3:$AM$792='Planning Template'!$F$45)/($AM$3:$AM$792='Planning Template'!$F$45)*(ROW($AM$3:$AM$792)-ROW($AM$2)),ROWS($AW$2:$AW214))),"")</f>
        <v/>
      </c>
      <c r="AW215" s="134"/>
      <c r="AX215" s="136"/>
      <c r="AY215" s="134"/>
    </row>
    <row r="216" spans="1:51" s="110" customFormat="1" ht="20" customHeight="1">
      <c r="A216" s="125" t="s">
        <v>478</v>
      </c>
      <c r="B216" s="126" t="s">
        <v>56</v>
      </c>
      <c r="C216" s="127">
        <v>14631</v>
      </c>
      <c r="D216" s="163">
        <v>108502</v>
      </c>
      <c r="E216" s="164" t="s">
        <v>3025</v>
      </c>
      <c r="F216" s="164" t="s">
        <v>3025</v>
      </c>
      <c r="G216" s="165">
        <v>21000</v>
      </c>
      <c r="H216" s="165">
        <v>1</v>
      </c>
      <c r="I216" s="164" t="s">
        <v>187</v>
      </c>
      <c r="J216" s="164" t="s">
        <v>3026</v>
      </c>
      <c r="K216" s="164" t="s">
        <v>3025</v>
      </c>
      <c r="L216" s="165">
        <v>1</v>
      </c>
      <c r="M216" s="165">
        <v>2</v>
      </c>
      <c r="N216" s="164" t="s">
        <v>1718</v>
      </c>
      <c r="O216" s="165">
        <v>0</v>
      </c>
      <c r="P216" s="165">
        <v>0</v>
      </c>
      <c r="Q216" s="165">
        <v>20</v>
      </c>
      <c r="R216" s="164" t="s">
        <v>574</v>
      </c>
      <c r="S216" s="164" t="s">
        <v>575</v>
      </c>
      <c r="T216" s="165">
        <v>295</v>
      </c>
      <c r="U216" s="164" t="s">
        <v>1702</v>
      </c>
      <c r="V216" s="164" t="s">
        <v>1703</v>
      </c>
      <c r="W216" s="165">
        <v>2</v>
      </c>
      <c r="X216" s="165">
        <v>2</v>
      </c>
      <c r="Y216" s="164" t="s">
        <v>194</v>
      </c>
      <c r="Z216" s="164" t="s">
        <v>195</v>
      </c>
      <c r="AA216" s="164" t="s">
        <v>196</v>
      </c>
      <c r="AB216" s="164" t="s">
        <v>187</v>
      </c>
      <c r="AC216" s="164" t="s">
        <v>187</v>
      </c>
      <c r="AD216" s="165">
        <v>1</v>
      </c>
      <c r="AE216" s="164" t="s">
        <v>187</v>
      </c>
      <c r="AF216" s="165">
        <v>17.4129</v>
      </c>
      <c r="AG216" s="166">
        <v>104.75333999999999</v>
      </c>
      <c r="AM216" s="133" t="str" cm="1">
        <f t="array" ref="AM216">IF(ROWS($AN$2:$AN215)&lt;=$AN$2,INDEX($V$3:$V$3000,_xlfn.AGGREGATE(15,3,($B$3:$B$3000=$AM$2)/($B$3:$B$3000=$AM$2)*(ROW($B$3:$B$3000)-ROW($B$2)),ROWS($AN$2:$AN215))),"")</f>
        <v/>
      </c>
      <c r="AN216" s="134" t="str" cm="1">
        <f t="array" ref="AN216">IF(ROWS($AN$2:$AN215)&lt;=$AN$2,INDEX($F$3:$F$3000,_xlfn.AGGREGATE(15,3,($B$3:$B$3000=$AM$2)/($B$3:$B$3000=$AM$2)*(ROW($B$3:$B$3000)-ROW($B$2)),ROWS($AN$2:$AN215))),"")</f>
        <v/>
      </c>
      <c r="AO216" s="135" t="str" cm="1">
        <f t="array" ref="AO216">IF(ROWS($AN$2:$AN215)&lt;=$AN$2,INDEX($G$3:$G$3000,_xlfn.AGGREGATE(15,3,($B$3:$B$3000=$AM$2)/($B$3:$B$3000=$AM$2)*(ROW($B$3:$B$3000)-ROW($B$2)),ROWS($AN$2:$AN215))),"")</f>
        <v/>
      </c>
      <c r="AP216" s="121"/>
      <c r="AT216" s="111"/>
      <c r="AV216" s="134" t="str" cm="1">
        <f t="array" ref="AV216">IF(ROWS($AW$2:$AW215)&lt;=$AW$2,INDEX($AM$3:$AM$792,_xlfn.AGGREGATE(15,3,($AM$3:$AM$792='Planning Template'!$F$45)/($AM$3:$AM$792='Planning Template'!$F$45)*(ROW($AM$3:$AM$792)-ROW($AM$2)),ROWS($AW$2:$AW215))),"")</f>
        <v/>
      </c>
      <c r="AW216" s="134"/>
      <c r="AX216" s="136"/>
      <c r="AY216" s="134"/>
    </row>
    <row r="217" spans="1:51" s="110" customFormat="1" ht="20" customHeight="1">
      <c r="A217" s="125" t="s">
        <v>478</v>
      </c>
      <c r="B217" s="126" t="s">
        <v>56</v>
      </c>
      <c r="C217" s="127">
        <v>16053</v>
      </c>
      <c r="D217" s="163">
        <v>111090</v>
      </c>
      <c r="E217" s="164" t="s">
        <v>3869</v>
      </c>
      <c r="F217" s="164" t="s">
        <v>3869</v>
      </c>
      <c r="G217" s="165">
        <v>14000</v>
      </c>
      <c r="H217" s="165">
        <v>1</v>
      </c>
      <c r="I217" s="164" t="s">
        <v>187</v>
      </c>
      <c r="J217" s="164" t="s">
        <v>3870</v>
      </c>
      <c r="K217" s="164" t="s">
        <v>3869</v>
      </c>
      <c r="L217" s="165">
        <v>0</v>
      </c>
      <c r="M217" s="165">
        <v>2</v>
      </c>
      <c r="N217" s="164" t="s">
        <v>1718</v>
      </c>
      <c r="O217" s="165">
        <v>0</v>
      </c>
      <c r="P217" s="165">
        <v>0</v>
      </c>
      <c r="Q217" s="165">
        <v>20</v>
      </c>
      <c r="R217" s="164" t="s">
        <v>574</v>
      </c>
      <c r="S217" s="164" t="s">
        <v>575</v>
      </c>
      <c r="T217" s="165">
        <v>295</v>
      </c>
      <c r="U217" s="164" t="s">
        <v>1702</v>
      </c>
      <c r="V217" s="164" t="s">
        <v>1703</v>
      </c>
      <c r="W217" s="165">
        <v>1</v>
      </c>
      <c r="X217" s="165">
        <v>2</v>
      </c>
      <c r="Y217" s="164" t="s">
        <v>194</v>
      </c>
      <c r="Z217" s="164" t="s">
        <v>195</v>
      </c>
      <c r="AA217" s="164" t="s">
        <v>196</v>
      </c>
      <c r="AB217" s="164" t="s">
        <v>187</v>
      </c>
      <c r="AC217" s="164" t="s">
        <v>187</v>
      </c>
      <c r="AD217" s="165">
        <v>1</v>
      </c>
      <c r="AE217" s="164" t="s">
        <v>187</v>
      </c>
      <c r="AF217" s="165">
        <v>18.42313</v>
      </c>
      <c r="AG217" s="166">
        <v>98.993070000000003</v>
      </c>
      <c r="AM217" s="133" t="str" cm="1">
        <f t="array" ref="AM217">IF(ROWS($AN$2:$AN216)&lt;=$AN$2,INDEX($V$3:$V$3000,_xlfn.AGGREGATE(15,3,($B$3:$B$3000=$AM$2)/($B$3:$B$3000=$AM$2)*(ROW($B$3:$B$3000)-ROW($B$2)),ROWS($AN$2:$AN216))),"")</f>
        <v/>
      </c>
      <c r="AN217" s="134" t="str" cm="1">
        <f t="array" ref="AN217">IF(ROWS($AN$2:$AN216)&lt;=$AN$2,INDEX($F$3:$F$3000,_xlfn.AGGREGATE(15,3,($B$3:$B$3000=$AM$2)/($B$3:$B$3000=$AM$2)*(ROW($B$3:$B$3000)-ROW($B$2)),ROWS($AN$2:$AN216))),"")</f>
        <v/>
      </c>
      <c r="AO217" s="135" t="str" cm="1">
        <f t="array" ref="AO217">IF(ROWS($AN$2:$AN216)&lt;=$AN$2,INDEX($G$3:$G$3000,_xlfn.AGGREGATE(15,3,($B$3:$B$3000=$AM$2)/($B$3:$B$3000=$AM$2)*(ROW($B$3:$B$3000)-ROW($B$2)),ROWS($AN$2:$AN216))),"")</f>
        <v/>
      </c>
      <c r="AP217" s="121"/>
      <c r="AT217" s="111"/>
      <c r="AV217" s="134" t="str" cm="1">
        <f t="array" ref="AV217">IF(ROWS($AW$2:$AW216)&lt;=$AW$2,INDEX($AM$3:$AM$792,_xlfn.AGGREGATE(15,3,($AM$3:$AM$792='Planning Template'!$F$45)/($AM$3:$AM$792='Planning Template'!$F$45)*(ROW($AM$3:$AM$792)-ROW($AM$2)),ROWS($AW$2:$AW216))),"")</f>
        <v/>
      </c>
      <c r="AW217" s="134"/>
      <c r="AX217" s="136"/>
      <c r="AY217" s="134"/>
    </row>
    <row r="218" spans="1:51" s="110" customFormat="1" ht="20" customHeight="1">
      <c r="A218" s="125" t="s">
        <v>478</v>
      </c>
      <c r="B218" s="126" t="s">
        <v>56</v>
      </c>
      <c r="C218" s="127">
        <v>16147</v>
      </c>
      <c r="D218" s="163">
        <v>111245</v>
      </c>
      <c r="E218" s="164" t="s">
        <v>2925</v>
      </c>
      <c r="F218" s="164" t="s">
        <v>2925</v>
      </c>
      <c r="G218" s="165">
        <v>8700</v>
      </c>
      <c r="H218" s="165">
        <v>1</v>
      </c>
      <c r="I218" s="164" t="s">
        <v>187</v>
      </c>
      <c r="J218" s="164" t="s">
        <v>2926</v>
      </c>
      <c r="K218" s="164" t="s">
        <v>2927</v>
      </c>
      <c r="L218" s="165">
        <v>4</v>
      </c>
      <c r="M218" s="165">
        <v>2</v>
      </c>
      <c r="N218" s="164" t="s">
        <v>1718</v>
      </c>
      <c r="O218" s="165">
        <v>0</v>
      </c>
      <c r="P218" s="165">
        <v>0</v>
      </c>
      <c r="Q218" s="165">
        <v>20</v>
      </c>
      <c r="R218" s="164" t="s">
        <v>574</v>
      </c>
      <c r="S218" s="164" t="s">
        <v>575</v>
      </c>
      <c r="T218" s="165">
        <v>295</v>
      </c>
      <c r="U218" s="164" t="s">
        <v>1702</v>
      </c>
      <c r="V218" s="164" t="s">
        <v>1703</v>
      </c>
      <c r="W218" s="165">
        <v>2</v>
      </c>
      <c r="X218" s="165">
        <v>2</v>
      </c>
      <c r="Y218" s="164" t="s">
        <v>194</v>
      </c>
      <c r="Z218" s="164" t="s">
        <v>195</v>
      </c>
      <c r="AA218" s="164" t="s">
        <v>196</v>
      </c>
      <c r="AB218" s="164" t="s">
        <v>187</v>
      </c>
      <c r="AC218" s="164" t="s">
        <v>187</v>
      </c>
      <c r="AD218" s="165">
        <v>1</v>
      </c>
      <c r="AE218" s="164" t="s">
        <v>187</v>
      </c>
      <c r="AF218" s="165">
        <v>14.32526</v>
      </c>
      <c r="AG218" s="166">
        <v>102.98638</v>
      </c>
      <c r="AM218" s="133" t="str" cm="1">
        <f t="array" ref="AM218">IF(ROWS($AN$2:$AN217)&lt;=$AN$2,INDEX($V$3:$V$3000,_xlfn.AGGREGATE(15,3,($B$3:$B$3000=$AM$2)/($B$3:$B$3000=$AM$2)*(ROW($B$3:$B$3000)-ROW($B$2)),ROWS($AN$2:$AN217))),"")</f>
        <v/>
      </c>
      <c r="AN218" s="134" t="str" cm="1">
        <f t="array" ref="AN218">IF(ROWS($AN$2:$AN217)&lt;=$AN$2,INDEX($F$3:$F$3000,_xlfn.AGGREGATE(15,3,($B$3:$B$3000=$AM$2)/($B$3:$B$3000=$AM$2)*(ROW($B$3:$B$3000)-ROW($B$2)),ROWS($AN$2:$AN217))),"")</f>
        <v/>
      </c>
      <c r="AO218" s="135" t="str" cm="1">
        <f t="array" ref="AO218">IF(ROWS($AN$2:$AN217)&lt;=$AN$2,INDEX($G$3:$G$3000,_xlfn.AGGREGATE(15,3,($B$3:$B$3000=$AM$2)/($B$3:$B$3000=$AM$2)*(ROW($B$3:$B$3000)-ROW($B$2)),ROWS($AN$2:$AN217))),"")</f>
        <v/>
      </c>
      <c r="AP218" s="121"/>
      <c r="AT218" s="111"/>
      <c r="AV218" s="134" t="str" cm="1">
        <f t="array" ref="AV218">IF(ROWS($AW$2:$AW217)&lt;=$AW$2,INDEX($AM$3:$AM$792,_xlfn.AGGREGATE(15,3,($AM$3:$AM$792='Planning Template'!$F$45)/($AM$3:$AM$792='Planning Template'!$F$45)*(ROW($AM$3:$AM$792)-ROW($AM$2)),ROWS($AW$2:$AW217))),"")</f>
        <v/>
      </c>
      <c r="AW218" s="134"/>
      <c r="AX218" s="136"/>
      <c r="AY218" s="134"/>
    </row>
    <row r="219" spans="1:51" s="110" customFormat="1" ht="20" customHeight="1">
      <c r="A219" s="125" t="s">
        <v>478</v>
      </c>
      <c r="B219" s="126" t="s">
        <v>56</v>
      </c>
      <c r="C219" s="127">
        <v>19254</v>
      </c>
      <c r="D219" s="163">
        <v>115531</v>
      </c>
      <c r="E219" s="164" t="s">
        <v>3523</v>
      </c>
      <c r="F219" s="164" t="s">
        <v>3523</v>
      </c>
      <c r="G219" s="165">
        <v>8700</v>
      </c>
      <c r="H219" s="165">
        <v>1</v>
      </c>
      <c r="I219" s="164" t="s">
        <v>187</v>
      </c>
      <c r="J219" s="164" t="s">
        <v>3524</v>
      </c>
      <c r="K219" s="164" t="s">
        <v>3525</v>
      </c>
      <c r="L219" s="165">
        <v>4</v>
      </c>
      <c r="M219" s="165">
        <v>2</v>
      </c>
      <c r="N219" s="164" t="s">
        <v>1718</v>
      </c>
      <c r="O219" s="165">
        <v>0</v>
      </c>
      <c r="P219" s="165">
        <v>0</v>
      </c>
      <c r="Q219" s="165">
        <v>20</v>
      </c>
      <c r="R219" s="164" t="s">
        <v>574</v>
      </c>
      <c r="S219" s="164" t="s">
        <v>575</v>
      </c>
      <c r="T219" s="165">
        <v>295</v>
      </c>
      <c r="U219" s="164" t="s">
        <v>1702</v>
      </c>
      <c r="V219" s="164" t="s">
        <v>1703</v>
      </c>
      <c r="W219" s="165">
        <v>1</v>
      </c>
      <c r="X219" s="165">
        <v>2</v>
      </c>
      <c r="Y219" s="164" t="s">
        <v>194</v>
      </c>
      <c r="Z219" s="164" t="s">
        <v>195</v>
      </c>
      <c r="AA219" s="164" t="s">
        <v>196</v>
      </c>
      <c r="AB219" s="164" t="s">
        <v>187</v>
      </c>
      <c r="AC219" s="164" t="s">
        <v>187</v>
      </c>
      <c r="AD219" s="165">
        <v>1</v>
      </c>
      <c r="AE219" s="164" t="s">
        <v>187</v>
      </c>
      <c r="AF219" s="165">
        <v>17.699059999999999</v>
      </c>
      <c r="AG219" s="166">
        <v>99.726799999999997</v>
      </c>
      <c r="AM219" s="133" t="str" cm="1">
        <f t="array" ref="AM219">IF(ROWS($AN$2:$AN218)&lt;=$AN$2,INDEX($V$3:$V$3000,_xlfn.AGGREGATE(15,3,($B$3:$B$3000=$AM$2)/($B$3:$B$3000=$AM$2)*(ROW($B$3:$B$3000)-ROW($B$2)),ROWS($AN$2:$AN218))),"")</f>
        <v/>
      </c>
      <c r="AN219" s="134" t="str" cm="1">
        <f t="array" ref="AN219">IF(ROWS($AN$2:$AN218)&lt;=$AN$2,INDEX($F$3:$F$3000,_xlfn.AGGREGATE(15,3,($B$3:$B$3000=$AM$2)/($B$3:$B$3000=$AM$2)*(ROW($B$3:$B$3000)-ROW($B$2)),ROWS($AN$2:$AN218))),"")</f>
        <v/>
      </c>
      <c r="AO219" s="135" t="str" cm="1">
        <f t="array" ref="AO219">IF(ROWS($AN$2:$AN218)&lt;=$AN$2,INDEX($G$3:$G$3000,_xlfn.AGGREGATE(15,3,($B$3:$B$3000=$AM$2)/($B$3:$B$3000=$AM$2)*(ROW($B$3:$B$3000)-ROW($B$2)),ROWS($AN$2:$AN218))),"")</f>
        <v/>
      </c>
      <c r="AP219" s="121"/>
      <c r="AT219" s="111"/>
      <c r="AV219" s="134" t="str" cm="1">
        <f t="array" ref="AV219">IF(ROWS($AW$2:$AW218)&lt;=$AW$2,INDEX($AM$3:$AM$792,_xlfn.AGGREGATE(15,3,($AM$3:$AM$792='Planning Template'!$F$45)/($AM$3:$AM$792='Planning Template'!$F$45)*(ROW($AM$3:$AM$792)-ROW($AM$2)),ROWS($AW$2:$AW218))),"")</f>
        <v/>
      </c>
      <c r="AW219" s="134"/>
      <c r="AX219" s="136"/>
      <c r="AY219" s="134"/>
    </row>
    <row r="220" spans="1:51" s="110" customFormat="1" ht="20" customHeight="1">
      <c r="A220" s="125" t="s">
        <v>478</v>
      </c>
      <c r="B220" s="126" t="s">
        <v>56</v>
      </c>
      <c r="C220" s="127">
        <v>16062</v>
      </c>
      <c r="D220" s="163">
        <v>111101</v>
      </c>
      <c r="E220" s="164" t="s">
        <v>3456</v>
      </c>
      <c r="F220" s="164" t="s">
        <v>3456</v>
      </c>
      <c r="G220" s="165">
        <v>7900</v>
      </c>
      <c r="H220" s="165">
        <v>1</v>
      </c>
      <c r="I220" s="164" t="s">
        <v>187</v>
      </c>
      <c r="J220" s="164" t="s">
        <v>3457</v>
      </c>
      <c r="K220" s="164" t="s">
        <v>3456</v>
      </c>
      <c r="L220" s="165">
        <v>1</v>
      </c>
      <c r="M220" s="165">
        <v>2</v>
      </c>
      <c r="N220" s="164" t="s">
        <v>1718</v>
      </c>
      <c r="O220" s="165">
        <v>0.9</v>
      </c>
      <c r="P220" s="165">
        <v>0.5</v>
      </c>
      <c r="Q220" s="165">
        <v>20</v>
      </c>
      <c r="R220" s="164" t="s">
        <v>574</v>
      </c>
      <c r="S220" s="164" t="s">
        <v>575</v>
      </c>
      <c r="T220" s="165">
        <v>295</v>
      </c>
      <c r="U220" s="164" t="s">
        <v>1702</v>
      </c>
      <c r="V220" s="164" t="s">
        <v>1703</v>
      </c>
      <c r="W220" s="165">
        <v>2</v>
      </c>
      <c r="X220" s="165">
        <v>2</v>
      </c>
      <c r="Y220" s="164" t="s">
        <v>194</v>
      </c>
      <c r="Z220" s="164" t="s">
        <v>195</v>
      </c>
      <c r="AA220" s="164" t="s">
        <v>196</v>
      </c>
      <c r="AB220" s="164" t="s">
        <v>187</v>
      </c>
      <c r="AC220" s="164" t="s">
        <v>187</v>
      </c>
      <c r="AD220" s="165">
        <v>1</v>
      </c>
      <c r="AE220" s="164" t="s">
        <v>209</v>
      </c>
      <c r="AF220" s="165">
        <v>17.700859999999999</v>
      </c>
      <c r="AG220" s="166">
        <v>103.99928</v>
      </c>
      <c r="AM220" s="133" t="str" cm="1">
        <f t="array" ref="AM220">IF(ROWS($AN$2:$AN219)&lt;=$AN$2,INDEX($V$3:$V$3000,_xlfn.AGGREGATE(15,3,($B$3:$B$3000=$AM$2)/($B$3:$B$3000=$AM$2)*(ROW($B$3:$B$3000)-ROW($B$2)),ROWS($AN$2:$AN219))),"")</f>
        <v/>
      </c>
      <c r="AN220" s="134" t="str" cm="1">
        <f t="array" ref="AN220">IF(ROWS($AN$2:$AN219)&lt;=$AN$2,INDEX($F$3:$F$3000,_xlfn.AGGREGATE(15,3,($B$3:$B$3000=$AM$2)/($B$3:$B$3000=$AM$2)*(ROW($B$3:$B$3000)-ROW($B$2)),ROWS($AN$2:$AN219))),"")</f>
        <v/>
      </c>
      <c r="AO220" s="135" t="str" cm="1">
        <f t="array" ref="AO220">IF(ROWS($AN$2:$AN219)&lt;=$AN$2,INDEX($G$3:$G$3000,_xlfn.AGGREGATE(15,3,($B$3:$B$3000=$AM$2)/($B$3:$B$3000=$AM$2)*(ROW($B$3:$B$3000)-ROW($B$2)),ROWS($AN$2:$AN219))),"")</f>
        <v/>
      </c>
      <c r="AP220" s="121"/>
      <c r="AT220" s="111"/>
      <c r="AV220" s="134" t="str" cm="1">
        <f t="array" ref="AV220">IF(ROWS($AW$2:$AW219)&lt;=$AW$2,INDEX($AM$3:$AM$792,_xlfn.AGGREGATE(15,3,($AM$3:$AM$792='Planning Template'!$F$45)/($AM$3:$AM$792='Planning Template'!$F$45)*(ROW($AM$3:$AM$792)-ROW($AM$2)),ROWS($AW$2:$AW219))),"")</f>
        <v/>
      </c>
      <c r="AW220" s="134"/>
      <c r="AX220" s="136"/>
      <c r="AY220" s="134"/>
    </row>
    <row r="221" spans="1:51" s="110" customFormat="1" ht="20" customHeight="1">
      <c r="A221" s="125" t="s">
        <v>478</v>
      </c>
      <c r="B221" s="126" t="s">
        <v>56</v>
      </c>
      <c r="C221" s="127">
        <v>12111</v>
      </c>
      <c r="D221" s="163">
        <v>103841</v>
      </c>
      <c r="E221" s="164" t="s">
        <v>2204</v>
      </c>
      <c r="F221" s="164" t="s">
        <v>2204</v>
      </c>
      <c r="G221" s="165">
        <v>7000</v>
      </c>
      <c r="H221" s="165">
        <v>1</v>
      </c>
      <c r="I221" s="164" t="s">
        <v>187</v>
      </c>
      <c r="J221" s="164" t="s">
        <v>2205</v>
      </c>
      <c r="K221" s="164" t="s">
        <v>2206</v>
      </c>
      <c r="L221" s="165">
        <v>3</v>
      </c>
      <c r="M221" s="165">
        <v>2</v>
      </c>
      <c r="N221" s="164" t="s">
        <v>1718</v>
      </c>
      <c r="O221" s="165">
        <v>1.5</v>
      </c>
      <c r="P221" s="165">
        <v>0.14000000000000001</v>
      </c>
      <c r="Q221" s="165">
        <v>20</v>
      </c>
      <c r="R221" s="164" t="s">
        <v>574</v>
      </c>
      <c r="S221" s="164" t="s">
        <v>575</v>
      </c>
      <c r="T221" s="165">
        <v>295</v>
      </c>
      <c r="U221" s="164" t="s">
        <v>1702</v>
      </c>
      <c r="V221" s="164" t="s">
        <v>1703</v>
      </c>
      <c r="W221" s="165">
        <v>3</v>
      </c>
      <c r="X221" s="165">
        <v>2</v>
      </c>
      <c r="Y221" s="164" t="s">
        <v>194</v>
      </c>
      <c r="Z221" s="164" t="s">
        <v>195</v>
      </c>
      <c r="AA221" s="164" t="s">
        <v>196</v>
      </c>
      <c r="AB221" s="164" t="s">
        <v>187</v>
      </c>
      <c r="AC221" s="164" t="s">
        <v>209</v>
      </c>
      <c r="AD221" s="165">
        <v>1</v>
      </c>
      <c r="AE221" s="164" t="s">
        <v>209</v>
      </c>
      <c r="AF221" s="165">
        <v>18.627189999999999</v>
      </c>
      <c r="AG221" s="166">
        <v>98.890090000000001</v>
      </c>
      <c r="AM221" s="133" t="str" cm="1">
        <f t="array" ref="AM221">IF(ROWS($AN$2:$AN220)&lt;=$AN$2,INDEX($V$3:$V$3000,_xlfn.AGGREGATE(15,3,($B$3:$B$3000=$AM$2)/($B$3:$B$3000=$AM$2)*(ROW($B$3:$B$3000)-ROW($B$2)),ROWS($AN$2:$AN220))),"")</f>
        <v/>
      </c>
      <c r="AN221" s="134" t="str" cm="1">
        <f t="array" ref="AN221">IF(ROWS($AN$2:$AN220)&lt;=$AN$2,INDEX($F$3:$F$3000,_xlfn.AGGREGATE(15,3,($B$3:$B$3000=$AM$2)/($B$3:$B$3000=$AM$2)*(ROW($B$3:$B$3000)-ROW($B$2)),ROWS($AN$2:$AN220))),"")</f>
        <v/>
      </c>
      <c r="AO221" s="135" t="str" cm="1">
        <f t="array" ref="AO221">IF(ROWS($AN$2:$AN220)&lt;=$AN$2,INDEX($G$3:$G$3000,_xlfn.AGGREGATE(15,3,($B$3:$B$3000=$AM$2)/($B$3:$B$3000=$AM$2)*(ROW($B$3:$B$3000)-ROW($B$2)),ROWS($AN$2:$AN220))),"")</f>
        <v/>
      </c>
      <c r="AP221" s="121"/>
      <c r="AT221" s="111"/>
      <c r="AV221" s="134" t="str" cm="1">
        <f t="array" ref="AV221">IF(ROWS($AW$2:$AW220)&lt;=$AW$2,INDEX($AM$3:$AM$792,_xlfn.AGGREGATE(15,3,($AM$3:$AM$792='Planning Template'!$F$45)/($AM$3:$AM$792='Planning Template'!$F$45)*(ROW($AM$3:$AM$792)-ROW($AM$2)),ROWS($AW$2:$AW220))),"")</f>
        <v/>
      </c>
      <c r="AW221" s="134"/>
      <c r="AX221" s="136"/>
      <c r="AY221" s="134"/>
    </row>
    <row r="222" spans="1:51" s="110" customFormat="1" ht="20" customHeight="1">
      <c r="A222" s="125" t="s">
        <v>478</v>
      </c>
      <c r="B222" s="126" t="s">
        <v>56</v>
      </c>
      <c r="C222" s="127">
        <v>19262</v>
      </c>
      <c r="D222" s="163">
        <v>115537</v>
      </c>
      <c r="E222" s="164" t="s">
        <v>3368</v>
      </c>
      <c r="F222" s="164" t="s">
        <v>3368</v>
      </c>
      <c r="G222" s="165">
        <v>6500</v>
      </c>
      <c r="H222" s="165">
        <v>1</v>
      </c>
      <c r="I222" s="164" t="s">
        <v>187</v>
      </c>
      <c r="J222" s="164" t="s">
        <v>1442</v>
      </c>
      <c r="K222" s="164" t="s">
        <v>1443</v>
      </c>
      <c r="L222" s="165">
        <v>5</v>
      </c>
      <c r="M222" s="165">
        <v>2</v>
      </c>
      <c r="N222" s="164" t="s">
        <v>1718</v>
      </c>
      <c r="O222" s="165">
        <v>0</v>
      </c>
      <c r="P222" s="165">
        <v>0</v>
      </c>
      <c r="Q222" s="165">
        <v>20</v>
      </c>
      <c r="R222" s="164" t="s">
        <v>574</v>
      </c>
      <c r="S222" s="164" t="s">
        <v>575</v>
      </c>
      <c r="T222" s="165">
        <v>295</v>
      </c>
      <c r="U222" s="164" t="s">
        <v>1702</v>
      </c>
      <c r="V222" s="164" t="s">
        <v>1703</v>
      </c>
      <c r="W222" s="165">
        <v>1</v>
      </c>
      <c r="X222" s="165">
        <v>2</v>
      </c>
      <c r="Y222" s="164" t="s">
        <v>194</v>
      </c>
      <c r="Z222" s="164" t="s">
        <v>195</v>
      </c>
      <c r="AA222" s="164" t="s">
        <v>196</v>
      </c>
      <c r="AB222" s="164" t="s">
        <v>187</v>
      </c>
      <c r="AC222" s="164" t="s">
        <v>187</v>
      </c>
      <c r="AD222" s="165">
        <v>1</v>
      </c>
      <c r="AE222" s="164" t="s">
        <v>187</v>
      </c>
      <c r="AF222" s="165">
        <v>14.888085999999999</v>
      </c>
      <c r="AG222" s="166">
        <v>100.8608</v>
      </c>
      <c r="AM222" s="133" t="str" cm="1">
        <f t="array" ref="AM222">IF(ROWS($AN$2:$AN221)&lt;=$AN$2,INDEX($V$3:$V$3000,_xlfn.AGGREGATE(15,3,($B$3:$B$3000=$AM$2)/($B$3:$B$3000=$AM$2)*(ROW($B$3:$B$3000)-ROW($B$2)),ROWS($AN$2:$AN221))),"")</f>
        <v/>
      </c>
      <c r="AN222" s="134" t="str" cm="1">
        <f t="array" ref="AN222">IF(ROWS($AN$2:$AN221)&lt;=$AN$2,INDEX($F$3:$F$3000,_xlfn.AGGREGATE(15,3,($B$3:$B$3000=$AM$2)/($B$3:$B$3000=$AM$2)*(ROW($B$3:$B$3000)-ROW($B$2)),ROWS($AN$2:$AN221))),"")</f>
        <v/>
      </c>
      <c r="AO222" s="135" t="str" cm="1">
        <f t="array" ref="AO222">IF(ROWS($AN$2:$AN221)&lt;=$AN$2,INDEX($G$3:$G$3000,_xlfn.AGGREGATE(15,3,($B$3:$B$3000=$AM$2)/($B$3:$B$3000=$AM$2)*(ROW($B$3:$B$3000)-ROW($B$2)),ROWS($AN$2:$AN221))),"")</f>
        <v/>
      </c>
      <c r="AP222" s="121"/>
      <c r="AT222" s="111"/>
      <c r="AW222" s="134"/>
      <c r="AX222" s="136"/>
      <c r="AY222" s="134"/>
    </row>
    <row r="223" spans="1:51" s="110" customFormat="1" ht="20" customHeight="1">
      <c r="A223" s="125" t="s">
        <v>478</v>
      </c>
      <c r="B223" s="126" t="s">
        <v>56</v>
      </c>
      <c r="C223" s="127">
        <v>19263</v>
      </c>
      <c r="D223" s="163">
        <v>115538</v>
      </c>
      <c r="E223" s="164" t="s">
        <v>1953</v>
      </c>
      <c r="F223" s="164" t="s">
        <v>1953</v>
      </c>
      <c r="G223" s="165">
        <v>2200</v>
      </c>
      <c r="H223" s="165">
        <v>1</v>
      </c>
      <c r="I223" s="164" t="s">
        <v>187</v>
      </c>
      <c r="J223" s="164" t="s">
        <v>634</v>
      </c>
      <c r="K223" s="164" t="s">
        <v>635</v>
      </c>
      <c r="L223" s="165">
        <v>0</v>
      </c>
      <c r="M223" s="165">
        <v>2</v>
      </c>
      <c r="N223" s="164" t="s">
        <v>1718</v>
      </c>
      <c r="O223" s="165">
        <v>0</v>
      </c>
      <c r="P223" s="165">
        <v>0</v>
      </c>
      <c r="Q223" s="165">
        <v>20</v>
      </c>
      <c r="R223" s="164" t="s">
        <v>574</v>
      </c>
      <c r="S223" s="164" t="s">
        <v>575</v>
      </c>
      <c r="T223" s="165">
        <v>295</v>
      </c>
      <c r="U223" s="164" t="s">
        <v>1702</v>
      </c>
      <c r="V223" s="164" t="s">
        <v>1703</v>
      </c>
      <c r="W223" s="165">
        <v>2</v>
      </c>
      <c r="X223" s="165">
        <v>2</v>
      </c>
      <c r="Y223" s="164" t="s">
        <v>194</v>
      </c>
      <c r="Z223" s="164" t="s">
        <v>195</v>
      </c>
      <c r="AA223" s="164" t="s">
        <v>196</v>
      </c>
      <c r="AB223" s="164" t="s">
        <v>187</v>
      </c>
      <c r="AC223" s="164" t="s">
        <v>187</v>
      </c>
      <c r="AD223" s="165">
        <v>1</v>
      </c>
      <c r="AE223" s="164" t="s">
        <v>187</v>
      </c>
      <c r="AF223" s="165">
        <v>17.293333000000001</v>
      </c>
      <c r="AG223" s="166">
        <v>103.636667</v>
      </c>
      <c r="AM223" s="133" t="str" cm="1">
        <f t="array" ref="AM223">IF(ROWS($AN$2:$AN222)&lt;=$AN$2,INDEX($V$3:$V$3000,_xlfn.AGGREGATE(15,3,($B$3:$B$3000=$AM$2)/($B$3:$B$3000=$AM$2)*(ROW($B$3:$B$3000)-ROW($B$2)),ROWS($AN$2:$AN222))),"")</f>
        <v/>
      </c>
      <c r="AN223" s="134" t="str" cm="1">
        <f t="array" ref="AN223">IF(ROWS($AN$2:$AN222)&lt;=$AN$2,INDEX($F$3:$F$3000,_xlfn.AGGREGATE(15,3,($B$3:$B$3000=$AM$2)/($B$3:$B$3000=$AM$2)*(ROW($B$3:$B$3000)-ROW($B$2)),ROWS($AN$2:$AN222))),"")</f>
        <v/>
      </c>
      <c r="AO223" s="135" t="str" cm="1">
        <f t="array" ref="AO223">IF(ROWS($AN$2:$AN222)&lt;=$AN$2,INDEX($G$3:$G$3000,_xlfn.AGGREGATE(15,3,($B$3:$B$3000=$AM$2)/($B$3:$B$3000=$AM$2)*(ROW($B$3:$B$3000)-ROW($B$2)),ROWS($AN$2:$AN222))),"")</f>
        <v/>
      </c>
      <c r="AP223" s="121"/>
      <c r="AT223" s="111"/>
      <c r="AW223" s="134"/>
      <c r="AX223" s="136"/>
      <c r="AY223" s="134"/>
    </row>
    <row r="224" spans="1:51" s="110" customFormat="1" ht="20" customHeight="1">
      <c r="A224" s="125" t="s">
        <v>480</v>
      </c>
      <c r="B224" s="126" t="s">
        <v>63</v>
      </c>
      <c r="C224" s="127">
        <v>15193</v>
      </c>
      <c r="D224" s="163">
        <v>109720</v>
      </c>
      <c r="E224" s="164" t="s">
        <v>3841</v>
      </c>
      <c r="F224" s="164" t="s">
        <v>3841</v>
      </c>
      <c r="G224" s="165">
        <v>107000</v>
      </c>
      <c r="H224" s="165">
        <v>1</v>
      </c>
      <c r="I224" s="164" t="s">
        <v>187</v>
      </c>
      <c r="J224" s="164" t="s">
        <v>3842</v>
      </c>
      <c r="K224" s="164" t="s">
        <v>3843</v>
      </c>
      <c r="L224" s="165">
        <v>3</v>
      </c>
      <c r="M224" s="165">
        <v>2</v>
      </c>
      <c r="N224" s="164" t="s">
        <v>1718</v>
      </c>
      <c r="O224" s="165">
        <v>0.19</v>
      </c>
      <c r="P224" s="165">
        <v>0.17</v>
      </c>
      <c r="Q224" s="165">
        <v>20</v>
      </c>
      <c r="R224" s="164" t="s">
        <v>574</v>
      </c>
      <c r="S224" s="164" t="s">
        <v>575</v>
      </c>
      <c r="T224" s="165">
        <v>295</v>
      </c>
      <c r="U224" s="164" t="s">
        <v>1702</v>
      </c>
      <c r="V224" s="164" t="s">
        <v>1703</v>
      </c>
      <c r="W224" s="165">
        <v>4</v>
      </c>
      <c r="X224" s="165">
        <v>2</v>
      </c>
      <c r="Y224" s="164" t="s">
        <v>194</v>
      </c>
      <c r="Z224" s="164" t="s">
        <v>195</v>
      </c>
      <c r="AA224" s="164" t="s">
        <v>196</v>
      </c>
      <c r="AB224" s="164" t="s">
        <v>187</v>
      </c>
      <c r="AC224" s="164" t="s">
        <v>209</v>
      </c>
      <c r="AD224" s="165">
        <v>2</v>
      </c>
      <c r="AE224" s="164" t="s">
        <v>209</v>
      </c>
      <c r="AF224" s="165">
        <v>21.017285000000001</v>
      </c>
      <c r="AG224" s="166">
        <v>105.79723799999999</v>
      </c>
      <c r="AM224" s="133" t="str" cm="1">
        <f t="array" ref="AM224">IF(ROWS($AN$2:$AN223)&lt;=$AN$2,INDEX($V$3:$V$3000,_xlfn.AGGREGATE(15,3,($B$3:$B$3000=$AM$2)/($B$3:$B$3000=$AM$2)*(ROW($B$3:$B$3000)-ROW($B$2)),ROWS($AN$2:$AN223))),"")</f>
        <v/>
      </c>
      <c r="AN224" s="134" t="str" cm="1">
        <f t="array" ref="AN224">IF(ROWS($AN$2:$AN223)&lt;=$AN$2,INDEX($F$3:$F$3000,_xlfn.AGGREGATE(15,3,($B$3:$B$3000=$AM$2)/($B$3:$B$3000=$AM$2)*(ROW($B$3:$B$3000)-ROW($B$2)),ROWS($AN$2:$AN223))),"")</f>
        <v/>
      </c>
      <c r="AO224" s="135" t="str" cm="1">
        <f t="array" ref="AO224">IF(ROWS($AN$2:$AN223)&lt;=$AN$2,INDEX($G$3:$G$3000,_xlfn.AGGREGATE(15,3,($B$3:$B$3000=$AM$2)/($B$3:$B$3000=$AM$2)*(ROW($B$3:$B$3000)-ROW($B$2)),ROWS($AN$2:$AN223))),"")</f>
        <v/>
      </c>
      <c r="AP224" s="121"/>
      <c r="AT224" s="111"/>
      <c r="AW224" s="134"/>
      <c r="AX224" s="136"/>
      <c r="AY224" s="134"/>
    </row>
    <row r="225" spans="1:51" s="110" customFormat="1" ht="20" customHeight="1">
      <c r="A225" s="125" t="s">
        <v>480</v>
      </c>
      <c r="B225" s="126" t="s">
        <v>63</v>
      </c>
      <c r="C225" s="127">
        <v>18566</v>
      </c>
      <c r="D225" s="163">
        <v>114183</v>
      </c>
      <c r="E225" s="164" t="s">
        <v>3315</v>
      </c>
      <c r="F225" s="164" t="s">
        <v>3315</v>
      </c>
      <c r="G225" s="165">
        <v>6100</v>
      </c>
      <c r="H225" s="165">
        <v>1</v>
      </c>
      <c r="I225" s="164" t="s">
        <v>187</v>
      </c>
      <c r="J225" s="164" t="s">
        <v>3316</v>
      </c>
      <c r="K225" s="164" t="s">
        <v>3317</v>
      </c>
      <c r="L225" s="165">
        <v>4</v>
      </c>
      <c r="M225" s="165">
        <v>2</v>
      </c>
      <c r="N225" s="164" t="s">
        <v>1718</v>
      </c>
      <c r="O225" s="165">
        <v>0.5</v>
      </c>
      <c r="P225" s="165">
        <v>0</v>
      </c>
      <c r="Q225" s="165">
        <v>20</v>
      </c>
      <c r="R225" s="164" t="s">
        <v>574</v>
      </c>
      <c r="S225" s="164" t="s">
        <v>575</v>
      </c>
      <c r="T225" s="165">
        <v>295</v>
      </c>
      <c r="U225" s="164" t="s">
        <v>1702</v>
      </c>
      <c r="V225" s="164" t="s">
        <v>1703</v>
      </c>
      <c r="W225" s="165">
        <v>6</v>
      </c>
      <c r="X225" s="165">
        <v>2</v>
      </c>
      <c r="Y225" s="164" t="s">
        <v>194</v>
      </c>
      <c r="Z225" s="164" t="s">
        <v>195</v>
      </c>
      <c r="AA225" s="164" t="s">
        <v>196</v>
      </c>
      <c r="AB225" s="164" t="s">
        <v>187</v>
      </c>
      <c r="AC225" s="164" t="s">
        <v>209</v>
      </c>
      <c r="AD225" s="165">
        <v>1</v>
      </c>
      <c r="AE225" s="164" t="s">
        <v>209</v>
      </c>
      <c r="AF225" s="165">
        <v>22.305499999999999</v>
      </c>
      <c r="AG225" s="166">
        <v>103.58307000000001</v>
      </c>
      <c r="AM225" s="133" t="str" cm="1">
        <f t="array" ref="AM225">IF(ROWS($AN$2:$AN224)&lt;=$AN$2,INDEX($V$3:$V$3000,_xlfn.AGGREGATE(15,3,($B$3:$B$3000=$AM$2)/($B$3:$B$3000=$AM$2)*(ROW($B$3:$B$3000)-ROW($B$2)),ROWS($AN$2:$AN224))),"")</f>
        <v/>
      </c>
      <c r="AN225" s="134" t="str" cm="1">
        <f t="array" ref="AN225">IF(ROWS($AN$2:$AN224)&lt;=$AN$2,INDEX($F$3:$F$3000,_xlfn.AGGREGATE(15,3,($B$3:$B$3000=$AM$2)/($B$3:$B$3000=$AM$2)*(ROW($B$3:$B$3000)-ROW($B$2)),ROWS($AN$2:$AN224))),"")</f>
        <v/>
      </c>
      <c r="AO225" s="135" t="str" cm="1">
        <f t="array" ref="AO225">IF(ROWS($AN$2:$AN224)&lt;=$AN$2,INDEX($G$3:$G$3000,_xlfn.AGGREGATE(15,3,($B$3:$B$3000=$AM$2)/($B$3:$B$3000=$AM$2)*(ROW($B$3:$B$3000)-ROW($B$2)),ROWS($AN$2:$AN224))),"")</f>
        <v/>
      </c>
      <c r="AP225" s="121"/>
      <c r="AT225" s="111"/>
      <c r="AW225" s="134"/>
      <c r="AX225" s="136"/>
      <c r="AY225" s="134"/>
    </row>
    <row r="226" spans="1:51" s="110" customFormat="1" ht="20" customHeight="1">
      <c r="A226" s="125" t="s">
        <v>480</v>
      </c>
      <c r="B226" s="126" t="s">
        <v>63</v>
      </c>
      <c r="C226" s="127">
        <v>14383</v>
      </c>
      <c r="D226" s="145">
        <v>108016</v>
      </c>
      <c r="E226" s="146" t="s">
        <v>1955</v>
      </c>
      <c r="F226" s="146" t="s">
        <v>1955</v>
      </c>
      <c r="G226" s="147">
        <v>247000</v>
      </c>
      <c r="H226" s="147">
        <v>4</v>
      </c>
      <c r="I226" s="146" t="s">
        <v>209</v>
      </c>
      <c r="J226" s="146" t="s">
        <v>1954</v>
      </c>
      <c r="K226" s="146" t="s">
        <v>1955</v>
      </c>
      <c r="L226" s="147">
        <v>2</v>
      </c>
      <c r="M226" s="147">
        <v>2</v>
      </c>
      <c r="N226" s="146" t="s">
        <v>1718</v>
      </c>
      <c r="O226" s="147">
        <v>4.5</v>
      </c>
      <c r="P226" s="147">
        <v>2.5</v>
      </c>
      <c r="Q226" s="147">
        <v>20</v>
      </c>
      <c r="R226" s="146" t="s">
        <v>574</v>
      </c>
      <c r="S226" s="146" t="s">
        <v>575</v>
      </c>
      <c r="T226" s="147">
        <v>295</v>
      </c>
      <c r="U226" s="146" t="s">
        <v>1702</v>
      </c>
      <c r="V226" s="146" t="s">
        <v>1703</v>
      </c>
      <c r="W226" s="147">
        <v>4</v>
      </c>
      <c r="X226" s="147">
        <v>2</v>
      </c>
      <c r="Y226" s="146" t="s">
        <v>194</v>
      </c>
      <c r="Z226" s="146" t="s">
        <v>195</v>
      </c>
      <c r="AA226" s="146" t="s">
        <v>196</v>
      </c>
      <c r="AB226" s="146" t="s">
        <v>187</v>
      </c>
      <c r="AC226" s="146" t="s">
        <v>187</v>
      </c>
      <c r="AD226" s="148"/>
      <c r="AE226" s="146" t="s">
        <v>209</v>
      </c>
      <c r="AF226" s="147">
        <v>18.486350000000002</v>
      </c>
      <c r="AG226" s="149">
        <v>105.26519999999999</v>
      </c>
      <c r="AM226" s="133" t="str" cm="1">
        <f t="array" ref="AM226">IF(ROWS($AN$2:$AN225)&lt;=$AN$2,INDEX($V$3:$V$3000,_xlfn.AGGREGATE(15,3,($B$3:$B$3000=$AM$2)/($B$3:$B$3000=$AM$2)*(ROW($B$3:$B$3000)-ROW($B$2)),ROWS($AN$2:$AN225))),"")</f>
        <v/>
      </c>
      <c r="AN226" s="134" t="str" cm="1">
        <f t="array" ref="AN226">IF(ROWS($AN$2:$AN225)&lt;=$AN$2,INDEX($F$3:$F$3000,_xlfn.AGGREGATE(15,3,($B$3:$B$3000=$AM$2)/($B$3:$B$3000=$AM$2)*(ROW($B$3:$B$3000)-ROW($B$2)),ROWS($AN$2:$AN225))),"")</f>
        <v/>
      </c>
      <c r="AO226" s="135" t="str" cm="1">
        <f t="array" ref="AO226">IF(ROWS($AN$2:$AN225)&lt;=$AN$2,INDEX($G$3:$G$3000,_xlfn.AGGREGATE(15,3,($B$3:$B$3000=$AM$2)/($B$3:$B$3000=$AM$2)*(ROW($B$3:$B$3000)-ROW($B$2)),ROWS($AN$2:$AN225))),"")</f>
        <v/>
      </c>
      <c r="AP226" s="121"/>
      <c r="AT226" s="111"/>
      <c r="AW226" s="134"/>
      <c r="AX226" s="136"/>
      <c r="AY226" s="134"/>
    </row>
    <row r="227" spans="1:51" s="110" customFormat="1" ht="20" customHeight="1">
      <c r="A227" s="125" t="s">
        <v>483</v>
      </c>
      <c r="B227" s="126" t="s">
        <v>55</v>
      </c>
      <c r="C227" s="127">
        <v>11277</v>
      </c>
      <c r="D227" s="163">
        <v>101940</v>
      </c>
      <c r="E227" s="164" t="s">
        <v>1443</v>
      </c>
      <c r="F227" s="164" t="s">
        <v>1443</v>
      </c>
      <c r="G227" s="165">
        <v>3300</v>
      </c>
      <c r="H227" s="165">
        <v>1</v>
      </c>
      <c r="I227" s="164" t="s">
        <v>187</v>
      </c>
      <c r="J227" s="164" t="s">
        <v>1442</v>
      </c>
      <c r="K227" s="164" t="s">
        <v>1443</v>
      </c>
      <c r="L227" s="165">
        <v>5</v>
      </c>
      <c r="M227" s="165">
        <v>2</v>
      </c>
      <c r="N227" s="164" t="s">
        <v>1718</v>
      </c>
      <c r="O227" s="165">
        <v>0.6</v>
      </c>
      <c r="P227" s="165">
        <v>0.153</v>
      </c>
      <c r="Q227" s="165">
        <v>20</v>
      </c>
      <c r="R227" s="164" t="s">
        <v>574</v>
      </c>
      <c r="S227" s="164" t="s">
        <v>575</v>
      </c>
      <c r="T227" s="165">
        <v>303</v>
      </c>
      <c r="U227" s="164" t="s">
        <v>1444</v>
      </c>
      <c r="V227" s="164" t="s">
        <v>1443</v>
      </c>
      <c r="W227" s="165">
        <v>29</v>
      </c>
      <c r="X227" s="165">
        <v>2</v>
      </c>
      <c r="Y227" s="164" t="s">
        <v>194</v>
      </c>
      <c r="Z227" s="164" t="s">
        <v>195</v>
      </c>
      <c r="AA227" s="164" t="s">
        <v>196</v>
      </c>
      <c r="AB227" s="164" t="s">
        <v>187</v>
      </c>
      <c r="AC227" s="164" t="s">
        <v>209</v>
      </c>
      <c r="AD227" s="165">
        <v>1</v>
      </c>
      <c r="AE227" s="164" t="s">
        <v>209</v>
      </c>
      <c r="AF227" s="165">
        <v>13.093580867662901</v>
      </c>
      <c r="AG227" s="166">
        <v>103.19766098186901</v>
      </c>
      <c r="AM227" s="133" t="str" cm="1">
        <f t="array" ref="AM227">IF(ROWS($AN$2:$AN226)&lt;=$AN$2,INDEX($V$3:$V$3000,_xlfn.AGGREGATE(15,3,($B$3:$B$3000=$AM$2)/($B$3:$B$3000=$AM$2)*(ROW($B$3:$B$3000)-ROW($B$2)),ROWS($AN$2:$AN226))),"")</f>
        <v/>
      </c>
      <c r="AN227" s="134" t="str" cm="1">
        <f t="array" ref="AN227">IF(ROWS($AN$2:$AN226)&lt;=$AN$2,INDEX($F$3:$F$3000,_xlfn.AGGREGATE(15,3,($B$3:$B$3000=$AM$2)/($B$3:$B$3000=$AM$2)*(ROW($B$3:$B$3000)-ROW($B$2)),ROWS($AN$2:$AN226))),"")</f>
        <v/>
      </c>
      <c r="AO227" s="135" t="str" cm="1">
        <f t="array" ref="AO227">IF(ROWS($AN$2:$AN226)&lt;=$AN$2,INDEX($G$3:$G$3000,_xlfn.AGGREGATE(15,3,($B$3:$B$3000=$AM$2)/($B$3:$B$3000=$AM$2)*(ROW($B$3:$B$3000)-ROW($B$2)),ROWS($AN$2:$AN226))),"")</f>
        <v/>
      </c>
      <c r="AP227" s="121"/>
      <c r="AT227" s="111"/>
      <c r="AW227" s="134"/>
      <c r="AX227" s="136"/>
      <c r="AY227" s="134"/>
    </row>
    <row r="228" spans="1:51" s="110" customFormat="1" ht="20" customHeight="1">
      <c r="A228" s="125" t="s">
        <v>471</v>
      </c>
      <c r="B228" s="126" t="s">
        <v>65</v>
      </c>
      <c r="C228" s="127">
        <v>11277</v>
      </c>
      <c r="D228" s="163">
        <v>101940</v>
      </c>
      <c r="E228" s="164" t="s">
        <v>1443</v>
      </c>
      <c r="F228" s="164" t="s">
        <v>1443</v>
      </c>
      <c r="G228" s="165">
        <v>141000</v>
      </c>
      <c r="H228" s="165">
        <v>1</v>
      </c>
      <c r="I228" s="164" t="s">
        <v>187</v>
      </c>
      <c r="J228" s="164" t="s">
        <v>1442</v>
      </c>
      <c r="K228" s="164" t="s">
        <v>1443</v>
      </c>
      <c r="L228" s="165">
        <v>5</v>
      </c>
      <c r="M228" s="165">
        <v>2</v>
      </c>
      <c r="N228" s="164" t="s">
        <v>1718</v>
      </c>
      <c r="O228" s="165">
        <v>0.6</v>
      </c>
      <c r="P228" s="165">
        <v>0.3</v>
      </c>
      <c r="Q228" s="165">
        <v>20</v>
      </c>
      <c r="R228" s="164" t="s">
        <v>574</v>
      </c>
      <c r="S228" s="164" t="s">
        <v>575</v>
      </c>
      <c r="T228" s="165">
        <v>303</v>
      </c>
      <c r="U228" s="164" t="s">
        <v>1444</v>
      </c>
      <c r="V228" s="164" t="s">
        <v>1443</v>
      </c>
      <c r="W228" s="165">
        <v>29</v>
      </c>
      <c r="X228" s="165">
        <v>2</v>
      </c>
      <c r="Y228" s="164" t="s">
        <v>194</v>
      </c>
      <c r="Z228" s="164" t="s">
        <v>195</v>
      </c>
      <c r="AA228" s="164" t="s">
        <v>196</v>
      </c>
      <c r="AB228" s="164" t="s">
        <v>187</v>
      </c>
      <c r="AC228" s="164" t="s">
        <v>209</v>
      </c>
      <c r="AD228" s="165">
        <v>3</v>
      </c>
      <c r="AE228" s="164" t="s">
        <v>209</v>
      </c>
      <c r="AF228" s="165">
        <v>17.965764801804099</v>
      </c>
      <c r="AG228" s="166">
        <v>102.61756493867099</v>
      </c>
      <c r="AM228" s="133" t="str" cm="1">
        <f t="array" ref="AM228">IF(ROWS($AN$2:$AN227)&lt;=$AN$2,INDEX($V$3:$V$3000,_xlfn.AGGREGATE(15,3,($B$3:$B$3000=$AM$2)/($B$3:$B$3000=$AM$2)*(ROW($B$3:$B$3000)-ROW($B$2)),ROWS($AN$2:$AN227))),"")</f>
        <v/>
      </c>
      <c r="AN228" s="134" t="str" cm="1">
        <f t="array" ref="AN228">IF(ROWS($AN$2:$AN227)&lt;=$AN$2,INDEX($F$3:$F$3000,_xlfn.AGGREGATE(15,3,($B$3:$B$3000=$AM$2)/($B$3:$B$3000=$AM$2)*(ROW($B$3:$B$3000)-ROW($B$2)),ROWS($AN$2:$AN227))),"")</f>
        <v/>
      </c>
      <c r="AO228" s="135" t="str" cm="1">
        <f t="array" ref="AO228">IF(ROWS($AN$2:$AN227)&lt;=$AN$2,INDEX($G$3:$G$3000,_xlfn.AGGREGATE(15,3,($B$3:$B$3000=$AM$2)/($B$3:$B$3000=$AM$2)*(ROW($B$3:$B$3000)-ROW($B$2)),ROWS($AN$2:$AN227))),"")</f>
        <v/>
      </c>
      <c r="AP228" s="121"/>
      <c r="AT228" s="111"/>
      <c r="AW228" s="134"/>
      <c r="AX228" s="136"/>
      <c r="AY228" s="134"/>
    </row>
    <row r="229" spans="1:51" s="110" customFormat="1" ht="20" customHeight="1">
      <c r="A229" s="125" t="s">
        <v>471</v>
      </c>
      <c r="B229" s="126" t="s">
        <v>65</v>
      </c>
      <c r="C229" s="127">
        <v>12666</v>
      </c>
      <c r="D229" s="163">
        <v>104960</v>
      </c>
      <c r="E229" s="164" t="s">
        <v>3525</v>
      </c>
      <c r="F229" s="164" t="s">
        <v>3525</v>
      </c>
      <c r="G229" s="165">
        <v>37000</v>
      </c>
      <c r="H229" s="165">
        <v>1</v>
      </c>
      <c r="I229" s="164" t="s">
        <v>187</v>
      </c>
      <c r="J229" s="164" t="s">
        <v>3524</v>
      </c>
      <c r="K229" s="164" t="s">
        <v>3525</v>
      </c>
      <c r="L229" s="165">
        <v>4</v>
      </c>
      <c r="M229" s="165">
        <v>2</v>
      </c>
      <c r="N229" s="164" t="s">
        <v>1718</v>
      </c>
      <c r="O229" s="165">
        <v>0</v>
      </c>
      <c r="P229" s="165">
        <v>0</v>
      </c>
      <c r="Q229" s="165">
        <v>20</v>
      </c>
      <c r="R229" s="164" t="s">
        <v>574</v>
      </c>
      <c r="S229" s="164" t="s">
        <v>575</v>
      </c>
      <c r="T229" s="165">
        <v>303</v>
      </c>
      <c r="U229" s="164" t="s">
        <v>1444</v>
      </c>
      <c r="V229" s="164" t="s">
        <v>1443</v>
      </c>
      <c r="W229" s="165">
        <v>2</v>
      </c>
      <c r="X229" s="165">
        <v>2</v>
      </c>
      <c r="Y229" s="164" t="s">
        <v>194</v>
      </c>
      <c r="Z229" s="164" t="s">
        <v>195</v>
      </c>
      <c r="AA229" s="164" t="s">
        <v>196</v>
      </c>
      <c r="AB229" s="164" t="s">
        <v>187</v>
      </c>
      <c r="AC229" s="164" t="s">
        <v>187</v>
      </c>
      <c r="AD229" s="165">
        <v>1</v>
      </c>
      <c r="AE229" s="164" t="s">
        <v>187</v>
      </c>
      <c r="AF229" s="165">
        <v>20.013249999999999</v>
      </c>
      <c r="AG229" s="166">
        <v>100.66746000000001</v>
      </c>
      <c r="AM229" s="133" t="str" cm="1">
        <f t="array" ref="AM229">IF(ROWS($AN$2:$AN228)&lt;=$AN$2,INDEX($V$3:$V$3000,_xlfn.AGGREGATE(15,3,($B$3:$B$3000=$AM$2)/($B$3:$B$3000=$AM$2)*(ROW($B$3:$B$3000)-ROW($B$2)),ROWS($AN$2:$AN228))),"")</f>
        <v/>
      </c>
      <c r="AN229" s="134" t="str" cm="1">
        <f t="array" ref="AN229">IF(ROWS($AN$2:$AN228)&lt;=$AN$2,INDEX($F$3:$F$3000,_xlfn.AGGREGATE(15,3,($B$3:$B$3000=$AM$2)/($B$3:$B$3000=$AM$2)*(ROW($B$3:$B$3000)-ROW($B$2)),ROWS($AN$2:$AN228))),"")</f>
        <v/>
      </c>
      <c r="AO229" s="135" t="str" cm="1">
        <f t="array" ref="AO229">IF(ROWS($AN$2:$AN228)&lt;=$AN$2,INDEX($G$3:$G$3000,_xlfn.AGGREGATE(15,3,($B$3:$B$3000=$AM$2)/($B$3:$B$3000=$AM$2)*(ROW($B$3:$B$3000)-ROW($B$2)),ROWS($AN$2:$AN228))),"")</f>
        <v/>
      </c>
      <c r="AP229" s="121"/>
      <c r="AT229" s="111"/>
      <c r="AW229" s="134"/>
      <c r="AX229" s="136"/>
      <c r="AY229" s="134"/>
    </row>
    <row r="230" spans="1:51" s="110" customFormat="1" ht="20" customHeight="1">
      <c r="A230" s="125" t="s">
        <v>471</v>
      </c>
      <c r="B230" s="126" t="s">
        <v>65</v>
      </c>
      <c r="C230" s="127">
        <v>15460</v>
      </c>
      <c r="D230" s="163">
        <v>109994</v>
      </c>
      <c r="E230" s="164" t="s">
        <v>3520</v>
      </c>
      <c r="F230" s="164" t="s">
        <v>3520</v>
      </c>
      <c r="G230" s="165">
        <v>8700</v>
      </c>
      <c r="H230" s="165">
        <v>1</v>
      </c>
      <c r="I230" s="164" t="s">
        <v>187</v>
      </c>
      <c r="J230" s="164" t="s">
        <v>2926</v>
      </c>
      <c r="K230" s="164" t="s">
        <v>2927</v>
      </c>
      <c r="L230" s="165">
        <v>4</v>
      </c>
      <c r="M230" s="165">
        <v>2</v>
      </c>
      <c r="N230" s="164" t="s">
        <v>1718</v>
      </c>
      <c r="O230" s="165">
        <v>0</v>
      </c>
      <c r="P230" s="165">
        <v>0</v>
      </c>
      <c r="Q230" s="165">
        <v>20</v>
      </c>
      <c r="R230" s="164" t="s">
        <v>574</v>
      </c>
      <c r="S230" s="164" t="s">
        <v>575</v>
      </c>
      <c r="T230" s="165">
        <v>303</v>
      </c>
      <c r="U230" s="164" t="s">
        <v>1444</v>
      </c>
      <c r="V230" s="164" t="s">
        <v>1443</v>
      </c>
      <c r="W230" s="165">
        <v>6</v>
      </c>
      <c r="X230" s="165">
        <v>2</v>
      </c>
      <c r="Y230" s="164" t="s">
        <v>194</v>
      </c>
      <c r="Z230" s="164" t="s">
        <v>195</v>
      </c>
      <c r="AA230" s="164" t="s">
        <v>196</v>
      </c>
      <c r="AB230" s="164" t="s">
        <v>187</v>
      </c>
      <c r="AC230" s="164" t="s">
        <v>209</v>
      </c>
      <c r="AD230" s="165">
        <v>1</v>
      </c>
      <c r="AE230" s="164" t="s">
        <v>187</v>
      </c>
      <c r="AF230" s="165">
        <v>17.904373989767802</v>
      </c>
      <c r="AG230" s="166">
        <v>102.713399886695</v>
      </c>
      <c r="AM230" s="133" t="str" cm="1">
        <f t="array" ref="AM230">IF(ROWS($AN$2:$AN229)&lt;=$AN$2,INDEX($V$3:$V$3000,_xlfn.AGGREGATE(15,3,($B$3:$B$3000=$AM$2)/($B$3:$B$3000=$AM$2)*(ROW($B$3:$B$3000)-ROW($B$2)),ROWS($AN$2:$AN229))),"")</f>
        <v/>
      </c>
      <c r="AN230" s="134" t="str" cm="1">
        <f t="array" ref="AN230">IF(ROWS($AN$2:$AN229)&lt;=$AN$2,INDEX($F$3:$F$3000,_xlfn.AGGREGATE(15,3,($B$3:$B$3000=$AM$2)/($B$3:$B$3000=$AM$2)*(ROW($B$3:$B$3000)-ROW($B$2)),ROWS($AN$2:$AN229))),"")</f>
        <v/>
      </c>
      <c r="AO230" s="135" t="str" cm="1">
        <f t="array" ref="AO230">IF(ROWS($AN$2:$AN229)&lt;=$AN$2,INDEX($G$3:$G$3000,_xlfn.AGGREGATE(15,3,($B$3:$B$3000=$AM$2)/($B$3:$B$3000=$AM$2)*(ROW($B$3:$B$3000)-ROW($B$2)),ROWS($AN$2:$AN229))),"")</f>
        <v/>
      </c>
      <c r="AP230" s="121"/>
      <c r="AT230" s="111"/>
      <c r="AW230" s="134"/>
      <c r="AX230" s="136"/>
      <c r="AY230" s="134"/>
    </row>
    <row r="231" spans="1:51" s="110" customFormat="1" ht="20" customHeight="1">
      <c r="A231" s="125" t="s">
        <v>237</v>
      </c>
      <c r="B231" s="126" t="s">
        <v>60</v>
      </c>
      <c r="C231" s="127">
        <v>11277</v>
      </c>
      <c r="D231" s="163">
        <v>101940</v>
      </c>
      <c r="E231" s="164" t="s">
        <v>1443</v>
      </c>
      <c r="F231" s="164" t="s">
        <v>1443</v>
      </c>
      <c r="G231" s="165">
        <v>29000</v>
      </c>
      <c r="H231" s="165">
        <v>1</v>
      </c>
      <c r="I231" s="164" t="s">
        <v>187</v>
      </c>
      <c r="J231" s="164" t="s">
        <v>1442</v>
      </c>
      <c r="K231" s="164" t="s">
        <v>1443</v>
      </c>
      <c r="L231" s="165">
        <v>5</v>
      </c>
      <c r="M231" s="165">
        <v>2</v>
      </c>
      <c r="N231" s="164" t="s">
        <v>1718</v>
      </c>
      <c r="O231" s="165">
        <v>0.5</v>
      </c>
      <c r="P231" s="165">
        <v>0.4</v>
      </c>
      <c r="Q231" s="165">
        <v>20</v>
      </c>
      <c r="R231" s="164" t="s">
        <v>574</v>
      </c>
      <c r="S231" s="164" t="s">
        <v>575</v>
      </c>
      <c r="T231" s="165">
        <v>303</v>
      </c>
      <c r="U231" s="164" t="s">
        <v>1444</v>
      </c>
      <c r="V231" s="164" t="s">
        <v>1443</v>
      </c>
      <c r="W231" s="165">
        <v>29</v>
      </c>
      <c r="X231" s="165">
        <v>2</v>
      </c>
      <c r="Y231" s="164" t="s">
        <v>194</v>
      </c>
      <c r="Z231" s="164" t="s">
        <v>195</v>
      </c>
      <c r="AA231" s="164" t="s">
        <v>196</v>
      </c>
      <c r="AB231" s="164" t="s">
        <v>187</v>
      </c>
      <c r="AC231" s="164" t="s">
        <v>187</v>
      </c>
      <c r="AD231" s="165">
        <v>1</v>
      </c>
      <c r="AE231" s="164" t="s">
        <v>209</v>
      </c>
      <c r="AF231" s="165">
        <v>6.1252350733399199</v>
      </c>
      <c r="AG231" s="166">
        <v>100.364923799793</v>
      </c>
      <c r="AM231" s="133" t="str" cm="1">
        <f t="array" ref="AM231">IF(ROWS($AN$2:$AN230)&lt;=$AN$2,INDEX($V$3:$V$3000,_xlfn.AGGREGATE(15,3,($B$3:$B$3000=$AM$2)/($B$3:$B$3000=$AM$2)*(ROW($B$3:$B$3000)-ROW($B$2)),ROWS($AN$2:$AN230))),"")</f>
        <v/>
      </c>
      <c r="AN231" s="134" t="str" cm="1">
        <f t="array" ref="AN231">IF(ROWS($AN$2:$AN230)&lt;=$AN$2,INDEX($F$3:$F$3000,_xlfn.AGGREGATE(15,3,($B$3:$B$3000=$AM$2)/($B$3:$B$3000=$AM$2)*(ROW($B$3:$B$3000)-ROW($B$2)),ROWS($AN$2:$AN230))),"")</f>
        <v/>
      </c>
      <c r="AO231" s="135" t="str" cm="1">
        <f t="array" ref="AO231">IF(ROWS($AN$2:$AN230)&lt;=$AN$2,INDEX($G$3:$G$3000,_xlfn.AGGREGATE(15,3,($B$3:$B$3000=$AM$2)/($B$3:$B$3000=$AM$2)*(ROW($B$3:$B$3000)-ROW($B$2)),ROWS($AN$2:$AN230))),"")</f>
        <v/>
      </c>
      <c r="AP231" s="121"/>
      <c r="AT231" s="111"/>
      <c r="AW231" s="134"/>
      <c r="AX231" s="136"/>
      <c r="AY231" s="134"/>
    </row>
    <row r="232" spans="1:51" s="110" customFormat="1" ht="20" customHeight="1">
      <c r="A232" s="125" t="s">
        <v>237</v>
      </c>
      <c r="B232" s="126" t="s">
        <v>60</v>
      </c>
      <c r="C232" s="127">
        <v>15067</v>
      </c>
      <c r="D232" s="163">
        <v>109517</v>
      </c>
      <c r="E232" s="164" t="s">
        <v>3061</v>
      </c>
      <c r="F232" s="164" t="s">
        <v>3061</v>
      </c>
      <c r="G232" s="165">
        <v>4100</v>
      </c>
      <c r="H232" s="165">
        <v>1</v>
      </c>
      <c r="I232" s="164" t="s">
        <v>187</v>
      </c>
      <c r="J232" s="164" t="s">
        <v>3062</v>
      </c>
      <c r="K232" s="164" t="s">
        <v>3061</v>
      </c>
      <c r="L232" s="165">
        <v>3</v>
      </c>
      <c r="M232" s="165">
        <v>2</v>
      </c>
      <c r="N232" s="164" t="s">
        <v>1718</v>
      </c>
      <c r="O232" s="165">
        <v>0</v>
      </c>
      <c r="P232" s="165">
        <v>0</v>
      </c>
      <c r="Q232" s="165">
        <v>20</v>
      </c>
      <c r="R232" s="164" t="s">
        <v>574</v>
      </c>
      <c r="S232" s="164" t="s">
        <v>575</v>
      </c>
      <c r="T232" s="165">
        <v>303</v>
      </c>
      <c r="U232" s="164" t="s">
        <v>1444</v>
      </c>
      <c r="V232" s="164" t="s">
        <v>1443</v>
      </c>
      <c r="W232" s="165">
        <v>2</v>
      </c>
      <c r="X232" s="165">
        <v>2</v>
      </c>
      <c r="Y232" s="164" t="s">
        <v>194</v>
      </c>
      <c r="Z232" s="164" t="s">
        <v>195</v>
      </c>
      <c r="AA232" s="164" t="s">
        <v>196</v>
      </c>
      <c r="AB232" s="164" t="s">
        <v>187</v>
      </c>
      <c r="AC232" s="164" t="s">
        <v>209</v>
      </c>
      <c r="AD232" s="165">
        <v>1</v>
      </c>
      <c r="AE232" s="164" t="s">
        <v>187</v>
      </c>
      <c r="AF232" s="165">
        <v>3.1468099999999999</v>
      </c>
      <c r="AG232" s="166">
        <v>101.705878</v>
      </c>
      <c r="AM232" s="133" t="str" cm="1">
        <f t="array" ref="AM232">IF(ROWS($AN$2:$AN231)&lt;=$AN$2,INDEX($V$3:$V$3000,_xlfn.AGGREGATE(15,3,($B$3:$B$3000=$AM$2)/($B$3:$B$3000=$AM$2)*(ROW($B$3:$B$3000)-ROW($B$2)),ROWS($AN$2:$AN231))),"")</f>
        <v/>
      </c>
      <c r="AN232" s="134" t="str" cm="1">
        <f t="array" ref="AN232">IF(ROWS($AN$2:$AN231)&lt;=$AN$2,INDEX($F$3:$F$3000,_xlfn.AGGREGATE(15,3,($B$3:$B$3000=$AM$2)/($B$3:$B$3000=$AM$2)*(ROW($B$3:$B$3000)-ROW($B$2)),ROWS($AN$2:$AN231))),"")</f>
        <v/>
      </c>
      <c r="AO232" s="135" t="str" cm="1">
        <f t="array" ref="AO232">IF(ROWS($AN$2:$AN231)&lt;=$AN$2,INDEX($G$3:$G$3000,_xlfn.AGGREGATE(15,3,($B$3:$B$3000=$AM$2)/($B$3:$B$3000=$AM$2)*(ROW($B$3:$B$3000)-ROW($B$2)),ROWS($AN$2:$AN231))),"")</f>
        <v/>
      </c>
      <c r="AP232" s="121"/>
      <c r="AT232" s="111"/>
      <c r="AW232" s="134"/>
      <c r="AX232" s="136"/>
      <c r="AY232" s="134"/>
    </row>
    <row r="233" spans="1:51" s="110" customFormat="1" ht="20" customHeight="1">
      <c r="A233" s="125" t="s">
        <v>237</v>
      </c>
      <c r="B233" s="126" t="s">
        <v>60</v>
      </c>
      <c r="C233" s="127">
        <v>19271</v>
      </c>
      <c r="D233" s="163">
        <v>115540</v>
      </c>
      <c r="E233" s="164" t="s">
        <v>3063</v>
      </c>
      <c r="F233" s="164" t="s">
        <v>3063</v>
      </c>
      <c r="G233" s="165">
        <v>4100</v>
      </c>
      <c r="H233" s="165">
        <v>1</v>
      </c>
      <c r="I233" s="164" t="s">
        <v>187</v>
      </c>
      <c r="J233" s="164" t="s">
        <v>3062</v>
      </c>
      <c r="K233" s="164" t="s">
        <v>3061</v>
      </c>
      <c r="L233" s="165">
        <v>3</v>
      </c>
      <c r="M233" s="165">
        <v>2</v>
      </c>
      <c r="N233" s="164" t="s">
        <v>1718</v>
      </c>
      <c r="O233" s="165">
        <v>0</v>
      </c>
      <c r="P233" s="165">
        <v>0</v>
      </c>
      <c r="Q233" s="165">
        <v>20</v>
      </c>
      <c r="R233" s="164" t="s">
        <v>574</v>
      </c>
      <c r="S233" s="164" t="s">
        <v>575</v>
      </c>
      <c r="T233" s="165">
        <v>303</v>
      </c>
      <c r="U233" s="164" t="s">
        <v>1444</v>
      </c>
      <c r="V233" s="164" t="s">
        <v>1443</v>
      </c>
      <c r="W233" s="165">
        <v>2</v>
      </c>
      <c r="X233" s="165">
        <v>2</v>
      </c>
      <c r="Y233" s="164" t="s">
        <v>194</v>
      </c>
      <c r="Z233" s="164" t="s">
        <v>195</v>
      </c>
      <c r="AA233" s="164" t="s">
        <v>196</v>
      </c>
      <c r="AB233" s="164" t="s">
        <v>187</v>
      </c>
      <c r="AC233" s="164" t="s">
        <v>209</v>
      </c>
      <c r="AD233" s="165">
        <v>1</v>
      </c>
      <c r="AE233" s="164" t="s">
        <v>187</v>
      </c>
      <c r="AF233" s="165">
        <v>6.2441389999999997</v>
      </c>
      <c r="AG233" s="166">
        <v>102.004</v>
      </c>
      <c r="AM233" s="133" t="str" cm="1">
        <f t="array" ref="AM233">IF(ROWS($AN$2:$AN232)&lt;=$AN$2,INDEX($V$3:$V$3000,_xlfn.AGGREGATE(15,3,($B$3:$B$3000=$AM$2)/($B$3:$B$3000=$AM$2)*(ROW($B$3:$B$3000)-ROW($B$2)),ROWS($AN$2:$AN232))),"")</f>
        <v/>
      </c>
      <c r="AN233" s="134" t="str" cm="1">
        <f t="array" ref="AN233">IF(ROWS($AN$2:$AN232)&lt;=$AN$2,INDEX($F$3:$F$3000,_xlfn.AGGREGATE(15,3,($B$3:$B$3000=$AM$2)/($B$3:$B$3000=$AM$2)*(ROW($B$3:$B$3000)-ROW($B$2)),ROWS($AN$2:$AN232))),"")</f>
        <v/>
      </c>
      <c r="AO233" s="135" t="str" cm="1">
        <f t="array" ref="AO233">IF(ROWS($AN$2:$AN232)&lt;=$AN$2,INDEX($G$3:$G$3000,_xlfn.AGGREGATE(15,3,($B$3:$B$3000=$AM$2)/($B$3:$B$3000=$AM$2)*(ROW($B$3:$B$3000)-ROW($B$2)),ROWS($AN$2:$AN232))),"")</f>
        <v/>
      </c>
      <c r="AP233" s="121"/>
      <c r="AT233" s="111"/>
      <c r="AW233" s="134"/>
      <c r="AX233" s="136"/>
      <c r="AY233" s="134"/>
    </row>
    <row r="234" spans="1:51" s="110" customFormat="1" ht="20" customHeight="1">
      <c r="A234" s="125" t="s">
        <v>1620</v>
      </c>
      <c r="B234" s="126" t="s">
        <v>61</v>
      </c>
      <c r="C234" s="127">
        <v>11277</v>
      </c>
      <c r="D234" s="163">
        <v>101940</v>
      </c>
      <c r="E234" s="164" t="s">
        <v>1443</v>
      </c>
      <c r="F234" s="164" t="s">
        <v>1443</v>
      </c>
      <c r="G234" s="165">
        <v>43000</v>
      </c>
      <c r="H234" s="165">
        <v>1</v>
      </c>
      <c r="I234" s="164" t="s">
        <v>187</v>
      </c>
      <c r="J234" s="164" t="s">
        <v>1442</v>
      </c>
      <c r="K234" s="164" t="s">
        <v>1443</v>
      </c>
      <c r="L234" s="165">
        <v>5</v>
      </c>
      <c r="M234" s="165">
        <v>2</v>
      </c>
      <c r="N234" s="164" t="s">
        <v>1718</v>
      </c>
      <c r="O234" s="165">
        <v>0.6</v>
      </c>
      <c r="P234" s="165">
        <v>0.4</v>
      </c>
      <c r="Q234" s="165">
        <v>20</v>
      </c>
      <c r="R234" s="164" t="s">
        <v>574</v>
      </c>
      <c r="S234" s="164" t="s">
        <v>575</v>
      </c>
      <c r="T234" s="165">
        <v>303</v>
      </c>
      <c r="U234" s="164" t="s">
        <v>1444</v>
      </c>
      <c r="V234" s="164" t="s">
        <v>1443</v>
      </c>
      <c r="W234" s="165">
        <v>29</v>
      </c>
      <c r="X234" s="165">
        <v>2</v>
      </c>
      <c r="Y234" s="164" t="s">
        <v>194</v>
      </c>
      <c r="Z234" s="164" t="s">
        <v>195</v>
      </c>
      <c r="AA234" s="164" t="s">
        <v>196</v>
      </c>
      <c r="AB234" s="164" t="s">
        <v>187</v>
      </c>
      <c r="AC234" s="164" t="s">
        <v>209</v>
      </c>
      <c r="AD234" s="165">
        <v>1</v>
      </c>
      <c r="AE234" s="164" t="s">
        <v>209</v>
      </c>
      <c r="AF234" s="165">
        <v>12.4475859115606</v>
      </c>
      <c r="AG234" s="166">
        <v>98.619931557595294</v>
      </c>
      <c r="AM234" s="133" t="str" cm="1">
        <f t="array" ref="AM234">IF(ROWS($AN$2:$AN233)&lt;=$AN$2,INDEX($V$3:$V$3000,_xlfn.AGGREGATE(15,3,($B$3:$B$3000=$AM$2)/($B$3:$B$3000=$AM$2)*(ROW($B$3:$B$3000)-ROW($B$2)),ROWS($AN$2:$AN233))),"")</f>
        <v/>
      </c>
      <c r="AN234" s="134" t="str" cm="1">
        <f t="array" ref="AN234">IF(ROWS($AN$2:$AN233)&lt;=$AN$2,INDEX($F$3:$F$3000,_xlfn.AGGREGATE(15,3,($B$3:$B$3000=$AM$2)/($B$3:$B$3000=$AM$2)*(ROW($B$3:$B$3000)-ROW($B$2)),ROWS($AN$2:$AN233))),"")</f>
        <v/>
      </c>
      <c r="AO234" s="135" t="str" cm="1">
        <f t="array" ref="AO234">IF(ROWS($AN$2:$AN233)&lt;=$AN$2,INDEX($G$3:$G$3000,_xlfn.AGGREGATE(15,3,($B$3:$B$3000=$AM$2)/($B$3:$B$3000=$AM$2)*(ROW($B$3:$B$3000)-ROW($B$2)),ROWS($AN$2:$AN233))),"")</f>
        <v/>
      </c>
      <c r="AP234" s="121"/>
      <c r="AT234" s="111"/>
      <c r="AW234" s="134"/>
      <c r="AX234" s="136"/>
      <c r="AY234" s="134"/>
    </row>
    <row r="235" spans="1:51" s="110" customFormat="1" ht="20" customHeight="1">
      <c r="A235" s="125" t="s">
        <v>408</v>
      </c>
      <c r="B235" s="126" t="s">
        <v>64</v>
      </c>
      <c r="C235" s="127">
        <v>11277</v>
      </c>
      <c r="D235" s="163">
        <v>101940</v>
      </c>
      <c r="E235" s="164" t="s">
        <v>1443</v>
      </c>
      <c r="F235" s="164" t="s">
        <v>1443</v>
      </c>
      <c r="G235" s="165">
        <v>46000</v>
      </c>
      <c r="H235" s="165">
        <v>1</v>
      </c>
      <c r="I235" s="164" t="s">
        <v>187</v>
      </c>
      <c r="J235" s="164" t="s">
        <v>1442</v>
      </c>
      <c r="K235" s="164" t="s">
        <v>1443</v>
      </c>
      <c r="L235" s="165">
        <v>5</v>
      </c>
      <c r="M235" s="165">
        <v>2</v>
      </c>
      <c r="N235" s="164" t="s">
        <v>1718</v>
      </c>
      <c r="O235" s="165">
        <v>2</v>
      </c>
      <c r="P235" s="165">
        <v>0.4</v>
      </c>
      <c r="Q235" s="165">
        <v>20</v>
      </c>
      <c r="R235" s="164" t="s">
        <v>574</v>
      </c>
      <c r="S235" s="164" t="s">
        <v>575</v>
      </c>
      <c r="T235" s="165">
        <v>303</v>
      </c>
      <c r="U235" s="164" t="s">
        <v>1444</v>
      </c>
      <c r="V235" s="164" t="s">
        <v>1443</v>
      </c>
      <c r="W235" s="165">
        <v>29</v>
      </c>
      <c r="X235" s="165">
        <v>2</v>
      </c>
      <c r="Y235" s="164" t="s">
        <v>194</v>
      </c>
      <c r="Z235" s="164" t="s">
        <v>195</v>
      </c>
      <c r="AA235" s="164" t="s">
        <v>196</v>
      </c>
      <c r="AB235" s="164" t="s">
        <v>209</v>
      </c>
      <c r="AC235" s="164" t="s">
        <v>209</v>
      </c>
      <c r="AD235" s="165">
        <v>1</v>
      </c>
      <c r="AE235" s="164" t="s">
        <v>209</v>
      </c>
      <c r="AF235" s="165">
        <v>1.33945</v>
      </c>
      <c r="AG235" s="166">
        <v>103.69877</v>
      </c>
      <c r="AM235" s="133" t="str" cm="1">
        <f t="array" ref="AM235">IF(ROWS($AN$2:$AN234)&lt;=$AN$2,INDEX($V$3:$V$3000,_xlfn.AGGREGATE(15,3,($B$3:$B$3000=$AM$2)/($B$3:$B$3000=$AM$2)*(ROW($B$3:$B$3000)-ROW($B$2)),ROWS($AN$2:$AN234))),"")</f>
        <v/>
      </c>
      <c r="AN235" s="134" t="str" cm="1">
        <f t="array" ref="AN235">IF(ROWS($AN$2:$AN234)&lt;=$AN$2,INDEX($F$3:$F$3000,_xlfn.AGGREGATE(15,3,($B$3:$B$3000=$AM$2)/($B$3:$B$3000=$AM$2)*(ROW($B$3:$B$3000)-ROW($B$2)),ROWS($AN$2:$AN234))),"")</f>
        <v/>
      </c>
      <c r="AO235" s="135" t="str" cm="1">
        <f t="array" ref="AO235">IF(ROWS($AN$2:$AN234)&lt;=$AN$2,INDEX($G$3:$G$3000,_xlfn.AGGREGATE(15,3,($B$3:$B$3000=$AM$2)/($B$3:$B$3000=$AM$2)*(ROW($B$3:$B$3000)-ROW($B$2)),ROWS($AN$2:$AN234))),"")</f>
        <v/>
      </c>
      <c r="AP235" s="121"/>
      <c r="AT235" s="111"/>
      <c r="AW235" s="134"/>
      <c r="AX235" s="136"/>
      <c r="AY235" s="134"/>
    </row>
    <row r="236" spans="1:51" s="110" customFormat="1" ht="20" customHeight="1">
      <c r="A236" s="125" t="s">
        <v>478</v>
      </c>
      <c r="B236" s="126" t="s">
        <v>56</v>
      </c>
      <c r="C236" s="127">
        <v>11277</v>
      </c>
      <c r="D236" s="163">
        <v>101940</v>
      </c>
      <c r="E236" s="164" t="s">
        <v>1443</v>
      </c>
      <c r="F236" s="164" t="s">
        <v>1443</v>
      </c>
      <c r="G236" s="165">
        <v>20508000</v>
      </c>
      <c r="H236" s="165">
        <v>1</v>
      </c>
      <c r="I236" s="164" t="s">
        <v>187</v>
      </c>
      <c r="J236" s="164" t="s">
        <v>1442</v>
      </c>
      <c r="K236" s="164" t="s">
        <v>1443</v>
      </c>
      <c r="L236" s="165">
        <v>5</v>
      </c>
      <c r="M236" s="165">
        <v>2</v>
      </c>
      <c r="N236" s="164" t="s">
        <v>1718</v>
      </c>
      <c r="O236" s="165">
        <v>0.3</v>
      </c>
      <c r="P236" s="165">
        <v>0.26600000000000001</v>
      </c>
      <c r="Q236" s="165">
        <v>20</v>
      </c>
      <c r="R236" s="164" t="s">
        <v>574</v>
      </c>
      <c r="S236" s="164" t="s">
        <v>575</v>
      </c>
      <c r="T236" s="165">
        <v>303</v>
      </c>
      <c r="U236" s="164" t="s">
        <v>1444</v>
      </c>
      <c r="V236" s="164" t="s">
        <v>1443</v>
      </c>
      <c r="W236" s="165">
        <v>29</v>
      </c>
      <c r="X236" s="165">
        <v>2</v>
      </c>
      <c r="Y236" s="164" t="s">
        <v>194</v>
      </c>
      <c r="Z236" s="164" t="s">
        <v>195</v>
      </c>
      <c r="AA236" s="164" t="s">
        <v>196</v>
      </c>
      <c r="AB236" s="164" t="s">
        <v>187</v>
      </c>
      <c r="AC236" s="164" t="s">
        <v>187</v>
      </c>
      <c r="AD236" s="165">
        <v>410</v>
      </c>
      <c r="AE236" s="164" t="s">
        <v>209</v>
      </c>
      <c r="AF236" s="165">
        <v>13.8233259959979</v>
      </c>
      <c r="AG236" s="166">
        <v>100.562724142205</v>
      </c>
      <c r="AM236" s="133" t="str" cm="1">
        <f t="array" ref="AM236">IF(ROWS($AN$2:$AN235)&lt;=$AN$2,INDEX($V$3:$V$3000,_xlfn.AGGREGATE(15,3,($B$3:$B$3000=$AM$2)/($B$3:$B$3000=$AM$2)*(ROW($B$3:$B$3000)-ROW($B$2)),ROWS($AN$2:$AN235))),"")</f>
        <v/>
      </c>
      <c r="AN236" s="134" t="str" cm="1">
        <f t="array" ref="AN236">IF(ROWS($AN$2:$AN235)&lt;=$AN$2,INDEX($F$3:$F$3000,_xlfn.AGGREGATE(15,3,($B$3:$B$3000=$AM$2)/($B$3:$B$3000=$AM$2)*(ROW($B$3:$B$3000)-ROW($B$2)),ROWS($AN$2:$AN235))),"")</f>
        <v/>
      </c>
      <c r="AO236" s="135" t="str" cm="1">
        <f t="array" ref="AO236">IF(ROWS($AN$2:$AN235)&lt;=$AN$2,INDEX($G$3:$G$3000,_xlfn.AGGREGATE(15,3,($B$3:$B$3000=$AM$2)/($B$3:$B$3000=$AM$2)*(ROW($B$3:$B$3000)-ROW($B$2)),ROWS($AN$2:$AN235))),"")</f>
        <v/>
      </c>
      <c r="AP236" s="121"/>
      <c r="AT236" s="111"/>
      <c r="AW236" s="134"/>
      <c r="AX236" s="136"/>
      <c r="AY236" s="134"/>
    </row>
    <row r="237" spans="1:51" s="110" customFormat="1" ht="20" customHeight="1">
      <c r="A237" s="125" t="s">
        <v>478</v>
      </c>
      <c r="B237" s="126" t="s">
        <v>56</v>
      </c>
      <c r="C237" s="127">
        <v>15460</v>
      </c>
      <c r="D237" s="163">
        <v>109994</v>
      </c>
      <c r="E237" s="164" t="s">
        <v>3520</v>
      </c>
      <c r="F237" s="164" t="s">
        <v>3520</v>
      </c>
      <c r="G237" s="165">
        <v>18213000</v>
      </c>
      <c r="H237" s="165">
        <v>1</v>
      </c>
      <c r="I237" s="164" t="s">
        <v>187</v>
      </c>
      <c r="J237" s="164" t="s">
        <v>2926</v>
      </c>
      <c r="K237" s="164" t="s">
        <v>2927</v>
      </c>
      <c r="L237" s="165">
        <v>4</v>
      </c>
      <c r="M237" s="165">
        <v>2</v>
      </c>
      <c r="N237" s="164" t="s">
        <v>1718</v>
      </c>
      <c r="O237" s="165">
        <v>0.4</v>
      </c>
      <c r="P237" s="165">
        <v>0.26600000000000001</v>
      </c>
      <c r="Q237" s="165">
        <v>20</v>
      </c>
      <c r="R237" s="164" t="s">
        <v>574</v>
      </c>
      <c r="S237" s="164" t="s">
        <v>575</v>
      </c>
      <c r="T237" s="165">
        <v>303</v>
      </c>
      <c r="U237" s="164" t="s">
        <v>1444</v>
      </c>
      <c r="V237" s="164" t="s">
        <v>1443</v>
      </c>
      <c r="W237" s="165">
        <v>6</v>
      </c>
      <c r="X237" s="165">
        <v>2</v>
      </c>
      <c r="Y237" s="164" t="s">
        <v>194</v>
      </c>
      <c r="Z237" s="164" t="s">
        <v>195</v>
      </c>
      <c r="AA237" s="164" t="s">
        <v>196</v>
      </c>
      <c r="AB237" s="164" t="s">
        <v>187</v>
      </c>
      <c r="AC237" s="164" t="s">
        <v>187</v>
      </c>
      <c r="AD237" s="165">
        <v>364</v>
      </c>
      <c r="AE237" s="164" t="s">
        <v>209</v>
      </c>
      <c r="AF237" s="165">
        <v>17.397736408608399</v>
      </c>
      <c r="AG237" s="166">
        <v>102.81002710057</v>
      </c>
      <c r="AM237" s="133" t="str" cm="1">
        <f t="array" ref="AM237">IF(ROWS($AN$2:$AN236)&lt;=$AN$2,INDEX($V$3:$V$3000,_xlfn.AGGREGATE(15,3,($B$3:$B$3000=$AM$2)/($B$3:$B$3000=$AM$2)*(ROW($B$3:$B$3000)-ROW($B$2)),ROWS($AN$2:$AN236))),"")</f>
        <v/>
      </c>
      <c r="AN237" s="134" t="str" cm="1">
        <f t="array" ref="AN237">IF(ROWS($AN$2:$AN236)&lt;=$AN$2,INDEX($F$3:$F$3000,_xlfn.AGGREGATE(15,3,($B$3:$B$3000=$AM$2)/($B$3:$B$3000=$AM$2)*(ROW($B$3:$B$3000)-ROW($B$2)),ROWS($AN$2:$AN236))),"")</f>
        <v/>
      </c>
      <c r="AO237" s="135" t="str" cm="1">
        <f t="array" ref="AO237">IF(ROWS($AN$2:$AN236)&lt;=$AN$2,INDEX($G$3:$G$3000,_xlfn.AGGREGATE(15,3,($B$3:$B$3000=$AM$2)/($B$3:$B$3000=$AM$2)*(ROW($B$3:$B$3000)-ROW($B$2)),ROWS($AN$2:$AN236))),"")</f>
        <v/>
      </c>
      <c r="AP237" s="121"/>
      <c r="AT237" s="111"/>
      <c r="AW237" s="134"/>
      <c r="AX237" s="136"/>
      <c r="AY237" s="134"/>
    </row>
    <row r="238" spans="1:51" s="110" customFormat="1" ht="20" customHeight="1">
      <c r="A238" s="125" t="s">
        <v>478</v>
      </c>
      <c r="B238" s="126" t="s">
        <v>56</v>
      </c>
      <c r="C238" s="127">
        <v>12666</v>
      </c>
      <c r="D238" s="163">
        <v>104960</v>
      </c>
      <c r="E238" s="164" t="s">
        <v>3525</v>
      </c>
      <c r="F238" s="164" t="s">
        <v>3525</v>
      </c>
      <c r="G238" s="165">
        <v>7342000</v>
      </c>
      <c r="H238" s="165">
        <v>1</v>
      </c>
      <c r="I238" s="164" t="s">
        <v>187</v>
      </c>
      <c r="J238" s="164" t="s">
        <v>3524</v>
      </c>
      <c r="K238" s="164" t="s">
        <v>3525</v>
      </c>
      <c r="L238" s="165">
        <v>4</v>
      </c>
      <c r="M238" s="165">
        <v>2</v>
      </c>
      <c r="N238" s="164" t="s">
        <v>1718</v>
      </c>
      <c r="O238" s="165">
        <v>0.4</v>
      </c>
      <c r="P238" s="165">
        <v>0.26600000000000001</v>
      </c>
      <c r="Q238" s="165">
        <v>20</v>
      </c>
      <c r="R238" s="164" t="s">
        <v>574</v>
      </c>
      <c r="S238" s="164" t="s">
        <v>575</v>
      </c>
      <c r="T238" s="165">
        <v>303</v>
      </c>
      <c r="U238" s="164" t="s">
        <v>1444</v>
      </c>
      <c r="V238" s="164" t="s">
        <v>1443</v>
      </c>
      <c r="W238" s="165">
        <v>2</v>
      </c>
      <c r="X238" s="165">
        <v>2</v>
      </c>
      <c r="Y238" s="164" t="s">
        <v>194</v>
      </c>
      <c r="Z238" s="164" t="s">
        <v>195</v>
      </c>
      <c r="AA238" s="164" t="s">
        <v>196</v>
      </c>
      <c r="AB238" s="164" t="s">
        <v>187</v>
      </c>
      <c r="AC238" s="164" t="s">
        <v>187</v>
      </c>
      <c r="AD238" s="165">
        <v>147</v>
      </c>
      <c r="AE238" s="164" t="s">
        <v>209</v>
      </c>
      <c r="AF238" s="165">
        <v>17.699059999619301</v>
      </c>
      <c r="AG238" s="166">
        <v>99.726799999820102</v>
      </c>
      <c r="AM238" s="133" t="str" cm="1">
        <f t="array" ref="AM238">IF(ROWS($AN$2:$AN237)&lt;=$AN$2,INDEX($V$3:$V$3000,_xlfn.AGGREGATE(15,3,($B$3:$B$3000=$AM$2)/($B$3:$B$3000=$AM$2)*(ROW($B$3:$B$3000)-ROW($B$2)),ROWS($AN$2:$AN237))),"")</f>
        <v/>
      </c>
      <c r="AN238" s="134" t="str" cm="1">
        <f t="array" ref="AN238">IF(ROWS($AN$2:$AN237)&lt;=$AN$2,INDEX($F$3:$F$3000,_xlfn.AGGREGATE(15,3,($B$3:$B$3000=$AM$2)/($B$3:$B$3000=$AM$2)*(ROW($B$3:$B$3000)-ROW($B$2)),ROWS($AN$2:$AN237))),"")</f>
        <v/>
      </c>
      <c r="AO238" s="135" t="str" cm="1">
        <f t="array" ref="AO238">IF(ROWS($AN$2:$AN237)&lt;=$AN$2,INDEX($G$3:$G$3000,_xlfn.AGGREGATE(15,3,($B$3:$B$3000=$AM$2)/($B$3:$B$3000=$AM$2)*(ROW($B$3:$B$3000)-ROW($B$2)),ROWS($AN$2:$AN237))),"")</f>
        <v/>
      </c>
      <c r="AP238" s="121"/>
      <c r="AT238" s="111"/>
      <c r="AW238" s="134"/>
      <c r="AX238" s="136"/>
      <c r="AY238" s="134"/>
    </row>
    <row r="239" spans="1:51" s="110" customFormat="1" ht="20" customHeight="1">
      <c r="A239" s="125" t="s">
        <v>478</v>
      </c>
      <c r="B239" s="126" t="s">
        <v>56</v>
      </c>
      <c r="C239" s="127">
        <v>15067</v>
      </c>
      <c r="D239" s="163">
        <v>109517</v>
      </c>
      <c r="E239" s="164" t="s">
        <v>3061</v>
      </c>
      <c r="F239" s="164" t="s">
        <v>3061</v>
      </c>
      <c r="G239" s="165">
        <v>5087000</v>
      </c>
      <c r="H239" s="165">
        <v>1</v>
      </c>
      <c r="I239" s="164" t="s">
        <v>187</v>
      </c>
      <c r="J239" s="164" t="s">
        <v>3062</v>
      </c>
      <c r="K239" s="164" t="s">
        <v>3061</v>
      </c>
      <c r="L239" s="165">
        <v>3</v>
      </c>
      <c r="M239" s="165">
        <v>2</v>
      </c>
      <c r="N239" s="164" t="s">
        <v>1718</v>
      </c>
      <c r="O239" s="165">
        <v>0.9</v>
      </c>
      <c r="P239" s="165">
        <v>0.252</v>
      </c>
      <c r="Q239" s="165">
        <v>20</v>
      </c>
      <c r="R239" s="164" t="s">
        <v>574</v>
      </c>
      <c r="S239" s="164" t="s">
        <v>575</v>
      </c>
      <c r="T239" s="165">
        <v>303</v>
      </c>
      <c r="U239" s="164" t="s">
        <v>1444</v>
      </c>
      <c r="V239" s="164" t="s">
        <v>1443</v>
      </c>
      <c r="W239" s="165">
        <v>2</v>
      </c>
      <c r="X239" s="165">
        <v>2</v>
      </c>
      <c r="Y239" s="164" t="s">
        <v>194</v>
      </c>
      <c r="Z239" s="164" t="s">
        <v>195</v>
      </c>
      <c r="AA239" s="164" t="s">
        <v>196</v>
      </c>
      <c r="AB239" s="164" t="s">
        <v>187</v>
      </c>
      <c r="AC239" s="164" t="s">
        <v>187</v>
      </c>
      <c r="AD239" s="165">
        <v>102</v>
      </c>
      <c r="AE239" s="164" t="s">
        <v>209</v>
      </c>
      <c r="AF239" s="165">
        <v>6.8566800003816901</v>
      </c>
      <c r="AG239" s="166">
        <v>99.703099999565296</v>
      </c>
      <c r="AM239" s="133" t="str" cm="1">
        <f t="array" ref="AM239">IF(ROWS($AN$2:$AN238)&lt;=$AN$2,INDEX($V$3:$V$3000,_xlfn.AGGREGATE(15,3,($B$3:$B$3000=$AM$2)/($B$3:$B$3000=$AM$2)*(ROW($B$3:$B$3000)-ROW($B$2)),ROWS($AN$2:$AN238))),"")</f>
        <v/>
      </c>
      <c r="AN239" s="134" t="str" cm="1">
        <f t="array" ref="AN239">IF(ROWS($AN$2:$AN238)&lt;=$AN$2,INDEX($F$3:$F$3000,_xlfn.AGGREGATE(15,3,($B$3:$B$3000=$AM$2)/($B$3:$B$3000=$AM$2)*(ROW($B$3:$B$3000)-ROW($B$2)),ROWS($AN$2:$AN238))),"")</f>
        <v/>
      </c>
      <c r="AO239" s="135" t="str" cm="1">
        <f t="array" ref="AO239">IF(ROWS($AN$2:$AN238)&lt;=$AN$2,INDEX($G$3:$G$3000,_xlfn.AGGREGATE(15,3,($B$3:$B$3000=$AM$2)/($B$3:$B$3000=$AM$2)*(ROW($B$3:$B$3000)-ROW($B$2)),ROWS($AN$2:$AN238))),"")</f>
        <v/>
      </c>
      <c r="AP239" s="121"/>
      <c r="AT239" s="111"/>
      <c r="AW239" s="134"/>
      <c r="AX239" s="136"/>
      <c r="AY239" s="134"/>
    </row>
    <row r="240" spans="1:51" s="110" customFormat="1" ht="20" customHeight="1">
      <c r="A240" s="125" t="s">
        <v>478</v>
      </c>
      <c r="B240" s="126" t="s">
        <v>56</v>
      </c>
      <c r="C240" s="127">
        <v>19271</v>
      </c>
      <c r="D240" s="163">
        <v>115540</v>
      </c>
      <c r="E240" s="164" t="s">
        <v>3063</v>
      </c>
      <c r="F240" s="164" t="s">
        <v>3063</v>
      </c>
      <c r="G240" s="165">
        <v>22000</v>
      </c>
      <c r="H240" s="165">
        <v>1</v>
      </c>
      <c r="I240" s="164" t="s">
        <v>187</v>
      </c>
      <c r="J240" s="164" t="s">
        <v>3062</v>
      </c>
      <c r="K240" s="164" t="s">
        <v>3061</v>
      </c>
      <c r="L240" s="165">
        <v>3</v>
      </c>
      <c r="M240" s="165">
        <v>2</v>
      </c>
      <c r="N240" s="164" t="s">
        <v>1718</v>
      </c>
      <c r="O240" s="165">
        <v>0</v>
      </c>
      <c r="P240" s="165">
        <v>0</v>
      </c>
      <c r="Q240" s="165">
        <v>20</v>
      </c>
      <c r="R240" s="164" t="s">
        <v>574</v>
      </c>
      <c r="S240" s="164" t="s">
        <v>575</v>
      </c>
      <c r="T240" s="165">
        <v>303</v>
      </c>
      <c r="U240" s="164" t="s">
        <v>1444</v>
      </c>
      <c r="V240" s="164" t="s">
        <v>1443</v>
      </c>
      <c r="W240" s="165">
        <v>2</v>
      </c>
      <c r="X240" s="165">
        <v>2</v>
      </c>
      <c r="Y240" s="164" t="s">
        <v>194</v>
      </c>
      <c r="Z240" s="164" t="s">
        <v>195</v>
      </c>
      <c r="AA240" s="164" t="s">
        <v>196</v>
      </c>
      <c r="AB240" s="164" t="s">
        <v>187</v>
      </c>
      <c r="AC240" s="164" t="s">
        <v>187</v>
      </c>
      <c r="AD240" s="165">
        <v>1</v>
      </c>
      <c r="AE240" s="164" t="s">
        <v>187</v>
      </c>
      <c r="AF240" s="165">
        <v>6.8566799999999999</v>
      </c>
      <c r="AG240" s="166">
        <v>99.703100000000006</v>
      </c>
      <c r="AM240" s="133" t="str" cm="1">
        <f t="array" ref="AM240">IF(ROWS($AN$2:$AN239)&lt;=$AN$2,INDEX($V$3:$V$3000,_xlfn.AGGREGATE(15,3,($B$3:$B$3000=$AM$2)/($B$3:$B$3000=$AM$2)*(ROW($B$3:$B$3000)-ROW($B$2)),ROWS($AN$2:$AN239))),"")</f>
        <v/>
      </c>
      <c r="AN240" s="134" t="str" cm="1">
        <f t="array" ref="AN240">IF(ROWS($AN$2:$AN239)&lt;=$AN$2,INDEX($F$3:$F$3000,_xlfn.AGGREGATE(15,3,($B$3:$B$3000=$AM$2)/($B$3:$B$3000=$AM$2)*(ROW($B$3:$B$3000)-ROW($B$2)),ROWS($AN$2:$AN239))),"")</f>
        <v/>
      </c>
      <c r="AO240" s="135" t="str" cm="1">
        <f t="array" ref="AO240">IF(ROWS($AN$2:$AN239)&lt;=$AN$2,INDEX($G$3:$G$3000,_xlfn.AGGREGATE(15,3,($B$3:$B$3000=$AM$2)/($B$3:$B$3000=$AM$2)*(ROW($B$3:$B$3000)-ROW($B$2)),ROWS($AN$2:$AN239))),"")</f>
        <v/>
      </c>
      <c r="AP240" s="121"/>
      <c r="AT240" s="111"/>
      <c r="AW240" s="134"/>
      <c r="AX240" s="136"/>
      <c r="AY240" s="134"/>
    </row>
    <row r="241" spans="1:51" s="110" customFormat="1" ht="20" customHeight="1">
      <c r="A241" s="125" t="s">
        <v>478</v>
      </c>
      <c r="B241" s="126" t="s">
        <v>56</v>
      </c>
      <c r="C241" s="127">
        <v>19258</v>
      </c>
      <c r="D241" s="163">
        <v>115533</v>
      </c>
      <c r="E241" s="164" t="s">
        <v>3735</v>
      </c>
      <c r="F241" s="164" t="s">
        <v>3735</v>
      </c>
      <c r="G241" s="165">
        <v>11000</v>
      </c>
      <c r="H241" s="165">
        <v>1</v>
      </c>
      <c r="I241" s="164" t="s">
        <v>187</v>
      </c>
      <c r="J241" s="164" t="s">
        <v>1442</v>
      </c>
      <c r="K241" s="164" t="s">
        <v>1443</v>
      </c>
      <c r="L241" s="165">
        <v>5</v>
      </c>
      <c r="M241" s="165">
        <v>2</v>
      </c>
      <c r="N241" s="164" t="s">
        <v>1718</v>
      </c>
      <c r="O241" s="165">
        <v>0.5</v>
      </c>
      <c r="P241" s="165">
        <v>0.4</v>
      </c>
      <c r="Q241" s="165">
        <v>20</v>
      </c>
      <c r="R241" s="164" t="s">
        <v>574</v>
      </c>
      <c r="S241" s="164" t="s">
        <v>575</v>
      </c>
      <c r="T241" s="165">
        <v>303</v>
      </c>
      <c r="U241" s="164" t="s">
        <v>1444</v>
      </c>
      <c r="V241" s="164" t="s">
        <v>1443</v>
      </c>
      <c r="W241" s="165">
        <v>1</v>
      </c>
      <c r="X241" s="165">
        <v>2</v>
      </c>
      <c r="Y241" s="164" t="s">
        <v>194</v>
      </c>
      <c r="Z241" s="164" t="s">
        <v>195</v>
      </c>
      <c r="AA241" s="164" t="s">
        <v>196</v>
      </c>
      <c r="AB241" s="164" t="s">
        <v>187</v>
      </c>
      <c r="AC241" s="164" t="s">
        <v>187</v>
      </c>
      <c r="AD241" s="165">
        <v>1</v>
      </c>
      <c r="AE241" s="164" t="s">
        <v>209</v>
      </c>
      <c r="AF241" s="165">
        <v>14.495163945717501</v>
      </c>
      <c r="AG241" s="166">
        <v>100.769754485235</v>
      </c>
      <c r="AM241" s="133" t="str" cm="1">
        <f t="array" ref="AM241">IF(ROWS($AN$2:$AN240)&lt;=$AN$2,INDEX($V$3:$V$3000,_xlfn.AGGREGATE(15,3,($B$3:$B$3000=$AM$2)/($B$3:$B$3000=$AM$2)*(ROW($B$3:$B$3000)-ROW($B$2)),ROWS($AN$2:$AN240))),"")</f>
        <v/>
      </c>
      <c r="AN241" s="134" t="str" cm="1">
        <f t="array" ref="AN241">IF(ROWS($AN$2:$AN240)&lt;=$AN$2,INDEX($F$3:$F$3000,_xlfn.AGGREGATE(15,3,($B$3:$B$3000=$AM$2)/($B$3:$B$3000=$AM$2)*(ROW($B$3:$B$3000)-ROW($B$2)),ROWS($AN$2:$AN240))),"")</f>
        <v/>
      </c>
      <c r="AO241" s="135" t="str" cm="1">
        <f t="array" ref="AO241">IF(ROWS($AN$2:$AN240)&lt;=$AN$2,INDEX($G$3:$G$3000,_xlfn.AGGREGATE(15,3,($B$3:$B$3000=$AM$2)/($B$3:$B$3000=$AM$2)*(ROW($B$3:$B$3000)-ROW($B$2)),ROWS($AN$2:$AN240))),"")</f>
        <v/>
      </c>
      <c r="AP241" s="121"/>
      <c r="AT241" s="111"/>
      <c r="AW241" s="134"/>
      <c r="AX241" s="136"/>
      <c r="AY241" s="134"/>
    </row>
    <row r="242" spans="1:51" s="110" customFormat="1" ht="20" customHeight="1">
      <c r="A242" s="125" t="s">
        <v>231</v>
      </c>
      <c r="B242" s="126" t="s">
        <v>66</v>
      </c>
      <c r="C242" s="127">
        <v>15468</v>
      </c>
      <c r="D242" s="163">
        <v>110033</v>
      </c>
      <c r="E242" s="164" t="s">
        <v>3322</v>
      </c>
      <c r="F242" s="164" t="s">
        <v>3322</v>
      </c>
      <c r="G242" s="165">
        <v>6200</v>
      </c>
      <c r="H242" s="165">
        <v>1</v>
      </c>
      <c r="I242" s="164" t="s">
        <v>187</v>
      </c>
      <c r="J242" s="164" t="s">
        <v>293</v>
      </c>
      <c r="K242" s="164" t="s">
        <v>294</v>
      </c>
      <c r="L242" s="165">
        <v>3</v>
      </c>
      <c r="M242" s="165">
        <v>2</v>
      </c>
      <c r="N242" s="164" t="s">
        <v>1718</v>
      </c>
      <c r="O242" s="165">
        <v>0</v>
      </c>
      <c r="P242" s="165">
        <v>0</v>
      </c>
      <c r="Q242" s="165">
        <v>23</v>
      </c>
      <c r="R242" s="164" t="s">
        <v>1623</v>
      </c>
      <c r="S242" s="164" t="s">
        <v>1624</v>
      </c>
      <c r="T242" s="165">
        <v>304</v>
      </c>
      <c r="U242" s="164" t="s">
        <v>3323</v>
      </c>
      <c r="V242" s="164" t="s">
        <v>3322</v>
      </c>
      <c r="W242" s="165">
        <v>10</v>
      </c>
      <c r="X242" s="165">
        <v>4</v>
      </c>
      <c r="Y242" s="164" t="s">
        <v>203</v>
      </c>
      <c r="Z242" s="164" t="s">
        <v>195</v>
      </c>
      <c r="AA242" s="164" t="s">
        <v>196</v>
      </c>
      <c r="AB242" s="164" t="s">
        <v>187</v>
      </c>
      <c r="AC242" s="164" t="s">
        <v>209</v>
      </c>
      <c r="AD242" s="165">
        <v>1</v>
      </c>
      <c r="AE242" s="164" t="s">
        <v>187</v>
      </c>
      <c r="AF242" s="165">
        <v>35.405738823336101</v>
      </c>
      <c r="AG242" s="166">
        <v>76.6393773129018</v>
      </c>
      <c r="AM242" s="133" t="str" cm="1">
        <f t="array" ref="AM242">IF(ROWS($AN$2:$AN241)&lt;=$AN$2,INDEX($V$3:$V$3000,_xlfn.AGGREGATE(15,3,($B$3:$B$3000=$AM$2)/($B$3:$B$3000=$AM$2)*(ROW($B$3:$B$3000)-ROW($B$2)),ROWS($AN$2:$AN241))),"")</f>
        <v/>
      </c>
      <c r="AN242" s="134" t="str" cm="1">
        <f t="array" ref="AN242">IF(ROWS($AN$2:$AN241)&lt;=$AN$2,INDEX($F$3:$F$3000,_xlfn.AGGREGATE(15,3,($B$3:$B$3000=$AM$2)/($B$3:$B$3000=$AM$2)*(ROW($B$3:$B$3000)-ROW($B$2)),ROWS($AN$2:$AN241))),"")</f>
        <v/>
      </c>
      <c r="AO242" s="135" t="str" cm="1">
        <f t="array" ref="AO242">IF(ROWS($AN$2:$AN241)&lt;=$AN$2,INDEX($G$3:$G$3000,_xlfn.AGGREGATE(15,3,($B$3:$B$3000=$AM$2)/($B$3:$B$3000=$AM$2)*(ROW($B$3:$B$3000)-ROW($B$2)),ROWS($AN$2:$AN241))),"")</f>
        <v/>
      </c>
      <c r="AP242" s="121"/>
      <c r="AT242" s="111"/>
      <c r="AW242" s="134"/>
      <c r="AX242" s="136"/>
      <c r="AY242" s="134"/>
    </row>
    <row r="243" spans="1:51" s="110" customFormat="1" ht="20" customHeight="1">
      <c r="A243" s="125" t="s">
        <v>471</v>
      </c>
      <c r="B243" s="126" t="s">
        <v>65</v>
      </c>
      <c r="C243" s="127">
        <v>20619</v>
      </c>
      <c r="D243" s="163">
        <v>116846</v>
      </c>
      <c r="E243" s="164" t="s">
        <v>2803</v>
      </c>
      <c r="F243" s="164" t="s">
        <v>2803</v>
      </c>
      <c r="G243" s="165">
        <v>2400</v>
      </c>
      <c r="H243" s="165">
        <v>1</v>
      </c>
      <c r="I243" s="164" t="s">
        <v>187</v>
      </c>
      <c r="J243" s="164" t="s">
        <v>2804</v>
      </c>
      <c r="K243" s="164" t="s">
        <v>2803</v>
      </c>
      <c r="L243" s="165">
        <v>0</v>
      </c>
      <c r="M243" s="165">
        <v>2</v>
      </c>
      <c r="N243" s="164" t="s">
        <v>1718</v>
      </c>
      <c r="O243" s="165">
        <v>0</v>
      </c>
      <c r="P243" s="165">
        <v>0</v>
      </c>
      <c r="Q243" s="165">
        <v>23</v>
      </c>
      <c r="R243" s="164" t="s">
        <v>1623</v>
      </c>
      <c r="S243" s="164" t="s">
        <v>1624</v>
      </c>
      <c r="T243" s="165">
        <v>317</v>
      </c>
      <c r="U243" s="164" t="s">
        <v>1713</v>
      </c>
      <c r="V243" s="164" t="s">
        <v>1714</v>
      </c>
      <c r="W243" s="165">
        <v>1</v>
      </c>
      <c r="X243" s="165">
        <v>2</v>
      </c>
      <c r="Y243" s="164" t="s">
        <v>194</v>
      </c>
      <c r="Z243" s="164" t="s">
        <v>195</v>
      </c>
      <c r="AA243" s="164" t="s">
        <v>196</v>
      </c>
      <c r="AB243" s="164" t="s">
        <v>187</v>
      </c>
      <c r="AC243" s="164" t="s">
        <v>187</v>
      </c>
      <c r="AD243" s="165">
        <v>1</v>
      </c>
      <c r="AE243" s="164" t="s">
        <v>187</v>
      </c>
      <c r="AF243" s="165">
        <v>21.612262999999999</v>
      </c>
      <c r="AG243" s="166">
        <v>102.24432</v>
      </c>
      <c r="AM243" s="133" t="str" cm="1">
        <f t="array" ref="AM243">IF(ROWS($AN$2:$AN242)&lt;=$AN$2,INDEX($V$3:$V$3000,_xlfn.AGGREGATE(15,3,($B$3:$B$3000=$AM$2)/($B$3:$B$3000=$AM$2)*(ROW($B$3:$B$3000)-ROW($B$2)),ROWS($AN$2:$AN242))),"")</f>
        <v/>
      </c>
      <c r="AN243" s="134" t="str" cm="1">
        <f t="array" ref="AN243">IF(ROWS($AN$2:$AN242)&lt;=$AN$2,INDEX($F$3:$F$3000,_xlfn.AGGREGATE(15,3,($B$3:$B$3000=$AM$2)/($B$3:$B$3000=$AM$2)*(ROW($B$3:$B$3000)-ROW($B$2)),ROWS($AN$2:$AN242))),"")</f>
        <v/>
      </c>
      <c r="AO243" s="135" t="str" cm="1">
        <f t="array" ref="AO243">IF(ROWS($AN$2:$AN242)&lt;=$AN$2,INDEX($G$3:$G$3000,_xlfn.AGGREGATE(15,3,($B$3:$B$3000=$AM$2)/($B$3:$B$3000=$AM$2)*(ROW($B$3:$B$3000)-ROW($B$2)),ROWS($AN$2:$AN242))),"")</f>
        <v/>
      </c>
      <c r="AP243" s="121"/>
      <c r="AT243" s="111"/>
      <c r="AW243" s="134"/>
      <c r="AX243" s="136"/>
      <c r="AY243" s="134"/>
    </row>
    <row r="244" spans="1:51" s="110" customFormat="1" ht="20" customHeight="1">
      <c r="A244" s="125" t="s">
        <v>1620</v>
      </c>
      <c r="B244" s="126" t="s">
        <v>61</v>
      </c>
      <c r="C244" s="127">
        <v>20566</v>
      </c>
      <c r="D244" s="163">
        <v>116857</v>
      </c>
      <c r="E244" s="164" t="s">
        <v>4630</v>
      </c>
      <c r="F244" s="164" t="s">
        <v>4630</v>
      </c>
      <c r="G244" s="165">
        <v>114000</v>
      </c>
      <c r="H244" s="165">
        <v>1</v>
      </c>
      <c r="I244" s="164" t="s">
        <v>187</v>
      </c>
      <c r="J244" s="164" t="s">
        <v>4631</v>
      </c>
      <c r="K244" s="164" t="s">
        <v>4630</v>
      </c>
      <c r="L244" s="165">
        <v>1</v>
      </c>
      <c r="M244" s="165">
        <v>2</v>
      </c>
      <c r="N244" s="164" t="s">
        <v>1718</v>
      </c>
      <c r="O244" s="165">
        <v>2</v>
      </c>
      <c r="P244" s="165">
        <v>0.5</v>
      </c>
      <c r="Q244" s="165">
        <v>23</v>
      </c>
      <c r="R244" s="164" t="s">
        <v>1623</v>
      </c>
      <c r="S244" s="164" t="s">
        <v>1624</v>
      </c>
      <c r="T244" s="165">
        <v>317</v>
      </c>
      <c r="U244" s="164" t="s">
        <v>1713</v>
      </c>
      <c r="V244" s="164" t="s">
        <v>1714</v>
      </c>
      <c r="W244" s="165">
        <v>1</v>
      </c>
      <c r="X244" s="165">
        <v>2</v>
      </c>
      <c r="Y244" s="164" t="s">
        <v>194</v>
      </c>
      <c r="Z244" s="164" t="s">
        <v>195</v>
      </c>
      <c r="AA244" s="164" t="s">
        <v>196</v>
      </c>
      <c r="AB244" s="164" t="s">
        <v>187</v>
      </c>
      <c r="AC244" s="164" t="s">
        <v>187</v>
      </c>
      <c r="AD244" s="165">
        <v>2</v>
      </c>
      <c r="AE244" s="164" t="s">
        <v>209</v>
      </c>
      <c r="AF244" s="165">
        <v>20.938858</v>
      </c>
      <c r="AG244" s="166">
        <v>96.669746000000004</v>
      </c>
      <c r="AM244" s="133" t="str" cm="1">
        <f t="array" ref="AM244">IF(ROWS($AN$2:$AN243)&lt;=$AN$2,INDEX($V$3:$V$3000,_xlfn.AGGREGATE(15,3,($B$3:$B$3000=$AM$2)/($B$3:$B$3000=$AM$2)*(ROW($B$3:$B$3000)-ROW($B$2)),ROWS($AN$2:$AN243))),"")</f>
        <v/>
      </c>
      <c r="AN244" s="134" t="str" cm="1">
        <f t="array" ref="AN244">IF(ROWS($AN$2:$AN243)&lt;=$AN$2,INDEX($F$3:$F$3000,_xlfn.AGGREGATE(15,3,($B$3:$B$3000=$AM$2)/($B$3:$B$3000=$AM$2)*(ROW($B$3:$B$3000)-ROW($B$2)),ROWS($AN$2:$AN243))),"")</f>
        <v/>
      </c>
      <c r="AO244" s="135" t="str" cm="1">
        <f t="array" ref="AO244">IF(ROWS($AN$2:$AN243)&lt;=$AN$2,INDEX($G$3:$G$3000,_xlfn.AGGREGATE(15,3,($B$3:$B$3000=$AM$2)/($B$3:$B$3000=$AM$2)*(ROW($B$3:$B$3000)-ROW($B$2)),ROWS($AN$2:$AN243))),"")</f>
        <v/>
      </c>
      <c r="AP244" s="121"/>
      <c r="AT244" s="111"/>
      <c r="AW244" s="134"/>
      <c r="AX244" s="136"/>
      <c r="AY244" s="134"/>
    </row>
    <row r="245" spans="1:51" s="110" customFormat="1" ht="20" customHeight="1">
      <c r="A245" s="125" t="s">
        <v>1620</v>
      </c>
      <c r="B245" s="126" t="s">
        <v>61</v>
      </c>
      <c r="C245" s="127">
        <v>16018</v>
      </c>
      <c r="D245" s="145">
        <v>111024</v>
      </c>
      <c r="E245" s="146" t="s">
        <v>2981</v>
      </c>
      <c r="F245" s="146" t="s">
        <v>2981</v>
      </c>
      <c r="G245" s="147">
        <v>64000</v>
      </c>
      <c r="H245" s="147">
        <v>4</v>
      </c>
      <c r="I245" s="146" t="s">
        <v>209</v>
      </c>
      <c r="J245" s="146" t="s">
        <v>2982</v>
      </c>
      <c r="K245" s="146" t="s">
        <v>2981</v>
      </c>
      <c r="L245" s="147">
        <v>4</v>
      </c>
      <c r="M245" s="147">
        <v>2</v>
      </c>
      <c r="N245" s="146" t="s">
        <v>1718</v>
      </c>
      <c r="O245" s="147">
        <v>10</v>
      </c>
      <c r="P245" s="147">
        <v>5</v>
      </c>
      <c r="Q245" s="147">
        <v>23</v>
      </c>
      <c r="R245" s="146" t="s">
        <v>1623</v>
      </c>
      <c r="S245" s="146" t="s">
        <v>1624</v>
      </c>
      <c r="T245" s="147">
        <v>317</v>
      </c>
      <c r="U245" s="146" t="s">
        <v>1713</v>
      </c>
      <c r="V245" s="146" t="s">
        <v>1714</v>
      </c>
      <c r="W245" s="147">
        <v>5</v>
      </c>
      <c r="X245" s="147">
        <v>2</v>
      </c>
      <c r="Y245" s="146" t="s">
        <v>194</v>
      </c>
      <c r="Z245" s="146" t="s">
        <v>195</v>
      </c>
      <c r="AA245" s="146" t="s">
        <v>196</v>
      </c>
      <c r="AB245" s="146" t="s">
        <v>187</v>
      </c>
      <c r="AC245" s="146" t="s">
        <v>187</v>
      </c>
      <c r="AD245" s="148"/>
      <c r="AE245" s="146" t="s">
        <v>209</v>
      </c>
      <c r="AF245" s="147">
        <v>22.010090000000002</v>
      </c>
      <c r="AG245" s="149">
        <v>99.91601</v>
      </c>
      <c r="AM245" s="133" t="str" cm="1">
        <f t="array" ref="AM245">IF(ROWS($AN$2:$AN244)&lt;=$AN$2,INDEX($V$3:$V$3000,_xlfn.AGGREGATE(15,3,($B$3:$B$3000=$AM$2)/($B$3:$B$3000=$AM$2)*(ROW($B$3:$B$3000)-ROW($B$2)),ROWS($AN$2:$AN244))),"")</f>
        <v/>
      </c>
      <c r="AN245" s="134" t="str" cm="1">
        <f t="array" ref="AN245">IF(ROWS($AN$2:$AN244)&lt;=$AN$2,INDEX($F$3:$F$3000,_xlfn.AGGREGATE(15,3,($B$3:$B$3000=$AM$2)/($B$3:$B$3000=$AM$2)*(ROW($B$3:$B$3000)-ROW($B$2)),ROWS($AN$2:$AN244))),"")</f>
        <v/>
      </c>
      <c r="AO245" s="135" t="str" cm="1">
        <f t="array" ref="AO245">IF(ROWS($AN$2:$AN244)&lt;=$AN$2,INDEX($G$3:$G$3000,_xlfn.AGGREGATE(15,3,($B$3:$B$3000=$AM$2)/($B$3:$B$3000=$AM$2)*(ROW($B$3:$B$3000)-ROW($B$2)),ROWS($AN$2:$AN244))),"")</f>
        <v/>
      </c>
      <c r="AP245" s="121"/>
      <c r="AT245" s="111"/>
      <c r="AW245" s="134"/>
      <c r="AX245" s="136"/>
      <c r="AY245" s="134"/>
    </row>
    <row r="246" spans="1:51" s="110" customFormat="1" ht="20" customHeight="1">
      <c r="A246" s="125" t="s">
        <v>1620</v>
      </c>
      <c r="B246" s="126" t="s">
        <v>61</v>
      </c>
      <c r="C246" s="127">
        <v>21307</v>
      </c>
      <c r="D246" s="145">
        <v>116233</v>
      </c>
      <c r="E246" s="146" t="s">
        <v>4275</v>
      </c>
      <c r="F246" s="146" t="s">
        <v>4275</v>
      </c>
      <c r="G246" s="147">
        <v>34000</v>
      </c>
      <c r="H246" s="147">
        <v>4</v>
      </c>
      <c r="I246" s="146" t="s">
        <v>209</v>
      </c>
      <c r="J246" s="146" t="s">
        <v>4276</v>
      </c>
      <c r="K246" s="146" t="s">
        <v>4277</v>
      </c>
      <c r="L246" s="147">
        <v>4</v>
      </c>
      <c r="M246" s="147">
        <v>2</v>
      </c>
      <c r="N246" s="146" t="s">
        <v>1718</v>
      </c>
      <c r="O246" s="147">
        <v>5</v>
      </c>
      <c r="P246" s="147">
        <v>3.5</v>
      </c>
      <c r="Q246" s="147">
        <v>23</v>
      </c>
      <c r="R246" s="146" t="s">
        <v>1623</v>
      </c>
      <c r="S246" s="146" t="s">
        <v>1624</v>
      </c>
      <c r="T246" s="147">
        <v>317</v>
      </c>
      <c r="U246" s="146" t="s">
        <v>1713</v>
      </c>
      <c r="V246" s="146" t="s">
        <v>1714</v>
      </c>
      <c r="W246" s="147">
        <v>1</v>
      </c>
      <c r="X246" s="147">
        <v>2</v>
      </c>
      <c r="Y246" s="146" t="s">
        <v>194</v>
      </c>
      <c r="Z246" s="146" t="s">
        <v>195</v>
      </c>
      <c r="AA246" s="146" t="s">
        <v>196</v>
      </c>
      <c r="AB246" s="146" t="s">
        <v>187</v>
      </c>
      <c r="AC246" s="146" t="s">
        <v>187</v>
      </c>
      <c r="AD246" s="148"/>
      <c r="AE246" s="146" t="s">
        <v>209</v>
      </c>
      <c r="AF246" s="147">
        <v>24.352879999999999</v>
      </c>
      <c r="AG246" s="149">
        <v>95.422740000000005</v>
      </c>
      <c r="AM246" s="133" t="str" cm="1">
        <f t="array" ref="AM246">IF(ROWS($AN$2:$AN245)&lt;=$AN$2,INDEX($V$3:$V$3000,_xlfn.AGGREGATE(15,3,($B$3:$B$3000=$AM$2)/($B$3:$B$3000=$AM$2)*(ROW($B$3:$B$3000)-ROW($B$2)),ROWS($AN$2:$AN245))),"")</f>
        <v/>
      </c>
      <c r="AN246" s="134" t="str" cm="1">
        <f t="array" ref="AN246">IF(ROWS($AN$2:$AN245)&lt;=$AN$2,INDEX($F$3:$F$3000,_xlfn.AGGREGATE(15,3,($B$3:$B$3000=$AM$2)/($B$3:$B$3000=$AM$2)*(ROW($B$3:$B$3000)-ROW($B$2)),ROWS($AN$2:$AN245))),"")</f>
        <v/>
      </c>
      <c r="AO246" s="135" t="str" cm="1">
        <f t="array" ref="AO246">IF(ROWS($AN$2:$AN245)&lt;=$AN$2,INDEX($G$3:$G$3000,_xlfn.AGGREGATE(15,3,($B$3:$B$3000=$AM$2)/($B$3:$B$3000=$AM$2)*(ROW($B$3:$B$3000)-ROW($B$2)),ROWS($AN$2:$AN245))),"")</f>
        <v/>
      </c>
      <c r="AP246" s="121"/>
      <c r="AT246" s="111"/>
      <c r="AW246" s="134"/>
      <c r="AX246" s="136"/>
      <c r="AY246" s="134"/>
    </row>
    <row r="247" spans="1:51" s="110" customFormat="1" ht="20" customHeight="1">
      <c r="A247" s="125" t="s">
        <v>231</v>
      </c>
      <c r="B247" s="126" t="s">
        <v>66</v>
      </c>
      <c r="C247" s="127">
        <v>12964</v>
      </c>
      <c r="D247" s="163">
        <v>105606</v>
      </c>
      <c r="E247" s="164" t="s">
        <v>1720</v>
      </c>
      <c r="F247" s="164" t="s">
        <v>1720</v>
      </c>
      <c r="G247" s="165">
        <v>200</v>
      </c>
      <c r="H247" s="165">
        <v>1</v>
      </c>
      <c r="I247" s="164" t="s">
        <v>187</v>
      </c>
      <c r="J247" s="164" t="s">
        <v>634</v>
      </c>
      <c r="K247" s="164" t="s">
        <v>635</v>
      </c>
      <c r="L247" s="165">
        <v>0</v>
      </c>
      <c r="M247" s="165">
        <v>2</v>
      </c>
      <c r="N247" s="164" t="s">
        <v>1718</v>
      </c>
      <c r="O247" s="165">
        <v>0</v>
      </c>
      <c r="P247" s="165">
        <v>0</v>
      </c>
      <c r="Q247" s="165">
        <v>23</v>
      </c>
      <c r="R247" s="164" t="s">
        <v>1623</v>
      </c>
      <c r="S247" s="164" t="s">
        <v>1624</v>
      </c>
      <c r="T247" s="165">
        <v>317</v>
      </c>
      <c r="U247" s="164" t="s">
        <v>1713</v>
      </c>
      <c r="V247" s="164" t="s">
        <v>1714</v>
      </c>
      <c r="W247" s="165">
        <v>3</v>
      </c>
      <c r="X247" s="165">
        <v>4</v>
      </c>
      <c r="Y247" s="164" t="s">
        <v>203</v>
      </c>
      <c r="Z247" s="164" t="s">
        <v>195</v>
      </c>
      <c r="AA247" s="164" t="s">
        <v>196</v>
      </c>
      <c r="AB247" s="164" t="s">
        <v>187</v>
      </c>
      <c r="AC247" s="164" t="s">
        <v>187</v>
      </c>
      <c r="AD247" s="165">
        <v>1</v>
      </c>
      <c r="AE247" s="164" t="s">
        <v>187</v>
      </c>
      <c r="AF247" s="165">
        <v>35.499760000000002</v>
      </c>
      <c r="AG247" s="166">
        <v>75.85772</v>
      </c>
      <c r="AM247" s="133" t="str" cm="1">
        <f t="array" ref="AM247">IF(ROWS($AN$2:$AN246)&lt;=$AN$2,INDEX($V$3:$V$3000,_xlfn.AGGREGATE(15,3,($B$3:$B$3000=$AM$2)/($B$3:$B$3000=$AM$2)*(ROW($B$3:$B$3000)-ROW($B$2)),ROWS($AN$2:$AN246))),"")</f>
        <v/>
      </c>
      <c r="AN247" s="134" t="str" cm="1">
        <f t="array" ref="AN247">IF(ROWS($AN$2:$AN246)&lt;=$AN$2,INDEX($F$3:$F$3000,_xlfn.AGGREGATE(15,3,($B$3:$B$3000=$AM$2)/($B$3:$B$3000=$AM$2)*(ROW($B$3:$B$3000)-ROW($B$2)),ROWS($AN$2:$AN246))),"")</f>
        <v/>
      </c>
      <c r="AO247" s="135" t="str" cm="1">
        <f t="array" ref="AO247">IF(ROWS($AN$2:$AN246)&lt;=$AN$2,INDEX($G$3:$G$3000,_xlfn.AGGREGATE(15,3,($B$3:$B$3000=$AM$2)/($B$3:$B$3000=$AM$2)*(ROW($B$3:$B$3000)-ROW($B$2)),ROWS($AN$2:$AN246))),"")</f>
        <v/>
      </c>
      <c r="AP247" s="121"/>
      <c r="AT247" s="111"/>
      <c r="AW247" s="134"/>
      <c r="AX247" s="136"/>
      <c r="AY247" s="134"/>
    </row>
    <row r="248" spans="1:51" s="110" customFormat="1" ht="20" customHeight="1">
      <c r="A248" s="125" t="s">
        <v>478</v>
      </c>
      <c r="B248" s="126" t="s">
        <v>56</v>
      </c>
      <c r="C248" s="127">
        <v>13845</v>
      </c>
      <c r="D248" s="163">
        <v>106842</v>
      </c>
      <c r="E248" s="164" t="s">
        <v>2537</v>
      </c>
      <c r="F248" s="164" t="s">
        <v>2537</v>
      </c>
      <c r="G248" s="165">
        <v>1500</v>
      </c>
      <c r="H248" s="165">
        <v>1</v>
      </c>
      <c r="I248" s="164" t="s">
        <v>187</v>
      </c>
      <c r="J248" s="164" t="s">
        <v>2538</v>
      </c>
      <c r="K248" s="164" t="s">
        <v>2537</v>
      </c>
      <c r="L248" s="165">
        <v>1</v>
      </c>
      <c r="M248" s="165">
        <v>2</v>
      </c>
      <c r="N248" s="164" t="s">
        <v>1718</v>
      </c>
      <c r="O248" s="165">
        <v>0</v>
      </c>
      <c r="P248" s="165">
        <v>0</v>
      </c>
      <c r="Q248" s="165">
        <v>23</v>
      </c>
      <c r="R248" s="164" t="s">
        <v>1623</v>
      </c>
      <c r="S248" s="164" t="s">
        <v>1624</v>
      </c>
      <c r="T248" s="165">
        <v>317</v>
      </c>
      <c r="U248" s="164" t="s">
        <v>1713</v>
      </c>
      <c r="V248" s="164" t="s">
        <v>1714</v>
      </c>
      <c r="W248" s="165">
        <v>1</v>
      </c>
      <c r="X248" s="165">
        <v>2</v>
      </c>
      <c r="Y248" s="164" t="s">
        <v>194</v>
      </c>
      <c r="Z248" s="164" t="s">
        <v>195</v>
      </c>
      <c r="AA248" s="164" t="s">
        <v>196</v>
      </c>
      <c r="AB248" s="164" t="s">
        <v>187</v>
      </c>
      <c r="AC248" s="164" t="s">
        <v>187</v>
      </c>
      <c r="AD248" s="165">
        <v>1</v>
      </c>
      <c r="AE248" s="164" t="s">
        <v>187</v>
      </c>
      <c r="AF248" s="165">
        <v>18.171749999999999</v>
      </c>
      <c r="AG248" s="166">
        <v>100.20957</v>
      </c>
      <c r="AM248" s="133" t="str" cm="1">
        <f t="array" ref="AM248">IF(ROWS($AN$2:$AN247)&lt;=$AN$2,INDEX($V$3:$V$3000,_xlfn.AGGREGATE(15,3,($B$3:$B$3000=$AM$2)/($B$3:$B$3000=$AM$2)*(ROW($B$3:$B$3000)-ROW($B$2)),ROWS($AN$2:$AN247))),"")</f>
        <v/>
      </c>
      <c r="AN248" s="134" t="str" cm="1">
        <f t="array" ref="AN248">IF(ROWS($AN$2:$AN247)&lt;=$AN$2,INDEX($F$3:$F$3000,_xlfn.AGGREGATE(15,3,($B$3:$B$3000=$AM$2)/($B$3:$B$3000=$AM$2)*(ROW($B$3:$B$3000)-ROW($B$2)),ROWS($AN$2:$AN247))),"")</f>
        <v/>
      </c>
      <c r="AO248" s="135" t="str" cm="1">
        <f t="array" ref="AO248">IF(ROWS($AN$2:$AN247)&lt;=$AN$2,INDEX($G$3:$G$3000,_xlfn.AGGREGATE(15,3,($B$3:$B$3000=$AM$2)/($B$3:$B$3000=$AM$2)*(ROW($B$3:$B$3000)-ROW($B$2)),ROWS($AN$2:$AN247))),"")</f>
        <v/>
      </c>
      <c r="AP248" s="121"/>
      <c r="AT248" s="111"/>
      <c r="AW248" s="134"/>
      <c r="AX248" s="136"/>
      <c r="AY248" s="134"/>
    </row>
    <row r="249" spans="1:51" s="110" customFormat="1" ht="20" customHeight="1">
      <c r="A249" s="125" t="s">
        <v>478</v>
      </c>
      <c r="B249" s="126" t="s">
        <v>56</v>
      </c>
      <c r="C249" s="127">
        <v>15690</v>
      </c>
      <c r="D249" s="163">
        <v>110368</v>
      </c>
      <c r="E249" s="164" t="s">
        <v>1999</v>
      </c>
      <c r="F249" s="164" t="s">
        <v>1999</v>
      </c>
      <c r="G249" s="165">
        <v>500</v>
      </c>
      <c r="H249" s="165">
        <v>1</v>
      </c>
      <c r="I249" s="164" t="s">
        <v>187</v>
      </c>
      <c r="J249" s="164" t="s">
        <v>2000</v>
      </c>
      <c r="K249" s="164" t="s">
        <v>1999</v>
      </c>
      <c r="L249" s="165">
        <v>0</v>
      </c>
      <c r="M249" s="165">
        <v>2</v>
      </c>
      <c r="N249" s="164" t="s">
        <v>1718</v>
      </c>
      <c r="O249" s="165">
        <v>1.4</v>
      </c>
      <c r="P249" s="165">
        <v>0</v>
      </c>
      <c r="Q249" s="165">
        <v>23</v>
      </c>
      <c r="R249" s="164" t="s">
        <v>1623</v>
      </c>
      <c r="S249" s="164" t="s">
        <v>1624</v>
      </c>
      <c r="T249" s="165">
        <v>317</v>
      </c>
      <c r="U249" s="164" t="s">
        <v>1713</v>
      </c>
      <c r="V249" s="164" t="s">
        <v>1714</v>
      </c>
      <c r="W249" s="165">
        <v>1</v>
      </c>
      <c r="X249" s="165">
        <v>2</v>
      </c>
      <c r="Y249" s="164" t="s">
        <v>194</v>
      </c>
      <c r="Z249" s="164" t="s">
        <v>195</v>
      </c>
      <c r="AA249" s="164" t="s">
        <v>196</v>
      </c>
      <c r="AB249" s="164" t="s">
        <v>187</v>
      </c>
      <c r="AC249" s="164" t="s">
        <v>187</v>
      </c>
      <c r="AD249" s="165">
        <v>1</v>
      </c>
      <c r="AE249" s="164" t="s">
        <v>209</v>
      </c>
      <c r="AF249" s="165">
        <v>14.968970000000001</v>
      </c>
      <c r="AG249" s="166">
        <v>99.298810000000003</v>
      </c>
      <c r="AM249" s="133" t="str" cm="1">
        <f t="array" ref="AM249">IF(ROWS($AN$2:$AN248)&lt;=$AN$2,INDEX($V$3:$V$3000,_xlfn.AGGREGATE(15,3,($B$3:$B$3000=$AM$2)/($B$3:$B$3000=$AM$2)*(ROW($B$3:$B$3000)-ROW($B$2)),ROWS($AN$2:$AN248))),"")</f>
        <v/>
      </c>
      <c r="AN249" s="134" t="str" cm="1">
        <f t="array" ref="AN249">IF(ROWS($AN$2:$AN248)&lt;=$AN$2,INDEX($F$3:$F$3000,_xlfn.AGGREGATE(15,3,($B$3:$B$3000=$AM$2)/($B$3:$B$3000=$AM$2)*(ROW($B$3:$B$3000)-ROW($B$2)),ROWS($AN$2:$AN248))),"")</f>
        <v/>
      </c>
      <c r="AO249" s="135" t="str" cm="1">
        <f t="array" ref="AO249">IF(ROWS($AN$2:$AN248)&lt;=$AN$2,INDEX($G$3:$G$3000,_xlfn.AGGREGATE(15,3,($B$3:$B$3000=$AM$2)/($B$3:$B$3000=$AM$2)*(ROW($B$3:$B$3000)-ROW($B$2)),ROWS($AN$2:$AN248))),"")</f>
        <v/>
      </c>
      <c r="AP249" s="121"/>
      <c r="AT249" s="111"/>
      <c r="AW249" s="134"/>
      <c r="AX249" s="136"/>
      <c r="AY249" s="134"/>
    </row>
    <row r="250" spans="1:51" s="110" customFormat="1" ht="20" customHeight="1">
      <c r="A250" s="125" t="s">
        <v>478</v>
      </c>
      <c r="B250" s="126" t="s">
        <v>56</v>
      </c>
      <c r="C250" s="127">
        <v>16018</v>
      </c>
      <c r="D250" s="157">
        <v>111024</v>
      </c>
      <c r="E250" s="158" t="s">
        <v>2981</v>
      </c>
      <c r="F250" s="158" t="s">
        <v>2981</v>
      </c>
      <c r="G250" s="159">
        <v>16000</v>
      </c>
      <c r="H250" s="159">
        <v>2</v>
      </c>
      <c r="I250" s="158" t="s">
        <v>209</v>
      </c>
      <c r="J250" s="158" t="s">
        <v>2982</v>
      </c>
      <c r="K250" s="158" t="s">
        <v>2981</v>
      </c>
      <c r="L250" s="159">
        <v>4</v>
      </c>
      <c r="M250" s="159">
        <v>2</v>
      </c>
      <c r="N250" s="158" t="s">
        <v>1718</v>
      </c>
      <c r="O250" s="159">
        <v>20</v>
      </c>
      <c r="P250" s="159">
        <v>1.8</v>
      </c>
      <c r="Q250" s="159">
        <v>23</v>
      </c>
      <c r="R250" s="158" t="s">
        <v>1623</v>
      </c>
      <c r="S250" s="158" t="s">
        <v>1624</v>
      </c>
      <c r="T250" s="159">
        <v>317</v>
      </c>
      <c r="U250" s="158" t="s">
        <v>1713</v>
      </c>
      <c r="V250" s="158" t="s">
        <v>1714</v>
      </c>
      <c r="W250" s="159">
        <v>5</v>
      </c>
      <c r="X250" s="159">
        <v>2</v>
      </c>
      <c r="Y250" s="158" t="s">
        <v>194</v>
      </c>
      <c r="Z250" s="158" t="s">
        <v>195</v>
      </c>
      <c r="AA250" s="158" t="s">
        <v>196</v>
      </c>
      <c r="AB250" s="158" t="s">
        <v>187</v>
      </c>
      <c r="AC250" s="158" t="s">
        <v>209</v>
      </c>
      <c r="AD250" s="160"/>
      <c r="AE250" s="158" t="s">
        <v>209</v>
      </c>
      <c r="AF250" s="159">
        <v>19.276589999999999</v>
      </c>
      <c r="AG250" s="161">
        <v>99.583600000000004</v>
      </c>
      <c r="AM250" s="133" t="str" cm="1">
        <f t="array" ref="AM250">IF(ROWS($AN$2:$AN249)&lt;=$AN$2,INDEX($V$3:$V$3000,_xlfn.AGGREGATE(15,3,($B$3:$B$3000=$AM$2)/($B$3:$B$3000=$AM$2)*(ROW($B$3:$B$3000)-ROW($B$2)),ROWS($AN$2:$AN249))),"")</f>
        <v/>
      </c>
      <c r="AN250" s="134" t="str" cm="1">
        <f t="array" ref="AN250">IF(ROWS($AN$2:$AN249)&lt;=$AN$2,INDEX($F$3:$F$3000,_xlfn.AGGREGATE(15,3,($B$3:$B$3000=$AM$2)/($B$3:$B$3000=$AM$2)*(ROW($B$3:$B$3000)-ROW($B$2)),ROWS($AN$2:$AN249))),"")</f>
        <v/>
      </c>
      <c r="AO250" s="135" t="str" cm="1">
        <f t="array" ref="AO250">IF(ROWS($AN$2:$AN249)&lt;=$AN$2,INDEX($G$3:$G$3000,_xlfn.AGGREGATE(15,3,($B$3:$B$3000=$AM$2)/($B$3:$B$3000=$AM$2)*(ROW($B$3:$B$3000)-ROW($B$2)),ROWS($AN$2:$AN249))),"")</f>
        <v/>
      </c>
      <c r="AP250" s="121"/>
      <c r="AT250" s="111"/>
      <c r="AW250" s="134"/>
      <c r="AX250" s="136"/>
      <c r="AY250" s="134"/>
    </row>
    <row r="251" spans="1:51" s="110" customFormat="1" ht="20" customHeight="1">
      <c r="A251" s="125" t="s">
        <v>480</v>
      </c>
      <c r="B251" s="126" t="s">
        <v>63</v>
      </c>
      <c r="C251" s="127">
        <v>18528</v>
      </c>
      <c r="D251" s="163">
        <v>114143</v>
      </c>
      <c r="E251" s="164" t="s">
        <v>3458</v>
      </c>
      <c r="F251" s="164" t="s">
        <v>3458</v>
      </c>
      <c r="G251" s="165">
        <v>7900</v>
      </c>
      <c r="H251" s="165">
        <v>1</v>
      </c>
      <c r="I251" s="164" t="s">
        <v>187</v>
      </c>
      <c r="J251" s="164" t="s">
        <v>3459</v>
      </c>
      <c r="K251" s="164" t="s">
        <v>3458</v>
      </c>
      <c r="L251" s="165">
        <v>1</v>
      </c>
      <c r="M251" s="165">
        <v>2</v>
      </c>
      <c r="N251" s="164" t="s">
        <v>1718</v>
      </c>
      <c r="O251" s="165">
        <v>2</v>
      </c>
      <c r="P251" s="165">
        <v>1.2370000000000001</v>
      </c>
      <c r="Q251" s="165">
        <v>23</v>
      </c>
      <c r="R251" s="164" t="s">
        <v>1623</v>
      </c>
      <c r="S251" s="164" t="s">
        <v>1624</v>
      </c>
      <c r="T251" s="165">
        <v>317</v>
      </c>
      <c r="U251" s="164" t="s">
        <v>1713</v>
      </c>
      <c r="V251" s="164" t="s">
        <v>1714</v>
      </c>
      <c r="W251" s="165">
        <v>2</v>
      </c>
      <c r="X251" s="165">
        <v>2</v>
      </c>
      <c r="Y251" s="164" t="s">
        <v>194</v>
      </c>
      <c r="Z251" s="164" t="s">
        <v>195</v>
      </c>
      <c r="AA251" s="164" t="s">
        <v>196</v>
      </c>
      <c r="AB251" s="164" t="s">
        <v>187</v>
      </c>
      <c r="AC251" s="164" t="s">
        <v>187</v>
      </c>
      <c r="AD251" s="165">
        <v>1</v>
      </c>
      <c r="AE251" s="164" t="s">
        <v>209</v>
      </c>
      <c r="AF251" s="165">
        <v>22.398669000000002</v>
      </c>
      <c r="AG251" s="166">
        <v>103.30658200000001</v>
      </c>
      <c r="AM251" s="133" t="str" cm="1">
        <f t="array" ref="AM251">IF(ROWS($AN$2:$AN250)&lt;=$AN$2,INDEX($V$3:$V$3000,_xlfn.AGGREGATE(15,3,($B$3:$B$3000=$AM$2)/($B$3:$B$3000=$AM$2)*(ROW($B$3:$B$3000)-ROW($B$2)),ROWS($AN$2:$AN250))),"")</f>
        <v/>
      </c>
      <c r="AN251" s="134" t="str" cm="1">
        <f t="array" ref="AN251">IF(ROWS($AN$2:$AN250)&lt;=$AN$2,INDEX($F$3:$F$3000,_xlfn.AGGREGATE(15,3,($B$3:$B$3000=$AM$2)/($B$3:$B$3000=$AM$2)*(ROW($B$3:$B$3000)-ROW($B$2)),ROWS($AN$2:$AN250))),"")</f>
        <v/>
      </c>
      <c r="AO251" s="135" t="str" cm="1">
        <f t="array" ref="AO251">IF(ROWS($AN$2:$AN250)&lt;=$AN$2,INDEX($G$3:$G$3000,_xlfn.AGGREGATE(15,3,($B$3:$B$3000=$AM$2)/($B$3:$B$3000=$AM$2)*(ROW($B$3:$B$3000)-ROW($B$2)),ROWS($AN$2:$AN250))),"")</f>
        <v/>
      </c>
      <c r="AP251" s="121"/>
      <c r="AT251" s="111"/>
      <c r="AW251" s="134"/>
      <c r="AX251" s="136"/>
      <c r="AY251" s="134"/>
    </row>
    <row r="252" spans="1:51" s="110" customFormat="1" ht="20" customHeight="1">
      <c r="A252" s="125" t="s">
        <v>483</v>
      </c>
      <c r="B252" s="126" t="s">
        <v>55</v>
      </c>
      <c r="C252" s="127">
        <v>12700</v>
      </c>
      <c r="D252" s="163">
        <v>105018</v>
      </c>
      <c r="E252" s="164" t="s">
        <v>1633</v>
      </c>
      <c r="F252" s="164" t="s">
        <v>1633</v>
      </c>
      <c r="G252" s="165">
        <v>814000</v>
      </c>
      <c r="H252" s="165">
        <v>1</v>
      </c>
      <c r="I252" s="164" t="s">
        <v>187</v>
      </c>
      <c r="J252" s="164" t="s">
        <v>1632</v>
      </c>
      <c r="K252" s="164" t="s">
        <v>1633</v>
      </c>
      <c r="L252" s="165">
        <v>5</v>
      </c>
      <c r="M252" s="165">
        <v>2</v>
      </c>
      <c r="N252" s="164" t="s">
        <v>1718</v>
      </c>
      <c r="O252" s="165">
        <v>3</v>
      </c>
      <c r="P252" s="165">
        <v>0.17</v>
      </c>
      <c r="Q252" s="165">
        <v>20</v>
      </c>
      <c r="R252" s="164" t="s">
        <v>574</v>
      </c>
      <c r="S252" s="164" t="s">
        <v>575</v>
      </c>
      <c r="T252" s="165">
        <v>316</v>
      </c>
      <c r="U252" s="164" t="s">
        <v>4600</v>
      </c>
      <c r="V252" s="164" t="s">
        <v>1633</v>
      </c>
      <c r="W252" s="165">
        <v>35</v>
      </c>
      <c r="X252" s="165">
        <v>2</v>
      </c>
      <c r="Y252" s="164" t="s">
        <v>194</v>
      </c>
      <c r="Z252" s="164" t="s">
        <v>195</v>
      </c>
      <c r="AA252" s="164" t="s">
        <v>196</v>
      </c>
      <c r="AB252" s="164" t="s">
        <v>187</v>
      </c>
      <c r="AC252" s="164" t="s">
        <v>187</v>
      </c>
      <c r="AD252" s="165">
        <v>16</v>
      </c>
      <c r="AE252" s="164" t="s">
        <v>209</v>
      </c>
      <c r="AF252" s="165">
        <v>11.598979999999999</v>
      </c>
      <c r="AG252" s="166">
        <v>104.93201000000001</v>
      </c>
      <c r="AM252" s="133" t="str" cm="1">
        <f t="array" ref="AM252">IF(ROWS($AN$2:$AN251)&lt;=$AN$2,INDEX($V$3:$V$3000,_xlfn.AGGREGATE(15,3,($B$3:$B$3000=$AM$2)/($B$3:$B$3000=$AM$2)*(ROW($B$3:$B$3000)-ROW($B$2)),ROWS($AN$2:$AN251))),"")</f>
        <v/>
      </c>
      <c r="AN252" s="134" t="str" cm="1">
        <f t="array" ref="AN252">IF(ROWS($AN$2:$AN251)&lt;=$AN$2,INDEX($F$3:$F$3000,_xlfn.AGGREGATE(15,3,($B$3:$B$3000=$AM$2)/($B$3:$B$3000=$AM$2)*(ROW($B$3:$B$3000)-ROW($B$2)),ROWS($AN$2:$AN251))),"")</f>
        <v/>
      </c>
      <c r="AO252" s="135" t="str" cm="1">
        <f t="array" ref="AO252">IF(ROWS($AN$2:$AN251)&lt;=$AN$2,INDEX($G$3:$G$3000,_xlfn.AGGREGATE(15,3,($B$3:$B$3000=$AM$2)/($B$3:$B$3000=$AM$2)*(ROW($B$3:$B$3000)-ROW($B$2)),ROWS($AN$2:$AN251))),"")</f>
        <v/>
      </c>
      <c r="AP252" s="121"/>
      <c r="AT252" s="111"/>
      <c r="AW252" s="134"/>
      <c r="AX252" s="136"/>
      <c r="AY252" s="134"/>
    </row>
    <row r="253" spans="1:51" s="110" customFormat="1" ht="20" customHeight="1">
      <c r="A253" s="125" t="s">
        <v>471</v>
      </c>
      <c r="B253" s="126" t="s">
        <v>65</v>
      </c>
      <c r="C253" s="127">
        <v>12700</v>
      </c>
      <c r="D253" s="157">
        <v>105018</v>
      </c>
      <c r="E253" s="158" t="s">
        <v>1633</v>
      </c>
      <c r="F253" s="158" t="s">
        <v>1633</v>
      </c>
      <c r="G253" s="159">
        <v>120000</v>
      </c>
      <c r="H253" s="159">
        <v>2</v>
      </c>
      <c r="I253" s="158" t="s">
        <v>209</v>
      </c>
      <c r="J253" s="158" t="s">
        <v>1632</v>
      </c>
      <c r="K253" s="158" t="s">
        <v>1633</v>
      </c>
      <c r="L253" s="159">
        <v>5</v>
      </c>
      <c r="M253" s="159">
        <v>2</v>
      </c>
      <c r="N253" s="158" t="s">
        <v>1718</v>
      </c>
      <c r="O253" s="159">
        <v>9</v>
      </c>
      <c r="P253" s="159">
        <v>1.8</v>
      </c>
      <c r="Q253" s="159">
        <v>20</v>
      </c>
      <c r="R253" s="158" t="s">
        <v>574</v>
      </c>
      <c r="S253" s="158" t="s">
        <v>575</v>
      </c>
      <c r="T253" s="159">
        <v>316</v>
      </c>
      <c r="U253" s="158" t="s">
        <v>4600</v>
      </c>
      <c r="V253" s="158" t="s">
        <v>1633</v>
      </c>
      <c r="W253" s="159">
        <v>35</v>
      </c>
      <c r="X253" s="159">
        <v>2</v>
      </c>
      <c r="Y253" s="158" t="s">
        <v>194</v>
      </c>
      <c r="Z253" s="158" t="s">
        <v>195</v>
      </c>
      <c r="AA253" s="158" t="s">
        <v>196</v>
      </c>
      <c r="AB253" s="158" t="s">
        <v>187</v>
      </c>
      <c r="AC253" s="158" t="s">
        <v>209</v>
      </c>
      <c r="AD253" s="160"/>
      <c r="AE253" s="158" t="s">
        <v>209</v>
      </c>
      <c r="AF253" s="159">
        <v>16.480969999999999</v>
      </c>
      <c r="AG253" s="161">
        <v>105.22257999999999</v>
      </c>
      <c r="AM253" s="133" t="str" cm="1">
        <f t="array" ref="AM253">IF(ROWS($AN$2:$AN252)&lt;=$AN$2,INDEX($V$3:$V$3000,_xlfn.AGGREGATE(15,3,($B$3:$B$3000=$AM$2)/($B$3:$B$3000=$AM$2)*(ROW($B$3:$B$3000)-ROW($B$2)),ROWS($AN$2:$AN252))),"")</f>
        <v/>
      </c>
      <c r="AN253" s="134" t="str" cm="1">
        <f t="array" ref="AN253">IF(ROWS($AN$2:$AN252)&lt;=$AN$2,INDEX($F$3:$F$3000,_xlfn.AGGREGATE(15,3,($B$3:$B$3000=$AM$2)/($B$3:$B$3000=$AM$2)*(ROW($B$3:$B$3000)-ROW($B$2)),ROWS($AN$2:$AN252))),"")</f>
        <v/>
      </c>
      <c r="AO253" s="135" t="str" cm="1">
        <f t="array" ref="AO253">IF(ROWS($AN$2:$AN252)&lt;=$AN$2,INDEX($G$3:$G$3000,_xlfn.AGGREGATE(15,3,($B$3:$B$3000=$AM$2)/($B$3:$B$3000=$AM$2)*(ROW($B$3:$B$3000)-ROW($B$2)),ROWS($AN$2:$AN252))),"")</f>
        <v/>
      </c>
      <c r="AP253" s="121"/>
      <c r="AT253" s="111"/>
      <c r="AW253" s="134"/>
      <c r="AX253" s="136"/>
      <c r="AY253" s="134"/>
    </row>
    <row r="254" spans="1:51" s="110" customFormat="1" ht="20" customHeight="1">
      <c r="A254" s="125" t="s">
        <v>237</v>
      </c>
      <c r="B254" s="126" t="s">
        <v>60</v>
      </c>
      <c r="C254" s="127">
        <v>12700</v>
      </c>
      <c r="D254" s="157">
        <v>105018</v>
      </c>
      <c r="E254" s="158" t="s">
        <v>1633</v>
      </c>
      <c r="F254" s="158" t="s">
        <v>1633</v>
      </c>
      <c r="G254" s="159">
        <v>100000</v>
      </c>
      <c r="H254" s="159">
        <v>2</v>
      </c>
      <c r="I254" s="158" t="s">
        <v>209</v>
      </c>
      <c r="J254" s="158" t="s">
        <v>1632</v>
      </c>
      <c r="K254" s="158" t="s">
        <v>1633</v>
      </c>
      <c r="L254" s="159">
        <v>5</v>
      </c>
      <c r="M254" s="159">
        <v>2</v>
      </c>
      <c r="N254" s="158" t="s">
        <v>1718</v>
      </c>
      <c r="O254" s="159">
        <v>8</v>
      </c>
      <c r="P254" s="159">
        <v>1.2</v>
      </c>
      <c r="Q254" s="159">
        <v>20</v>
      </c>
      <c r="R254" s="158" t="s">
        <v>574</v>
      </c>
      <c r="S254" s="158" t="s">
        <v>575</v>
      </c>
      <c r="T254" s="159">
        <v>316</v>
      </c>
      <c r="U254" s="158" t="s">
        <v>4600</v>
      </c>
      <c r="V254" s="158" t="s">
        <v>1633</v>
      </c>
      <c r="W254" s="159">
        <v>35</v>
      </c>
      <c r="X254" s="159">
        <v>2</v>
      </c>
      <c r="Y254" s="158" t="s">
        <v>194</v>
      </c>
      <c r="Z254" s="158" t="s">
        <v>195</v>
      </c>
      <c r="AA254" s="158" t="s">
        <v>196</v>
      </c>
      <c r="AB254" s="158" t="s">
        <v>187</v>
      </c>
      <c r="AC254" s="158" t="s">
        <v>209</v>
      </c>
      <c r="AD254" s="160"/>
      <c r="AE254" s="158" t="s">
        <v>209</v>
      </c>
      <c r="AF254" s="159">
        <v>3.1834358755651802</v>
      </c>
      <c r="AG254" s="161">
        <v>101.697543545098</v>
      </c>
      <c r="AM254" s="133" t="str" cm="1">
        <f t="array" ref="AM254">IF(ROWS($AN$2:$AN253)&lt;=$AN$2,INDEX($V$3:$V$3000,_xlfn.AGGREGATE(15,3,($B$3:$B$3000=$AM$2)/($B$3:$B$3000=$AM$2)*(ROW($B$3:$B$3000)-ROW($B$2)),ROWS($AN$2:$AN253))),"")</f>
        <v/>
      </c>
      <c r="AN254" s="134" t="str" cm="1">
        <f t="array" ref="AN254">IF(ROWS($AN$2:$AN253)&lt;=$AN$2,INDEX($F$3:$F$3000,_xlfn.AGGREGATE(15,3,($B$3:$B$3000=$AM$2)/($B$3:$B$3000=$AM$2)*(ROW($B$3:$B$3000)-ROW($B$2)),ROWS($AN$2:$AN253))),"")</f>
        <v/>
      </c>
      <c r="AO254" s="135" t="str" cm="1">
        <f t="array" ref="AO254">IF(ROWS($AN$2:$AN253)&lt;=$AN$2,INDEX($G$3:$G$3000,_xlfn.AGGREGATE(15,3,($B$3:$B$3000=$AM$2)/($B$3:$B$3000=$AM$2)*(ROW($B$3:$B$3000)-ROW($B$2)),ROWS($AN$2:$AN253))),"")</f>
        <v/>
      </c>
      <c r="AP254" s="121"/>
      <c r="AT254" s="111"/>
      <c r="AW254" s="134"/>
      <c r="AX254" s="136"/>
      <c r="AY254" s="134"/>
    </row>
    <row r="255" spans="1:51" s="110" customFormat="1" ht="20" customHeight="1">
      <c r="A255" s="125" t="s">
        <v>478</v>
      </c>
      <c r="B255" s="126" t="s">
        <v>56</v>
      </c>
      <c r="C255" s="127">
        <v>12700</v>
      </c>
      <c r="D255" s="157">
        <v>105018</v>
      </c>
      <c r="E255" s="158" t="s">
        <v>1633</v>
      </c>
      <c r="F255" s="158" t="s">
        <v>1633</v>
      </c>
      <c r="G255" s="159">
        <v>122000</v>
      </c>
      <c r="H255" s="159">
        <v>2</v>
      </c>
      <c r="I255" s="158" t="s">
        <v>209</v>
      </c>
      <c r="J255" s="158" t="s">
        <v>1632</v>
      </c>
      <c r="K255" s="158" t="s">
        <v>1633</v>
      </c>
      <c r="L255" s="159">
        <v>5</v>
      </c>
      <c r="M255" s="159">
        <v>2</v>
      </c>
      <c r="N255" s="158" t="s">
        <v>1718</v>
      </c>
      <c r="O255" s="159">
        <v>9</v>
      </c>
      <c r="P255" s="159">
        <v>1.8</v>
      </c>
      <c r="Q255" s="159">
        <v>20</v>
      </c>
      <c r="R255" s="158" t="s">
        <v>574</v>
      </c>
      <c r="S255" s="158" t="s">
        <v>575</v>
      </c>
      <c r="T255" s="159">
        <v>316</v>
      </c>
      <c r="U255" s="158" t="s">
        <v>4600</v>
      </c>
      <c r="V255" s="158" t="s">
        <v>1633</v>
      </c>
      <c r="W255" s="159">
        <v>35</v>
      </c>
      <c r="X255" s="159">
        <v>2</v>
      </c>
      <c r="Y255" s="158" t="s">
        <v>194</v>
      </c>
      <c r="Z255" s="158" t="s">
        <v>195</v>
      </c>
      <c r="AA255" s="158" t="s">
        <v>196</v>
      </c>
      <c r="AB255" s="158" t="s">
        <v>187</v>
      </c>
      <c r="AC255" s="158" t="s">
        <v>209</v>
      </c>
      <c r="AD255" s="160"/>
      <c r="AE255" s="158" t="s">
        <v>209</v>
      </c>
      <c r="AF255" s="159">
        <v>13.605335146999399</v>
      </c>
      <c r="AG255" s="161">
        <v>100.546695171945</v>
      </c>
      <c r="AM255" s="133" t="str" cm="1">
        <f t="array" ref="AM255">IF(ROWS($AN$2:$AN254)&lt;=$AN$2,INDEX($V$3:$V$3000,_xlfn.AGGREGATE(15,3,($B$3:$B$3000=$AM$2)/($B$3:$B$3000=$AM$2)*(ROW($B$3:$B$3000)-ROW($B$2)),ROWS($AN$2:$AN254))),"")</f>
        <v/>
      </c>
      <c r="AN255" s="134" t="str" cm="1">
        <f t="array" ref="AN255">IF(ROWS($AN$2:$AN254)&lt;=$AN$2,INDEX($F$3:$F$3000,_xlfn.AGGREGATE(15,3,($B$3:$B$3000=$AM$2)/($B$3:$B$3000=$AM$2)*(ROW($B$3:$B$3000)-ROW($B$2)),ROWS($AN$2:$AN254))),"")</f>
        <v/>
      </c>
      <c r="AO255" s="135" t="str" cm="1">
        <f t="array" ref="AO255">IF(ROWS($AN$2:$AN254)&lt;=$AN$2,INDEX($G$3:$G$3000,_xlfn.AGGREGATE(15,3,($B$3:$B$3000=$AM$2)/($B$3:$B$3000=$AM$2)*(ROW($B$3:$B$3000)-ROW($B$2)),ROWS($AN$2:$AN254))),"")</f>
        <v/>
      </c>
      <c r="AP255" s="121"/>
      <c r="AT255" s="111"/>
      <c r="AW255" s="134"/>
      <c r="AX255" s="136"/>
      <c r="AY255" s="134"/>
    </row>
    <row r="256" spans="1:51" s="110" customFormat="1" ht="20" customHeight="1">
      <c r="A256" s="125" t="s">
        <v>480</v>
      </c>
      <c r="B256" s="126" t="s">
        <v>63</v>
      </c>
      <c r="C256" s="127">
        <v>12700</v>
      </c>
      <c r="D256" s="157">
        <v>105018</v>
      </c>
      <c r="E256" s="158" t="s">
        <v>1633</v>
      </c>
      <c r="F256" s="158" t="s">
        <v>1633</v>
      </c>
      <c r="G256" s="159">
        <v>80390000</v>
      </c>
      <c r="H256" s="159">
        <v>2</v>
      </c>
      <c r="I256" s="158" t="s">
        <v>209</v>
      </c>
      <c r="J256" s="158" t="s">
        <v>1632</v>
      </c>
      <c r="K256" s="158" t="s">
        <v>1633</v>
      </c>
      <c r="L256" s="159">
        <v>5</v>
      </c>
      <c r="M256" s="159">
        <v>2</v>
      </c>
      <c r="N256" s="158" t="s">
        <v>1718</v>
      </c>
      <c r="O256" s="159">
        <v>9.4</v>
      </c>
      <c r="P256" s="159">
        <v>1.403</v>
      </c>
      <c r="Q256" s="159">
        <v>20</v>
      </c>
      <c r="R256" s="158" t="s">
        <v>574</v>
      </c>
      <c r="S256" s="158" t="s">
        <v>575</v>
      </c>
      <c r="T256" s="159">
        <v>316</v>
      </c>
      <c r="U256" s="158" t="s">
        <v>4600</v>
      </c>
      <c r="V256" s="158" t="s">
        <v>1633</v>
      </c>
      <c r="W256" s="159">
        <v>35</v>
      </c>
      <c r="X256" s="159">
        <v>2</v>
      </c>
      <c r="Y256" s="158" t="s">
        <v>194</v>
      </c>
      <c r="Z256" s="158" t="s">
        <v>195</v>
      </c>
      <c r="AA256" s="158" t="s">
        <v>196</v>
      </c>
      <c r="AB256" s="158" t="s">
        <v>187</v>
      </c>
      <c r="AC256" s="158" t="s">
        <v>187</v>
      </c>
      <c r="AD256" s="160"/>
      <c r="AE256" s="158" t="s">
        <v>209</v>
      </c>
      <c r="AF256" s="159">
        <v>17.1194500004171</v>
      </c>
      <c r="AG256" s="161">
        <v>106.91747000034</v>
      </c>
      <c r="AM256" s="133" t="str" cm="1">
        <f t="array" ref="AM256">IF(ROWS($AN$2:$AN255)&lt;=$AN$2,INDEX($V$3:$V$3000,_xlfn.AGGREGATE(15,3,($B$3:$B$3000=$AM$2)/($B$3:$B$3000=$AM$2)*(ROW($B$3:$B$3000)-ROW($B$2)),ROWS($AN$2:$AN255))),"")</f>
        <v/>
      </c>
      <c r="AN256" s="134" t="str" cm="1">
        <f t="array" ref="AN256">IF(ROWS($AN$2:$AN255)&lt;=$AN$2,INDEX($F$3:$F$3000,_xlfn.AGGREGATE(15,3,($B$3:$B$3000=$AM$2)/($B$3:$B$3000=$AM$2)*(ROW($B$3:$B$3000)-ROW($B$2)),ROWS($AN$2:$AN255))),"")</f>
        <v/>
      </c>
      <c r="AO256" s="135" t="str" cm="1">
        <f t="array" ref="AO256">IF(ROWS($AN$2:$AN255)&lt;=$AN$2,INDEX($G$3:$G$3000,_xlfn.AGGREGATE(15,3,($B$3:$B$3000=$AM$2)/($B$3:$B$3000=$AM$2)*(ROW($B$3:$B$3000)-ROW($B$2)),ROWS($AN$2:$AN255))),"")</f>
        <v/>
      </c>
      <c r="AP256" s="121"/>
      <c r="AT256" s="111"/>
      <c r="AW256" s="134"/>
      <c r="AX256" s="136"/>
      <c r="AY256" s="134"/>
    </row>
    <row r="257" spans="1:51" s="110" customFormat="1" ht="20" customHeight="1">
      <c r="A257" s="125" t="s">
        <v>185</v>
      </c>
      <c r="B257" s="126" t="s">
        <v>59</v>
      </c>
      <c r="C257" s="127">
        <v>15741</v>
      </c>
      <c r="D257" s="145">
        <v>110448</v>
      </c>
      <c r="E257" s="146" t="s">
        <v>3476</v>
      </c>
      <c r="F257" s="146" t="s">
        <v>3476</v>
      </c>
      <c r="G257" s="147">
        <v>19000</v>
      </c>
      <c r="H257" s="147">
        <v>4</v>
      </c>
      <c r="I257" s="146" t="s">
        <v>209</v>
      </c>
      <c r="J257" s="146" t="s">
        <v>1058</v>
      </c>
      <c r="K257" s="146" t="s">
        <v>1059</v>
      </c>
      <c r="L257" s="147">
        <v>5</v>
      </c>
      <c r="M257" s="147">
        <v>1</v>
      </c>
      <c r="N257" s="146" t="s">
        <v>1544</v>
      </c>
      <c r="O257" s="147">
        <v>85</v>
      </c>
      <c r="P257" s="147">
        <v>7</v>
      </c>
      <c r="Q257" s="147">
        <v>18</v>
      </c>
      <c r="R257" s="146" t="s">
        <v>3477</v>
      </c>
      <c r="S257" s="146" t="s">
        <v>3478</v>
      </c>
      <c r="T257" s="147">
        <v>109</v>
      </c>
      <c r="U257" s="146" t="s">
        <v>3479</v>
      </c>
      <c r="V257" s="146" t="s">
        <v>3480</v>
      </c>
      <c r="W257" s="147">
        <v>104</v>
      </c>
      <c r="X257" s="147">
        <v>2</v>
      </c>
      <c r="Y257" s="146" t="s">
        <v>194</v>
      </c>
      <c r="Z257" s="146" t="s">
        <v>195</v>
      </c>
      <c r="AA257" s="146" t="s">
        <v>196</v>
      </c>
      <c r="AB257" s="146" t="s">
        <v>187</v>
      </c>
      <c r="AC257" s="146" t="s">
        <v>209</v>
      </c>
      <c r="AD257" s="148"/>
      <c r="AE257" s="146" t="s">
        <v>209</v>
      </c>
      <c r="AF257" s="147">
        <v>-6.1568759999999996</v>
      </c>
      <c r="AG257" s="149">
        <v>106.82106</v>
      </c>
      <c r="AM257" s="133" t="str" cm="1">
        <f t="array" ref="AM257">IF(ROWS($AN$2:$AN256)&lt;=$AN$2,INDEX($V$3:$V$3000,_xlfn.AGGREGATE(15,3,($B$3:$B$3000=$AM$2)/($B$3:$B$3000=$AM$2)*(ROW($B$3:$B$3000)-ROW($B$2)),ROWS($AN$2:$AN256))),"")</f>
        <v/>
      </c>
      <c r="AN257" s="134" t="str" cm="1">
        <f t="array" ref="AN257">IF(ROWS($AN$2:$AN256)&lt;=$AN$2,INDEX($F$3:$F$3000,_xlfn.AGGREGATE(15,3,($B$3:$B$3000=$AM$2)/($B$3:$B$3000=$AM$2)*(ROW($B$3:$B$3000)-ROW($B$2)),ROWS($AN$2:$AN256))),"")</f>
        <v/>
      </c>
      <c r="AO257" s="135" t="str" cm="1">
        <f t="array" ref="AO257">IF(ROWS($AN$2:$AN256)&lt;=$AN$2,INDEX($G$3:$G$3000,_xlfn.AGGREGATE(15,3,($B$3:$B$3000=$AM$2)/($B$3:$B$3000=$AM$2)*(ROW($B$3:$B$3000)-ROW($B$2)),ROWS($AN$2:$AN256))),"")</f>
        <v/>
      </c>
      <c r="AP257" s="121"/>
      <c r="AT257" s="111"/>
      <c r="AW257" s="134"/>
      <c r="AX257" s="136"/>
      <c r="AY257" s="134"/>
    </row>
    <row r="258" spans="1:51" s="110" customFormat="1" ht="20" customHeight="1">
      <c r="A258" s="125" t="s">
        <v>237</v>
      </c>
      <c r="B258" s="126" t="s">
        <v>60</v>
      </c>
      <c r="C258" s="127">
        <v>15741</v>
      </c>
      <c r="D258" s="128">
        <v>110448</v>
      </c>
      <c r="E258" s="129" t="s">
        <v>3476</v>
      </c>
      <c r="F258" s="129" t="s">
        <v>3476</v>
      </c>
      <c r="G258" s="130">
        <v>8800</v>
      </c>
      <c r="H258" s="130">
        <v>5</v>
      </c>
      <c r="I258" s="129" t="s">
        <v>209</v>
      </c>
      <c r="J258" s="129" t="s">
        <v>1058</v>
      </c>
      <c r="K258" s="129" t="s">
        <v>1059</v>
      </c>
      <c r="L258" s="130">
        <v>5</v>
      </c>
      <c r="M258" s="130">
        <v>1</v>
      </c>
      <c r="N258" s="129" t="s">
        <v>1544</v>
      </c>
      <c r="O258" s="130">
        <v>79</v>
      </c>
      <c r="P258" s="130">
        <v>28</v>
      </c>
      <c r="Q258" s="130">
        <v>18</v>
      </c>
      <c r="R258" s="129" t="s">
        <v>3477</v>
      </c>
      <c r="S258" s="129" t="s">
        <v>3478</v>
      </c>
      <c r="T258" s="130">
        <v>109</v>
      </c>
      <c r="U258" s="129" t="s">
        <v>3479</v>
      </c>
      <c r="V258" s="129" t="s">
        <v>3480</v>
      </c>
      <c r="W258" s="130">
        <v>104</v>
      </c>
      <c r="X258" s="130">
        <v>2</v>
      </c>
      <c r="Y258" s="129" t="s">
        <v>194</v>
      </c>
      <c r="Z258" s="129" t="s">
        <v>195</v>
      </c>
      <c r="AA258" s="129" t="s">
        <v>196</v>
      </c>
      <c r="AB258" s="129" t="s">
        <v>187</v>
      </c>
      <c r="AC258" s="129" t="s">
        <v>209</v>
      </c>
      <c r="AD258" s="131"/>
      <c r="AE258" s="129" t="s">
        <v>209</v>
      </c>
      <c r="AF258" s="130">
        <v>3.2126829221523798</v>
      </c>
      <c r="AG258" s="132">
        <v>101.80538767672699</v>
      </c>
      <c r="AM258" s="133" t="str" cm="1">
        <f t="array" ref="AM258">IF(ROWS($AN$2:$AN257)&lt;=$AN$2,INDEX($V$3:$V$3000,_xlfn.AGGREGATE(15,3,($B$3:$B$3000=$AM$2)/($B$3:$B$3000=$AM$2)*(ROW($B$3:$B$3000)-ROW($B$2)),ROWS($AN$2:$AN257))),"")</f>
        <v/>
      </c>
      <c r="AN258" s="134" t="str" cm="1">
        <f t="array" ref="AN258">IF(ROWS($AN$2:$AN257)&lt;=$AN$2,INDEX($F$3:$F$3000,_xlfn.AGGREGATE(15,3,($B$3:$B$3000=$AM$2)/($B$3:$B$3000=$AM$2)*(ROW($B$3:$B$3000)-ROW($B$2)),ROWS($AN$2:$AN257))),"")</f>
        <v/>
      </c>
      <c r="AO258" s="135" t="str" cm="1">
        <f t="array" ref="AO258">IF(ROWS($AN$2:$AN257)&lt;=$AN$2,INDEX($G$3:$G$3000,_xlfn.AGGREGATE(15,3,($B$3:$B$3000=$AM$2)/($B$3:$B$3000=$AM$2)*(ROW($B$3:$B$3000)-ROW($B$2)),ROWS($AN$2:$AN257))),"")</f>
        <v/>
      </c>
      <c r="AP258" s="121"/>
      <c r="AT258" s="111"/>
      <c r="AW258" s="134"/>
      <c r="AX258" s="136"/>
      <c r="AY258" s="134"/>
    </row>
    <row r="259" spans="1:51" s="110" customFormat="1" ht="20" customHeight="1">
      <c r="A259" s="125" t="s">
        <v>239</v>
      </c>
      <c r="B259" s="126" t="s">
        <v>67</v>
      </c>
      <c r="C259" s="127">
        <v>15741</v>
      </c>
      <c r="D259" s="128">
        <v>110448</v>
      </c>
      <c r="E259" s="129" t="s">
        <v>3476</v>
      </c>
      <c r="F259" s="129" t="s">
        <v>3476</v>
      </c>
      <c r="G259" s="130">
        <v>162000</v>
      </c>
      <c r="H259" s="130">
        <v>5</v>
      </c>
      <c r="I259" s="129" t="s">
        <v>209</v>
      </c>
      <c r="J259" s="129" t="s">
        <v>1058</v>
      </c>
      <c r="K259" s="129" t="s">
        <v>1059</v>
      </c>
      <c r="L259" s="130">
        <v>5</v>
      </c>
      <c r="M259" s="130">
        <v>1</v>
      </c>
      <c r="N259" s="129" t="s">
        <v>1544</v>
      </c>
      <c r="O259" s="130">
        <v>80</v>
      </c>
      <c r="P259" s="130">
        <v>28.9</v>
      </c>
      <c r="Q259" s="130">
        <v>18</v>
      </c>
      <c r="R259" s="129" t="s">
        <v>3477</v>
      </c>
      <c r="S259" s="129" t="s">
        <v>3478</v>
      </c>
      <c r="T259" s="130">
        <v>109</v>
      </c>
      <c r="U259" s="129" t="s">
        <v>3479</v>
      </c>
      <c r="V259" s="129" t="s">
        <v>3480</v>
      </c>
      <c r="W259" s="130">
        <v>104</v>
      </c>
      <c r="X259" s="130">
        <v>2</v>
      </c>
      <c r="Y259" s="129" t="s">
        <v>194</v>
      </c>
      <c r="Z259" s="129" t="s">
        <v>195</v>
      </c>
      <c r="AA259" s="129" t="s">
        <v>196</v>
      </c>
      <c r="AB259" s="129" t="s">
        <v>209</v>
      </c>
      <c r="AC259" s="129" t="s">
        <v>209</v>
      </c>
      <c r="AD259" s="131"/>
      <c r="AE259" s="129" t="s">
        <v>209</v>
      </c>
      <c r="AF259" s="130">
        <v>16.660323192070901</v>
      </c>
      <c r="AG259" s="132">
        <v>120.982119055833</v>
      </c>
      <c r="AM259" s="133" t="str" cm="1">
        <f t="array" ref="AM259">IF(ROWS($AN$2:$AN258)&lt;=$AN$2,INDEX($V$3:$V$3000,_xlfn.AGGREGATE(15,3,($B$3:$B$3000=$AM$2)/($B$3:$B$3000=$AM$2)*(ROW($B$3:$B$3000)-ROW($B$2)),ROWS($AN$2:$AN258))),"")</f>
        <v/>
      </c>
      <c r="AN259" s="134" t="str" cm="1">
        <f t="array" ref="AN259">IF(ROWS($AN$2:$AN258)&lt;=$AN$2,INDEX($F$3:$F$3000,_xlfn.AGGREGATE(15,3,($B$3:$B$3000=$AM$2)/($B$3:$B$3000=$AM$2)*(ROW($B$3:$B$3000)-ROW($B$2)),ROWS($AN$2:$AN258))),"")</f>
        <v/>
      </c>
      <c r="AO259" s="135" t="str" cm="1">
        <f t="array" ref="AO259">IF(ROWS($AN$2:$AN258)&lt;=$AN$2,INDEX($G$3:$G$3000,_xlfn.AGGREGATE(15,3,($B$3:$B$3000=$AM$2)/($B$3:$B$3000=$AM$2)*(ROW($B$3:$B$3000)-ROW($B$2)),ROWS($AN$2:$AN258))),"")</f>
        <v/>
      </c>
      <c r="AP259" s="121"/>
      <c r="AT259" s="111"/>
      <c r="AW259" s="134"/>
      <c r="AX259" s="136"/>
      <c r="AY259" s="134"/>
    </row>
    <row r="260" spans="1:51" s="110" customFormat="1" ht="20" customHeight="1">
      <c r="A260" s="125" t="s">
        <v>408</v>
      </c>
      <c r="B260" s="126" t="s">
        <v>64</v>
      </c>
      <c r="C260" s="127">
        <v>15741</v>
      </c>
      <c r="D260" s="128">
        <v>110448</v>
      </c>
      <c r="E260" s="129" t="s">
        <v>3476</v>
      </c>
      <c r="F260" s="129" t="s">
        <v>3476</v>
      </c>
      <c r="G260" s="130">
        <v>8100</v>
      </c>
      <c r="H260" s="130">
        <v>5</v>
      </c>
      <c r="I260" s="129" t="s">
        <v>209</v>
      </c>
      <c r="J260" s="129" t="s">
        <v>1058</v>
      </c>
      <c r="K260" s="129" t="s">
        <v>1059</v>
      </c>
      <c r="L260" s="130">
        <v>5</v>
      </c>
      <c r="M260" s="130">
        <v>1</v>
      </c>
      <c r="N260" s="129" t="s">
        <v>1544</v>
      </c>
      <c r="O260" s="130">
        <v>80</v>
      </c>
      <c r="P260" s="130">
        <v>28.9</v>
      </c>
      <c r="Q260" s="130">
        <v>18</v>
      </c>
      <c r="R260" s="129" t="s">
        <v>3477</v>
      </c>
      <c r="S260" s="129" t="s">
        <v>3478</v>
      </c>
      <c r="T260" s="130">
        <v>109</v>
      </c>
      <c r="U260" s="129" t="s">
        <v>3479</v>
      </c>
      <c r="V260" s="129" t="s">
        <v>3480</v>
      </c>
      <c r="W260" s="130">
        <v>104</v>
      </c>
      <c r="X260" s="130">
        <v>2</v>
      </c>
      <c r="Y260" s="129" t="s">
        <v>194</v>
      </c>
      <c r="Z260" s="129" t="s">
        <v>195</v>
      </c>
      <c r="AA260" s="129" t="s">
        <v>196</v>
      </c>
      <c r="AB260" s="129" t="s">
        <v>209</v>
      </c>
      <c r="AC260" s="129" t="s">
        <v>209</v>
      </c>
      <c r="AD260" s="131"/>
      <c r="AE260" s="129" t="s">
        <v>209</v>
      </c>
      <c r="AF260" s="130">
        <v>1.31983076807546</v>
      </c>
      <c r="AG260" s="132">
        <v>103.82883347388599</v>
      </c>
      <c r="AM260" s="133" t="str" cm="1">
        <f t="array" ref="AM260">IF(ROWS($AN$2:$AN259)&lt;=$AN$2,INDEX($V$3:$V$3000,_xlfn.AGGREGATE(15,3,($B$3:$B$3000=$AM$2)/($B$3:$B$3000=$AM$2)*(ROW($B$3:$B$3000)-ROW($B$2)),ROWS($AN$2:$AN259))),"")</f>
        <v/>
      </c>
      <c r="AN260" s="134" t="str" cm="1">
        <f t="array" ref="AN260">IF(ROWS($AN$2:$AN259)&lt;=$AN$2,INDEX($F$3:$F$3000,_xlfn.AGGREGATE(15,3,($B$3:$B$3000=$AM$2)/($B$3:$B$3000=$AM$2)*(ROW($B$3:$B$3000)-ROW($B$2)),ROWS($AN$2:$AN259))),"")</f>
        <v/>
      </c>
      <c r="AO260" s="135" t="str" cm="1">
        <f t="array" ref="AO260">IF(ROWS($AN$2:$AN259)&lt;=$AN$2,INDEX($G$3:$G$3000,_xlfn.AGGREGATE(15,3,($B$3:$B$3000=$AM$2)/($B$3:$B$3000=$AM$2)*(ROW($B$3:$B$3000)-ROW($B$2)),ROWS($AN$2:$AN259))),"")</f>
        <v/>
      </c>
      <c r="AP260" s="121"/>
      <c r="AT260" s="111"/>
      <c r="AW260" s="134"/>
      <c r="AX260" s="136"/>
      <c r="AY260" s="134"/>
    </row>
    <row r="261" spans="1:51" s="110" customFormat="1" ht="20" customHeight="1">
      <c r="A261" s="125" t="s">
        <v>478</v>
      </c>
      <c r="B261" s="126" t="s">
        <v>56</v>
      </c>
      <c r="C261" s="127">
        <v>15741</v>
      </c>
      <c r="D261" s="128">
        <v>110448</v>
      </c>
      <c r="E261" s="129" t="s">
        <v>3476</v>
      </c>
      <c r="F261" s="129" t="s">
        <v>3476</v>
      </c>
      <c r="G261" s="130">
        <v>21000</v>
      </c>
      <c r="H261" s="130">
        <v>5</v>
      </c>
      <c r="I261" s="129" t="s">
        <v>209</v>
      </c>
      <c r="J261" s="129" t="s">
        <v>1058</v>
      </c>
      <c r="K261" s="129" t="s">
        <v>1059</v>
      </c>
      <c r="L261" s="130">
        <v>5</v>
      </c>
      <c r="M261" s="130">
        <v>1</v>
      </c>
      <c r="N261" s="129" t="s">
        <v>1544</v>
      </c>
      <c r="O261" s="130">
        <v>78</v>
      </c>
      <c r="P261" s="130">
        <v>28</v>
      </c>
      <c r="Q261" s="130">
        <v>18</v>
      </c>
      <c r="R261" s="129" t="s">
        <v>3477</v>
      </c>
      <c r="S261" s="129" t="s">
        <v>3478</v>
      </c>
      <c r="T261" s="130">
        <v>109</v>
      </c>
      <c r="U261" s="129" t="s">
        <v>3479</v>
      </c>
      <c r="V261" s="129" t="s">
        <v>3480</v>
      </c>
      <c r="W261" s="130">
        <v>104</v>
      </c>
      <c r="X261" s="130">
        <v>2</v>
      </c>
      <c r="Y261" s="129" t="s">
        <v>194</v>
      </c>
      <c r="Z261" s="129" t="s">
        <v>195</v>
      </c>
      <c r="AA261" s="129" t="s">
        <v>196</v>
      </c>
      <c r="AB261" s="129" t="s">
        <v>187</v>
      </c>
      <c r="AC261" s="129" t="s">
        <v>209</v>
      </c>
      <c r="AD261" s="131"/>
      <c r="AE261" s="129" t="s">
        <v>209</v>
      </c>
      <c r="AF261" s="130">
        <v>13.768872</v>
      </c>
      <c r="AG261" s="132">
        <v>100.584591</v>
      </c>
      <c r="AM261" s="133" t="str" cm="1">
        <f t="array" ref="AM261">IF(ROWS($AN$2:$AN260)&lt;=$AN$2,INDEX($V$3:$V$3000,_xlfn.AGGREGATE(15,3,($B$3:$B$3000=$AM$2)/($B$3:$B$3000=$AM$2)*(ROW($B$3:$B$3000)-ROW($B$2)),ROWS($AN$2:$AN260))),"")</f>
        <v/>
      </c>
      <c r="AN261" s="134" t="str" cm="1">
        <f t="array" ref="AN261">IF(ROWS($AN$2:$AN260)&lt;=$AN$2,INDEX($F$3:$F$3000,_xlfn.AGGREGATE(15,3,($B$3:$B$3000=$AM$2)/($B$3:$B$3000=$AM$2)*(ROW($B$3:$B$3000)-ROW($B$2)),ROWS($AN$2:$AN260))),"")</f>
        <v/>
      </c>
      <c r="AO261" s="135" t="str" cm="1">
        <f t="array" ref="AO261">IF(ROWS($AN$2:$AN260)&lt;=$AN$2,INDEX($G$3:$G$3000,_xlfn.AGGREGATE(15,3,($B$3:$B$3000=$AM$2)/($B$3:$B$3000=$AM$2)*(ROW($B$3:$B$3000)-ROW($B$2)),ROWS($AN$2:$AN260))),"")</f>
        <v/>
      </c>
      <c r="AP261" s="121"/>
      <c r="AT261" s="111"/>
      <c r="AW261" s="134"/>
      <c r="AX261" s="136"/>
      <c r="AY261" s="134"/>
    </row>
    <row r="262" spans="1:51" s="110" customFormat="1" ht="20" customHeight="1">
      <c r="A262" s="125" t="s">
        <v>370</v>
      </c>
      <c r="B262" s="126" t="s">
        <v>58</v>
      </c>
      <c r="C262" s="127">
        <v>11140</v>
      </c>
      <c r="D262" s="145">
        <v>102927</v>
      </c>
      <c r="E262" s="146" t="s">
        <v>2349</v>
      </c>
      <c r="F262" s="146" t="s">
        <v>2349</v>
      </c>
      <c r="G262" s="147">
        <v>7200</v>
      </c>
      <c r="H262" s="147">
        <v>4</v>
      </c>
      <c r="I262" s="146" t="s">
        <v>209</v>
      </c>
      <c r="J262" s="146" t="s">
        <v>1058</v>
      </c>
      <c r="K262" s="146" t="s">
        <v>1059</v>
      </c>
      <c r="L262" s="147">
        <v>5</v>
      </c>
      <c r="M262" s="147">
        <v>1</v>
      </c>
      <c r="N262" s="146" t="s">
        <v>1544</v>
      </c>
      <c r="O262" s="147">
        <v>70</v>
      </c>
      <c r="P262" s="147">
        <v>8</v>
      </c>
      <c r="Q262" s="147">
        <v>12</v>
      </c>
      <c r="R262" s="146" t="s">
        <v>1309</v>
      </c>
      <c r="S262" s="146" t="s">
        <v>1310</v>
      </c>
      <c r="T262" s="147">
        <v>110</v>
      </c>
      <c r="U262" s="146" t="s">
        <v>2144</v>
      </c>
      <c r="V262" s="146" t="s">
        <v>2145</v>
      </c>
      <c r="W262" s="147">
        <v>129</v>
      </c>
      <c r="X262" s="147">
        <v>2</v>
      </c>
      <c r="Y262" s="146" t="s">
        <v>194</v>
      </c>
      <c r="Z262" s="146" t="s">
        <v>195</v>
      </c>
      <c r="AA262" s="146" t="s">
        <v>196</v>
      </c>
      <c r="AB262" s="146" t="s">
        <v>187</v>
      </c>
      <c r="AC262" s="146" t="s">
        <v>209</v>
      </c>
      <c r="AD262" s="148"/>
      <c r="AE262" s="146" t="s">
        <v>209</v>
      </c>
      <c r="AF262" s="147">
        <v>4.9221300000000001</v>
      </c>
      <c r="AG262" s="149">
        <v>114.97762</v>
      </c>
      <c r="AM262" s="133" t="str" cm="1">
        <f t="array" ref="AM262">IF(ROWS($AN$2:$AN261)&lt;=$AN$2,INDEX($V$3:$V$3000,_xlfn.AGGREGATE(15,3,($B$3:$B$3000=$AM$2)/($B$3:$B$3000=$AM$2)*(ROW($B$3:$B$3000)-ROW($B$2)),ROWS($AN$2:$AN261))),"")</f>
        <v/>
      </c>
      <c r="AN262" s="134" t="str" cm="1">
        <f t="array" ref="AN262">IF(ROWS($AN$2:$AN261)&lt;=$AN$2,INDEX($F$3:$F$3000,_xlfn.AGGREGATE(15,3,($B$3:$B$3000=$AM$2)/($B$3:$B$3000=$AM$2)*(ROW($B$3:$B$3000)-ROW($B$2)),ROWS($AN$2:$AN261))),"")</f>
        <v/>
      </c>
      <c r="AO262" s="135" t="str" cm="1">
        <f t="array" ref="AO262">IF(ROWS($AN$2:$AN261)&lt;=$AN$2,INDEX($G$3:$G$3000,_xlfn.AGGREGATE(15,3,($B$3:$B$3000=$AM$2)/($B$3:$B$3000=$AM$2)*(ROW($B$3:$B$3000)-ROW($B$2)),ROWS($AN$2:$AN261))),"")</f>
        <v/>
      </c>
      <c r="AP262" s="121"/>
      <c r="AT262" s="111"/>
      <c r="AW262" s="134"/>
      <c r="AX262" s="136"/>
      <c r="AY262" s="134"/>
    </row>
    <row r="263" spans="1:51" s="110" customFormat="1" ht="20" customHeight="1">
      <c r="A263" s="125" t="s">
        <v>483</v>
      </c>
      <c r="B263" s="126" t="s">
        <v>55</v>
      </c>
      <c r="C263" s="127">
        <v>11140</v>
      </c>
      <c r="D263" s="145">
        <v>102927</v>
      </c>
      <c r="E263" s="146" t="s">
        <v>2349</v>
      </c>
      <c r="F263" s="146" t="s">
        <v>2349</v>
      </c>
      <c r="G263" s="147">
        <v>1100</v>
      </c>
      <c r="H263" s="147">
        <v>4</v>
      </c>
      <c r="I263" s="146" t="s">
        <v>209</v>
      </c>
      <c r="J263" s="146" t="s">
        <v>1058</v>
      </c>
      <c r="K263" s="146" t="s">
        <v>1059</v>
      </c>
      <c r="L263" s="147">
        <v>5</v>
      </c>
      <c r="M263" s="147">
        <v>1</v>
      </c>
      <c r="N263" s="146" t="s">
        <v>1544</v>
      </c>
      <c r="O263" s="147">
        <v>70</v>
      </c>
      <c r="P263" s="147">
        <v>8</v>
      </c>
      <c r="Q263" s="147">
        <v>12</v>
      </c>
      <c r="R263" s="146" t="s">
        <v>1309</v>
      </c>
      <c r="S263" s="146" t="s">
        <v>1310</v>
      </c>
      <c r="T263" s="147">
        <v>110</v>
      </c>
      <c r="U263" s="146" t="s">
        <v>2144</v>
      </c>
      <c r="V263" s="146" t="s">
        <v>2145</v>
      </c>
      <c r="W263" s="147">
        <v>129</v>
      </c>
      <c r="X263" s="147">
        <v>2</v>
      </c>
      <c r="Y263" s="146" t="s">
        <v>194</v>
      </c>
      <c r="Z263" s="146" t="s">
        <v>195</v>
      </c>
      <c r="AA263" s="146" t="s">
        <v>196</v>
      </c>
      <c r="AB263" s="146" t="s">
        <v>187</v>
      </c>
      <c r="AC263" s="146" t="s">
        <v>209</v>
      </c>
      <c r="AD263" s="148"/>
      <c r="AE263" s="146" t="s">
        <v>209</v>
      </c>
      <c r="AF263" s="147">
        <v>11.552</v>
      </c>
      <c r="AG263" s="149">
        <v>104.916</v>
      </c>
      <c r="AM263" s="133" t="str" cm="1">
        <f t="array" ref="AM263">IF(ROWS($AN$2:$AN262)&lt;=$AN$2,INDEX($V$3:$V$3000,_xlfn.AGGREGATE(15,3,($B$3:$B$3000=$AM$2)/($B$3:$B$3000=$AM$2)*(ROW($B$3:$B$3000)-ROW($B$2)),ROWS($AN$2:$AN262))),"")</f>
        <v/>
      </c>
      <c r="AN263" s="134" t="str" cm="1">
        <f t="array" ref="AN263">IF(ROWS($AN$2:$AN262)&lt;=$AN$2,INDEX($F$3:$F$3000,_xlfn.AGGREGATE(15,3,($B$3:$B$3000=$AM$2)/($B$3:$B$3000=$AM$2)*(ROW($B$3:$B$3000)-ROW($B$2)),ROWS($AN$2:$AN262))),"")</f>
        <v/>
      </c>
      <c r="AO263" s="135" t="str" cm="1">
        <f t="array" ref="AO263">IF(ROWS($AN$2:$AN262)&lt;=$AN$2,INDEX($G$3:$G$3000,_xlfn.AGGREGATE(15,3,($B$3:$B$3000=$AM$2)/($B$3:$B$3000=$AM$2)*(ROW($B$3:$B$3000)-ROW($B$2)),ROWS($AN$2:$AN262))),"")</f>
        <v/>
      </c>
      <c r="AP263" s="121"/>
      <c r="AT263" s="111"/>
      <c r="AW263" s="134"/>
      <c r="AX263" s="136"/>
      <c r="AY263" s="134"/>
    </row>
    <row r="264" spans="1:51" s="110" customFormat="1" ht="20" customHeight="1">
      <c r="A264" s="125" t="s">
        <v>185</v>
      </c>
      <c r="B264" s="126" t="s">
        <v>59</v>
      </c>
      <c r="C264" s="127">
        <v>11140</v>
      </c>
      <c r="D264" s="145">
        <v>102927</v>
      </c>
      <c r="E264" s="146" t="s">
        <v>2349</v>
      </c>
      <c r="F264" s="146" t="s">
        <v>2349</v>
      </c>
      <c r="G264" s="147">
        <v>13000</v>
      </c>
      <c r="H264" s="147">
        <v>4</v>
      </c>
      <c r="I264" s="146" t="s">
        <v>209</v>
      </c>
      <c r="J264" s="146" t="s">
        <v>1058</v>
      </c>
      <c r="K264" s="146" t="s">
        <v>1059</v>
      </c>
      <c r="L264" s="147">
        <v>5</v>
      </c>
      <c r="M264" s="147">
        <v>1</v>
      </c>
      <c r="N264" s="146" t="s">
        <v>1544</v>
      </c>
      <c r="O264" s="147">
        <v>70</v>
      </c>
      <c r="P264" s="147">
        <v>5</v>
      </c>
      <c r="Q264" s="147">
        <v>12</v>
      </c>
      <c r="R264" s="146" t="s">
        <v>1309</v>
      </c>
      <c r="S264" s="146" t="s">
        <v>1310</v>
      </c>
      <c r="T264" s="147">
        <v>110</v>
      </c>
      <c r="U264" s="146" t="s">
        <v>2144</v>
      </c>
      <c r="V264" s="146" t="s">
        <v>2145</v>
      </c>
      <c r="W264" s="147">
        <v>129</v>
      </c>
      <c r="X264" s="147">
        <v>2</v>
      </c>
      <c r="Y264" s="146" t="s">
        <v>194</v>
      </c>
      <c r="Z264" s="146" t="s">
        <v>195</v>
      </c>
      <c r="AA264" s="146" t="s">
        <v>196</v>
      </c>
      <c r="AB264" s="146" t="s">
        <v>187</v>
      </c>
      <c r="AC264" s="146" t="s">
        <v>209</v>
      </c>
      <c r="AD264" s="148"/>
      <c r="AE264" s="146" t="s">
        <v>209</v>
      </c>
      <c r="AF264" s="147">
        <v>-6.1379630000000001</v>
      </c>
      <c r="AG264" s="149">
        <v>106.75536</v>
      </c>
      <c r="AM264" s="133" t="str" cm="1">
        <f t="array" ref="AM264">IF(ROWS($AN$2:$AN263)&lt;=$AN$2,INDEX($V$3:$V$3000,_xlfn.AGGREGATE(15,3,($B$3:$B$3000=$AM$2)/($B$3:$B$3000=$AM$2)*(ROW($B$3:$B$3000)-ROW($B$2)),ROWS($AN$2:$AN263))),"")</f>
        <v/>
      </c>
      <c r="AN264" s="134" t="str" cm="1">
        <f t="array" ref="AN264">IF(ROWS($AN$2:$AN263)&lt;=$AN$2,INDEX($F$3:$F$3000,_xlfn.AGGREGATE(15,3,($B$3:$B$3000=$AM$2)/($B$3:$B$3000=$AM$2)*(ROW($B$3:$B$3000)-ROW($B$2)),ROWS($AN$2:$AN263))),"")</f>
        <v/>
      </c>
      <c r="AO264" s="135" t="str" cm="1">
        <f t="array" ref="AO264">IF(ROWS($AN$2:$AN263)&lt;=$AN$2,INDEX($G$3:$G$3000,_xlfn.AGGREGATE(15,3,($B$3:$B$3000=$AM$2)/($B$3:$B$3000=$AM$2)*(ROW($B$3:$B$3000)-ROW($B$2)),ROWS($AN$2:$AN263))),"")</f>
        <v/>
      </c>
      <c r="AP264" s="121"/>
      <c r="AT264" s="111"/>
      <c r="AW264" s="134"/>
      <c r="AX264" s="136"/>
      <c r="AY264" s="134"/>
    </row>
    <row r="265" spans="1:51" s="110" customFormat="1" ht="20" customHeight="1">
      <c r="A265" s="125" t="s">
        <v>237</v>
      </c>
      <c r="B265" s="126" t="s">
        <v>60</v>
      </c>
      <c r="C265" s="127">
        <v>11140</v>
      </c>
      <c r="D265" s="145">
        <v>102927</v>
      </c>
      <c r="E265" s="146" t="s">
        <v>2349</v>
      </c>
      <c r="F265" s="146" t="s">
        <v>2349</v>
      </c>
      <c r="G265" s="147">
        <v>16000</v>
      </c>
      <c r="H265" s="147">
        <v>4</v>
      </c>
      <c r="I265" s="146" t="s">
        <v>209</v>
      </c>
      <c r="J265" s="146" t="s">
        <v>1058</v>
      </c>
      <c r="K265" s="146" t="s">
        <v>1059</v>
      </c>
      <c r="L265" s="147">
        <v>5</v>
      </c>
      <c r="M265" s="147">
        <v>1</v>
      </c>
      <c r="N265" s="146" t="s">
        <v>1544</v>
      </c>
      <c r="O265" s="147">
        <v>61</v>
      </c>
      <c r="P265" s="147">
        <v>8</v>
      </c>
      <c r="Q265" s="147">
        <v>12</v>
      </c>
      <c r="R265" s="146" t="s">
        <v>1309</v>
      </c>
      <c r="S265" s="146" t="s">
        <v>1310</v>
      </c>
      <c r="T265" s="147">
        <v>110</v>
      </c>
      <c r="U265" s="146" t="s">
        <v>2144</v>
      </c>
      <c r="V265" s="146" t="s">
        <v>2145</v>
      </c>
      <c r="W265" s="147">
        <v>129</v>
      </c>
      <c r="X265" s="147">
        <v>2</v>
      </c>
      <c r="Y265" s="146" t="s">
        <v>194</v>
      </c>
      <c r="Z265" s="146" t="s">
        <v>195</v>
      </c>
      <c r="AA265" s="146" t="s">
        <v>196</v>
      </c>
      <c r="AB265" s="146" t="s">
        <v>187</v>
      </c>
      <c r="AC265" s="146" t="s">
        <v>209</v>
      </c>
      <c r="AD265" s="148"/>
      <c r="AE265" s="146" t="s">
        <v>209</v>
      </c>
      <c r="AF265" s="147">
        <v>3.0712785327780798</v>
      </c>
      <c r="AG265" s="149">
        <v>101.545295763689</v>
      </c>
      <c r="AM265" s="133" t="str" cm="1">
        <f t="array" ref="AM265">IF(ROWS($AN$2:$AN264)&lt;=$AN$2,INDEX($V$3:$V$3000,_xlfn.AGGREGATE(15,3,($B$3:$B$3000=$AM$2)/($B$3:$B$3000=$AM$2)*(ROW($B$3:$B$3000)-ROW($B$2)),ROWS($AN$2:$AN264))),"")</f>
        <v/>
      </c>
      <c r="AN265" s="134" t="str" cm="1">
        <f t="array" ref="AN265">IF(ROWS($AN$2:$AN264)&lt;=$AN$2,INDEX($F$3:$F$3000,_xlfn.AGGREGATE(15,3,($B$3:$B$3000=$AM$2)/($B$3:$B$3000=$AM$2)*(ROW($B$3:$B$3000)-ROW($B$2)),ROWS($AN$2:$AN264))),"")</f>
        <v/>
      </c>
      <c r="AO265" s="135" t="str" cm="1">
        <f t="array" ref="AO265">IF(ROWS($AN$2:$AN264)&lt;=$AN$2,INDEX($G$3:$G$3000,_xlfn.AGGREGATE(15,3,($B$3:$B$3000=$AM$2)/($B$3:$B$3000=$AM$2)*(ROW($B$3:$B$3000)-ROW($B$2)),ROWS($AN$2:$AN264))),"")</f>
        <v/>
      </c>
      <c r="AP265" s="121"/>
      <c r="AT265" s="111"/>
      <c r="AW265" s="134"/>
      <c r="AX265" s="136"/>
      <c r="AY265" s="134"/>
    </row>
    <row r="266" spans="1:51" s="110" customFormat="1" ht="20" customHeight="1">
      <c r="A266" s="125" t="s">
        <v>239</v>
      </c>
      <c r="B266" s="126" t="s">
        <v>67</v>
      </c>
      <c r="C266" s="127">
        <v>11140</v>
      </c>
      <c r="D266" s="145">
        <v>102927</v>
      </c>
      <c r="E266" s="146" t="s">
        <v>2349</v>
      </c>
      <c r="F266" s="146" t="s">
        <v>2349</v>
      </c>
      <c r="G266" s="147">
        <v>18000</v>
      </c>
      <c r="H266" s="147">
        <v>4</v>
      </c>
      <c r="I266" s="146" t="s">
        <v>209</v>
      </c>
      <c r="J266" s="146" t="s">
        <v>1058</v>
      </c>
      <c r="K266" s="146" t="s">
        <v>1059</v>
      </c>
      <c r="L266" s="147">
        <v>5</v>
      </c>
      <c r="M266" s="147">
        <v>1</v>
      </c>
      <c r="N266" s="146" t="s">
        <v>1544</v>
      </c>
      <c r="O266" s="147">
        <v>60</v>
      </c>
      <c r="P266" s="147">
        <v>8.8000000000000007</v>
      </c>
      <c r="Q266" s="147">
        <v>12</v>
      </c>
      <c r="R266" s="146" t="s">
        <v>1309</v>
      </c>
      <c r="S266" s="146" t="s">
        <v>1310</v>
      </c>
      <c r="T266" s="147">
        <v>110</v>
      </c>
      <c r="U266" s="146" t="s">
        <v>2144</v>
      </c>
      <c r="V266" s="146" t="s">
        <v>2145</v>
      </c>
      <c r="W266" s="147">
        <v>129</v>
      </c>
      <c r="X266" s="147">
        <v>2</v>
      </c>
      <c r="Y266" s="146" t="s">
        <v>194</v>
      </c>
      <c r="Z266" s="146" t="s">
        <v>195</v>
      </c>
      <c r="AA266" s="146" t="s">
        <v>196</v>
      </c>
      <c r="AB266" s="146" t="s">
        <v>209</v>
      </c>
      <c r="AC266" s="146" t="s">
        <v>209</v>
      </c>
      <c r="AD266" s="148"/>
      <c r="AE266" s="146" t="s">
        <v>209</v>
      </c>
      <c r="AF266" s="147">
        <v>16.653070192517799</v>
      </c>
      <c r="AG266" s="149">
        <v>120.987375027898</v>
      </c>
      <c r="AM266" s="133" t="str" cm="1">
        <f t="array" ref="AM266">IF(ROWS($AN$2:$AN265)&lt;=$AN$2,INDEX($V$3:$V$3000,_xlfn.AGGREGATE(15,3,($B$3:$B$3000=$AM$2)/($B$3:$B$3000=$AM$2)*(ROW($B$3:$B$3000)-ROW($B$2)),ROWS($AN$2:$AN265))),"")</f>
        <v/>
      </c>
      <c r="AN266" s="134" t="str" cm="1">
        <f t="array" ref="AN266">IF(ROWS($AN$2:$AN265)&lt;=$AN$2,INDEX($F$3:$F$3000,_xlfn.AGGREGATE(15,3,($B$3:$B$3000=$AM$2)/($B$3:$B$3000=$AM$2)*(ROW($B$3:$B$3000)-ROW($B$2)),ROWS($AN$2:$AN265))),"")</f>
        <v/>
      </c>
      <c r="AO266" s="135" t="str" cm="1">
        <f t="array" ref="AO266">IF(ROWS($AN$2:$AN265)&lt;=$AN$2,INDEX($G$3:$G$3000,_xlfn.AGGREGATE(15,3,($B$3:$B$3000=$AM$2)/($B$3:$B$3000=$AM$2)*(ROW($B$3:$B$3000)-ROW($B$2)),ROWS($AN$2:$AN265))),"")</f>
        <v/>
      </c>
      <c r="AP266" s="121"/>
      <c r="AT266" s="111"/>
      <c r="AW266" s="134"/>
      <c r="AX266" s="136"/>
      <c r="AY266" s="134"/>
    </row>
    <row r="267" spans="1:51" s="110" customFormat="1" ht="20" customHeight="1">
      <c r="A267" s="125" t="s">
        <v>408</v>
      </c>
      <c r="B267" s="126" t="s">
        <v>64</v>
      </c>
      <c r="C267" s="127">
        <v>11140</v>
      </c>
      <c r="D267" s="145">
        <v>102927</v>
      </c>
      <c r="E267" s="146" t="s">
        <v>2349</v>
      </c>
      <c r="F267" s="146" t="s">
        <v>2349</v>
      </c>
      <c r="G267" s="147">
        <v>55000</v>
      </c>
      <c r="H267" s="147">
        <v>4</v>
      </c>
      <c r="I267" s="146" t="s">
        <v>209</v>
      </c>
      <c r="J267" s="146" t="s">
        <v>1058</v>
      </c>
      <c r="K267" s="146" t="s">
        <v>1059</v>
      </c>
      <c r="L267" s="147">
        <v>5</v>
      </c>
      <c r="M267" s="147">
        <v>1</v>
      </c>
      <c r="N267" s="146" t="s">
        <v>1544</v>
      </c>
      <c r="O267" s="147">
        <v>60</v>
      </c>
      <c r="P267" s="147">
        <v>8</v>
      </c>
      <c r="Q267" s="147">
        <v>12</v>
      </c>
      <c r="R267" s="146" t="s">
        <v>1309</v>
      </c>
      <c r="S267" s="146" t="s">
        <v>1310</v>
      </c>
      <c r="T267" s="147">
        <v>110</v>
      </c>
      <c r="U267" s="146" t="s">
        <v>2144</v>
      </c>
      <c r="V267" s="146" t="s">
        <v>2145</v>
      </c>
      <c r="W267" s="147">
        <v>129</v>
      </c>
      <c r="X267" s="147">
        <v>2</v>
      </c>
      <c r="Y267" s="146" t="s">
        <v>194</v>
      </c>
      <c r="Z267" s="146" t="s">
        <v>195</v>
      </c>
      <c r="AA267" s="146" t="s">
        <v>196</v>
      </c>
      <c r="AB267" s="146" t="s">
        <v>209</v>
      </c>
      <c r="AC267" s="146" t="s">
        <v>209</v>
      </c>
      <c r="AD267" s="148"/>
      <c r="AE267" s="146" t="s">
        <v>209</v>
      </c>
      <c r="AF267" s="147">
        <v>1.34423104072994</v>
      </c>
      <c r="AG267" s="149">
        <v>103.787004435306</v>
      </c>
      <c r="AM267" s="133" t="str" cm="1">
        <f t="array" ref="AM267">IF(ROWS($AN$2:$AN266)&lt;=$AN$2,INDEX($V$3:$V$3000,_xlfn.AGGREGATE(15,3,($B$3:$B$3000=$AM$2)/($B$3:$B$3000=$AM$2)*(ROW($B$3:$B$3000)-ROW($B$2)),ROWS($AN$2:$AN266))),"")</f>
        <v/>
      </c>
      <c r="AN267" s="134" t="str" cm="1">
        <f t="array" ref="AN267">IF(ROWS($AN$2:$AN266)&lt;=$AN$2,INDEX($F$3:$F$3000,_xlfn.AGGREGATE(15,3,($B$3:$B$3000=$AM$2)/($B$3:$B$3000=$AM$2)*(ROW($B$3:$B$3000)-ROW($B$2)),ROWS($AN$2:$AN266))),"")</f>
        <v/>
      </c>
      <c r="AO267" s="135" t="str" cm="1">
        <f t="array" ref="AO267">IF(ROWS($AN$2:$AN266)&lt;=$AN$2,INDEX($G$3:$G$3000,_xlfn.AGGREGATE(15,3,($B$3:$B$3000=$AM$2)/($B$3:$B$3000=$AM$2)*(ROW($B$3:$B$3000)-ROW($B$2)),ROWS($AN$2:$AN266))),"")</f>
        <v/>
      </c>
      <c r="AP267" s="121"/>
      <c r="AT267" s="111"/>
      <c r="AW267" s="134"/>
      <c r="AX267" s="136"/>
      <c r="AY267" s="134"/>
    </row>
    <row r="268" spans="1:51" s="110" customFormat="1" ht="20" customHeight="1">
      <c r="A268" s="125" t="s">
        <v>408</v>
      </c>
      <c r="B268" s="126" t="s">
        <v>64</v>
      </c>
      <c r="C268" s="127">
        <v>10329</v>
      </c>
      <c r="D268" s="128">
        <v>100357</v>
      </c>
      <c r="E268" s="129" t="s">
        <v>2143</v>
      </c>
      <c r="F268" s="129" t="s">
        <v>2143</v>
      </c>
      <c r="G268" s="130">
        <v>2800</v>
      </c>
      <c r="H268" s="130">
        <v>5</v>
      </c>
      <c r="I268" s="129" t="s">
        <v>209</v>
      </c>
      <c r="J268" s="129" t="s">
        <v>1058</v>
      </c>
      <c r="K268" s="129" t="s">
        <v>1059</v>
      </c>
      <c r="L268" s="130">
        <v>5</v>
      </c>
      <c r="M268" s="130">
        <v>1</v>
      </c>
      <c r="N268" s="129" t="s">
        <v>1544</v>
      </c>
      <c r="O268" s="130">
        <v>58</v>
      </c>
      <c r="P268" s="130">
        <v>18.2</v>
      </c>
      <c r="Q268" s="130">
        <v>12</v>
      </c>
      <c r="R268" s="129" t="s">
        <v>1309</v>
      </c>
      <c r="S268" s="129" t="s">
        <v>1310</v>
      </c>
      <c r="T268" s="130">
        <v>110</v>
      </c>
      <c r="U268" s="129" t="s">
        <v>2144</v>
      </c>
      <c r="V268" s="129" t="s">
        <v>2145</v>
      </c>
      <c r="W268" s="130">
        <v>13</v>
      </c>
      <c r="X268" s="130">
        <v>2</v>
      </c>
      <c r="Y268" s="129" t="s">
        <v>194</v>
      </c>
      <c r="Z268" s="129" t="s">
        <v>195</v>
      </c>
      <c r="AA268" s="129" t="s">
        <v>196</v>
      </c>
      <c r="AB268" s="129" t="s">
        <v>209</v>
      </c>
      <c r="AC268" s="129" t="s">
        <v>209</v>
      </c>
      <c r="AD268" s="131"/>
      <c r="AE268" s="129" t="s">
        <v>209</v>
      </c>
      <c r="AF268" s="130">
        <v>1.29816930157199</v>
      </c>
      <c r="AG268" s="132">
        <v>103.811155725256</v>
      </c>
      <c r="AM268" s="133" t="str" cm="1">
        <f t="array" ref="AM268">IF(ROWS($AN$2:$AN267)&lt;=$AN$2,INDEX($V$3:$V$3000,_xlfn.AGGREGATE(15,3,($B$3:$B$3000=$AM$2)/($B$3:$B$3000=$AM$2)*(ROW($B$3:$B$3000)-ROW($B$2)),ROWS($AN$2:$AN267))),"")</f>
        <v/>
      </c>
      <c r="AN268" s="134" t="str" cm="1">
        <f t="array" ref="AN268">IF(ROWS($AN$2:$AN267)&lt;=$AN$2,INDEX($F$3:$F$3000,_xlfn.AGGREGATE(15,3,($B$3:$B$3000=$AM$2)/($B$3:$B$3000=$AM$2)*(ROW($B$3:$B$3000)-ROW($B$2)),ROWS($AN$2:$AN267))),"")</f>
        <v/>
      </c>
      <c r="AO268" s="135" t="str" cm="1">
        <f t="array" ref="AO268">IF(ROWS($AN$2:$AN267)&lt;=$AN$2,INDEX($G$3:$G$3000,_xlfn.AGGREGATE(15,3,($B$3:$B$3000=$AM$2)/($B$3:$B$3000=$AM$2)*(ROW($B$3:$B$3000)-ROW($B$2)),ROWS($AN$2:$AN267))),"")</f>
        <v/>
      </c>
      <c r="AP268" s="121"/>
      <c r="AT268" s="111"/>
      <c r="AW268" s="134"/>
      <c r="AX268" s="136"/>
      <c r="AY268" s="134"/>
    </row>
    <row r="269" spans="1:51" s="110" customFormat="1" ht="20" customHeight="1">
      <c r="A269" s="125" t="s">
        <v>408</v>
      </c>
      <c r="B269" s="126" t="s">
        <v>64</v>
      </c>
      <c r="C269" s="127">
        <v>10326</v>
      </c>
      <c r="D269" s="128">
        <v>100354</v>
      </c>
      <c r="E269" s="129" t="s">
        <v>2760</v>
      </c>
      <c r="F269" s="129" t="s">
        <v>2760</v>
      </c>
      <c r="G269" s="130">
        <v>2700</v>
      </c>
      <c r="H269" s="130">
        <v>5</v>
      </c>
      <c r="I269" s="129" t="s">
        <v>209</v>
      </c>
      <c r="J269" s="129" t="s">
        <v>1058</v>
      </c>
      <c r="K269" s="129" t="s">
        <v>1059</v>
      </c>
      <c r="L269" s="130">
        <v>5</v>
      </c>
      <c r="M269" s="130">
        <v>1</v>
      </c>
      <c r="N269" s="129" t="s">
        <v>1544</v>
      </c>
      <c r="O269" s="130">
        <v>70</v>
      </c>
      <c r="P269" s="130">
        <v>14.4</v>
      </c>
      <c r="Q269" s="130">
        <v>12</v>
      </c>
      <c r="R269" s="129" t="s">
        <v>1309</v>
      </c>
      <c r="S269" s="129" t="s">
        <v>1310</v>
      </c>
      <c r="T269" s="130">
        <v>110</v>
      </c>
      <c r="U269" s="129" t="s">
        <v>2144</v>
      </c>
      <c r="V269" s="129" t="s">
        <v>2145</v>
      </c>
      <c r="W269" s="130">
        <v>25</v>
      </c>
      <c r="X269" s="130">
        <v>2</v>
      </c>
      <c r="Y269" s="129" t="s">
        <v>194</v>
      </c>
      <c r="Z269" s="129" t="s">
        <v>195</v>
      </c>
      <c r="AA269" s="129" t="s">
        <v>196</v>
      </c>
      <c r="AB269" s="129" t="s">
        <v>209</v>
      </c>
      <c r="AC269" s="129" t="s">
        <v>209</v>
      </c>
      <c r="AD269" s="131"/>
      <c r="AE269" s="129" t="s">
        <v>209</v>
      </c>
      <c r="AF269" s="130">
        <v>1.2874630587731399</v>
      </c>
      <c r="AG269" s="132">
        <v>103.821612985351</v>
      </c>
      <c r="AM269" s="133" t="str" cm="1">
        <f t="array" ref="AM269">IF(ROWS($AN$2:$AN268)&lt;=$AN$2,INDEX($V$3:$V$3000,_xlfn.AGGREGATE(15,3,($B$3:$B$3000=$AM$2)/($B$3:$B$3000=$AM$2)*(ROW($B$3:$B$3000)-ROW($B$2)),ROWS($AN$2:$AN268))),"")</f>
        <v/>
      </c>
      <c r="AN269" s="134" t="str" cm="1">
        <f t="array" ref="AN269">IF(ROWS($AN$2:$AN268)&lt;=$AN$2,INDEX($F$3:$F$3000,_xlfn.AGGREGATE(15,3,($B$3:$B$3000=$AM$2)/($B$3:$B$3000=$AM$2)*(ROW($B$3:$B$3000)-ROW($B$2)),ROWS($AN$2:$AN268))),"")</f>
        <v/>
      </c>
      <c r="AO269" s="135" t="str" cm="1">
        <f t="array" ref="AO269">IF(ROWS($AN$2:$AN268)&lt;=$AN$2,INDEX($G$3:$G$3000,_xlfn.AGGREGATE(15,3,($B$3:$B$3000=$AM$2)/($B$3:$B$3000=$AM$2)*(ROW($B$3:$B$3000)-ROW($B$2)),ROWS($AN$2:$AN268))),"")</f>
        <v/>
      </c>
      <c r="AP269" s="121"/>
      <c r="AT269" s="111"/>
      <c r="AW269" s="134"/>
      <c r="AX269" s="136"/>
      <c r="AY269" s="134"/>
    </row>
    <row r="270" spans="1:51" s="110" customFormat="1" ht="20" customHeight="1">
      <c r="A270" s="125" t="s">
        <v>478</v>
      </c>
      <c r="B270" s="126" t="s">
        <v>56</v>
      </c>
      <c r="C270" s="127">
        <v>11140</v>
      </c>
      <c r="D270" s="145">
        <v>102927</v>
      </c>
      <c r="E270" s="146" t="s">
        <v>2349</v>
      </c>
      <c r="F270" s="146" t="s">
        <v>2349</v>
      </c>
      <c r="G270" s="147">
        <v>44000</v>
      </c>
      <c r="H270" s="147">
        <v>4</v>
      </c>
      <c r="I270" s="146" t="s">
        <v>209</v>
      </c>
      <c r="J270" s="146" t="s">
        <v>1058</v>
      </c>
      <c r="K270" s="146" t="s">
        <v>1059</v>
      </c>
      <c r="L270" s="147">
        <v>5</v>
      </c>
      <c r="M270" s="147">
        <v>1</v>
      </c>
      <c r="N270" s="146" t="s">
        <v>1544</v>
      </c>
      <c r="O270" s="147">
        <v>59</v>
      </c>
      <c r="P270" s="147">
        <v>8</v>
      </c>
      <c r="Q270" s="147">
        <v>12</v>
      </c>
      <c r="R270" s="146" t="s">
        <v>1309</v>
      </c>
      <c r="S270" s="146" t="s">
        <v>1310</v>
      </c>
      <c r="T270" s="147">
        <v>110</v>
      </c>
      <c r="U270" s="146" t="s">
        <v>2144</v>
      </c>
      <c r="V270" s="146" t="s">
        <v>2145</v>
      </c>
      <c r="W270" s="147">
        <v>129</v>
      </c>
      <c r="X270" s="147">
        <v>2</v>
      </c>
      <c r="Y270" s="146" t="s">
        <v>194</v>
      </c>
      <c r="Z270" s="146" t="s">
        <v>195</v>
      </c>
      <c r="AA270" s="146" t="s">
        <v>196</v>
      </c>
      <c r="AB270" s="146" t="s">
        <v>187</v>
      </c>
      <c r="AC270" s="146" t="s">
        <v>209</v>
      </c>
      <c r="AD270" s="148"/>
      <c r="AE270" s="146" t="s">
        <v>209</v>
      </c>
      <c r="AF270" s="147">
        <v>13.818545</v>
      </c>
      <c r="AG270" s="149">
        <v>100.522345</v>
      </c>
      <c r="AM270" s="133" t="str" cm="1">
        <f t="array" ref="AM270">IF(ROWS($AN$2:$AN269)&lt;=$AN$2,INDEX($V$3:$V$3000,_xlfn.AGGREGATE(15,3,($B$3:$B$3000=$AM$2)/($B$3:$B$3000=$AM$2)*(ROW($B$3:$B$3000)-ROW($B$2)),ROWS($AN$2:$AN269))),"")</f>
        <v/>
      </c>
      <c r="AN270" s="134" t="str" cm="1">
        <f t="array" ref="AN270">IF(ROWS($AN$2:$AN269)&lt;=$AN$2,INDEX($F$3:$F$3000,_xlfn.AGGREGATE(15,3,($B$3:$B$3000=$AM$2)/($B$3:$B$3000=$AM$2)*(ROW($B$3:$B$3000)-ROW($B$2)),ROWS($AN$2:$AN269))),"")</f>
        <v/>
      </c>
      <c r="AO270" s="135" t="str" cm="1">
        <f t="array" ref="AO270">IF(ROWS($AN$2:$AN269)&lt;=$AN$2,INDEX($G$3:$G$3000,_xlfn.AGGREGATE(15,3,($B$3:$B$3000=$AM$2)/($B$3:$B$3000=$AM$2)*(ROW($B$3:$B$3000)-ROW($B$2)),ROWS($AN$2:$AN269))),"")</f>
        <v/>
      </c>
      <c r="AP270" s="121"/>
      <c r="AT270" s="111"/>
      <c r="AW270" s="134"/>
      <c r="AX270" s="136"/>
      <c r="AY270" s="134"/>
    </row>
    <row r="271" spans="1:51" s="110" customFormat="1" ht="20" customHeight="1">
      <c r="A271" s="125" t="s">
        <v>478</v>
      </c>
      <c r="B271" s="126" t="s">
        <v>56</v>
      </c>
      <c r="C271" s="127">
        <v>10326</v>
      </c>
      <c r="D271" s="128">
        <v>100354</v>
      </c>
      <c r="E271" s="129" t="s">
        <v>2760</v>
      </c>
      <c r="F271" s="129" t="s">
        <v>2760</v>
      </c>
      <c r="G271" s="130">
        <v>2200</v>
      </c>
      <c r="H271" s="130">
        <v>5</v>
      </c>
      <c r="I271" s="129" t="s">
        <v>209</v>
      </c>
      <c r="J271" s="129" t="s">
        <v>1058</v>
      </c>
      <c r="K271" s="129" t="s">
        <v>1059</v>
      </c>
      <c r="L271" s="130">
        <v>5</v>
      </c>
      <c r="M271" s="130">
        <v>1</v>
      </c>
      <c r="N271" s="129" t="s">
        <v>1544</v>
      </c>
      <c r="O271" s="130">
        <v>69</v>
      </c>
      <c r="P271" s="130">
        <v>14</v>
      </c>
      <c r="Q271" s="130">
        <v>12</v>
      </c>
      <c r="R271" s="129" t="s">
        <v>1309</v>
      </c>
      <c r="S271" s="129" t="s">
        <v>1310</v>
      </c>
      <c r="T271" s="130">
        <v>110</v>
      </c>
      <c r="U271" s="129" t="s">
        <v>2144</v>
      </c>
      <c r="V271" s="129" t="s">
        <v>2145</v>
      </c>
      <c r="W271" s="130">
        <v>25</v>
      </c>
      <c r="X271" s="130">
        <v>2</v>
      </c>
      <c r="Y271" s="129" t="s">
        <v>194</v>
      </c>
      <c r="Z271" s="129" t="s">
        <v>195</v>
      </c>
      <c r="AA271" s="129" t="s">
        <v>196</v>
      </c>
      <c r="AB271" s="129" t="s">
        <v>187</v>
      </c>
      <c r="AC271" s="129" t="s">
        <v>209</v>
      </c>
      <c r="AD271" s="131"/>
      <c r="AE271" s="129" t="s">
        <v>209</v>
      </c>
      <c r="AF271" s="130">
        <v>13.7811040732943</v>
      </c>
      <c r="AG271" s="132">
        <v>100.522494942687</v>
      </c>
      <c r="AM271" s="133" t="str" cm="1">
        <f t="array" ref="AM271">IF(ROWS($AN$2:$AN270)&lt;=$AN$2,INDEX($V$3:$V$3000,_xlfn.AGGREGATE(15,3,($B$3:$B$3000=$AM$2)/($B$3:$B$3000=$AM$2)*(ROW($B$3:$B$3000)-ROW($B$2)),ROWS($AN$2:$AN270))),"")</f>
        <v/>
      </c>
      <c r="AN271" s="134" t="str" cm="1">
        <f t="array" ref="AN271">IF(ROWS($AN$2:$AN270)&lt;=$AN$2,INDEX($F$3:$F$3000,_xlfn.AGGREGATE(15,3,($B$3:$B$3000=$AM$2)/($B$3:$B$3000=$AM$2)*(ROW($B$3:$B$3000)-ROW($B$2)),ROWS($AN$2:$AN270))),"")</f>
        <v/>
      </c>
      <c r="AO271" s="135" t="str" cm="1">
        <f t="array" ref="AO271">IF(ROWS($AN$2:$AN270)&lt;=$AN$2,INDEX($G$3:$G$3000,_xlfn.AGGREGATE(15,3,($B$3:$B$3000=$AM$2)/($B$3:$B$3000=$AM$2)*(ROW($B$3:$B$3000)-ROW($B$2)),ROWS($AN$2:$AN270))),"")</f>
        <v/>
      </c>
      <c r="AP271" s="121"/>
      <c r="AT271" s="111"/>
      <c r="AW271" s="134"/>
      <c r="AX271" s="136"/>
      <c r="AY271" s="134"/>
    </row>
    <row r="272" spans="1:51" s="110" customFormat="1" ht="20" customHeight="1">
      <c r="A272" s="125" t="s">
        <v>478</v>
      </c>
      <c r="B272" s="126" t="s">
        <v>56</v>
      </c>
      <c r="C272" s="127">
        <v>10329</v>
      </c>
      <c r="D272" s="128">
        <v>100357</v>
      </c>
      <c r="E272" s="129" t="s">
        <v>2143</v>
      </c>
      <c r="F272" s="129" t="s">
        <v>2143</v>
      </c>
      <c r="G272" s="130">
        <v>700</v>
      </c>
      <c r="H272" s="130">
        <v>5</v>
      </c>
      <c r="I272" s="129" t="s">
        <v>209</v>
      </c>
      <c r="J272" s="129" t="s">
        <v>1058</v>
      </c>
      <c r="K272" s="129" t="s">
        <v>1059</v>
      </c>
      <c r="L272" s="130">
        <v>5</v>
      </c>
      <c r="M272" s="130">
        <v>1</v>
      </c>
      <c r="N272" s="129" t="s">
        <v>1544</v>
      </c>
      <c r="O272" s="130">
        <v>54</v>
      </c>
      <c r="P272" s="130">
        <v>18</v>
      </c>
      <c r="Q272" s="130">
        <v>12</v>
      </c>
      <c r="R272" s="129" t="s">
        <v>1309</v>
      </c>
      <c r="S272" s="129" t="s">
        <v>1310</v>
      </c>
      <c r="T272" s="130">
        <v>110</v>
      </c>
      <c r="U272" s="129" t="s">
        <v>2144</v>
      </c>
      <c r="V272" s="129" t="s">
        <v>2145</v>
      </c>
      <c r="W272" s="130">
        <v>13</v>
      </c>
      <c r="X272" s="130">
        <v>2</v>
      </c>
      <c r="Y272" s="129" t="s">
        <v>194</v>
      </c>
      <c r="Z272" s="129" t="s">
        <v>195</v>
      </c>
      <c r="AA272" s="129" t="s">
        <v>196</v>
      </c>
      <c r="AB272" s="129" t="s">
        <v>187</v>
      </c>
      <c r="AC272" s="129" t="s">
        <v>209</v>
      </c>
      <c r="AD272" s="131"/>
      <c r="AE272" s="129" t="s">
        <v>209</v>
      </c>
      <c r="AF272" s="130">
        <v>13.783110000000001</v>
      </c>
      <c r="AG272" s="132">
        <v>100.530447</v>
      </c>
      <c r="AM272" s="133" t="str" cm="1">
        <f t="array" ref="AM272">IF(ROWS($AN$2:$AN271)&lt;=$AN$2,INDEX($V$3:$V$3000,_xlfn.AGGREGATE(15,3,($B$3:$B$3000=$AM$2)/($B$3:$B$3000=$AM$2)*(ROW($B$3:$B$3000)-ROW($B$2)),ROWS($AN$2:$AN271))),"")</f>
        <v/>
      </c>
      <c r="AN272" s="134" t="str" cm="1">
        <f t="array" ref="AN272">IF(ROWS($AN$2:$AN271)&lt;=$AN$2,INDEX($F$3:$F$3000,_xlfn.AGGREGATE(15,3,($B$3:$B$3000=$AM$2)/($B$3:$B$3000=$AM$2)*(ROW($B$3:$B$3000)-ROW($B$2)),ROWS($AN$2:$AN271))),"")</f>
        <v/>
      </c>
      <c r="AO272" s="135" t="str" cm="1">
        <f t="array" ref="AO272">IF(ROWS($AN$2:$AN271)&lt;=$AN$2,INDEX($G$3:$G$3000,_xlfn.AGGREGATE(15,3,($B$3:$B$3000=$AM$2)/($B$3:$B$3000=$AM$2)*(ROW($B$3:$B$3000)-ROW($B$2)),ROWS($AN$2:$AN271))),"")</f>
        <v/>
      </c>
      <c r="AP272" s="121"/>
      <c r="AT272" s="111"/>
      <c r="AW272" s="134"/>
      <c r="AX272" s="136"/>
      <c r="AY272" s="134"/>
    </row>
    <row r="273" spans="1:51" s="110" customFormat="1" ht="20" customHeight="1">
      <c r="A273" s="125" t="s">
        <v>480</v>
      </c>
      <c r="B273" s="126" t="s">
        <v>63</v>
      </c>
      <c r="C273" s="127">
        <v>11140</v>
      </c>
      <c r="D273" s="145">
        <v>102927</v>
      </c>
      <c r="E273" s="146" t="s">
        <v>2349</v>
      </c>
      <c r="F273" s="146" t="s">
        <v>2349</v>
      </c>
      <c r="G273" s="147">
        <v>4300</v>
      </c>
      <c r="H273" s="147">
        <v>4</v>
      </c>
      <c r="I273" s="146" t="s">
        <v>209</v>
      </c>
      <c r="J273" s="146" t="s">
        <v>1058</v>
      </c>
      <c r="K273" s="146" t="s">
        <v>1059</v>
      </c>
      <c r="L273" s="147">
        <v>5</v>
      </c>
      <c r="M273" s="147">
        <v>1</v>
      </c>
      <c r="N273" s="146" t="s">
        <v>1544</v>
      </c>
      <c r="O273" s="147">
        <v>61</v>
      </c>
      <c r="P273" s="147">
        <v>8</v>
      </c>
      <c r="Q273" s="147">
        <v>12</v>
      </c>
      <c r="R273" s="146" t="s">
        <v>1309</v>
      </c>
      <c r="S273" s="146" t="s">
        <v>1310</v>
      </c>
      <c r="T273" s="147">
        <v>110</v>
      </c>
      <c r="U273" s="146" t="s">
        <v>2144</v>
      </c>
      <c r="V273" s="146" t="s">
        <v>2145</v>
      </c>
      <c r="W273" s="147">
        <v>129</v>
      </c>
      <c r="X273" s="147">
        <v>2</v>
      </c>
      <c r="Y273" s="146" t="s">
        <v>194</v>
      </c>
      <c r="Z273" s="146" t="s">
        <v>195</v>
      </c>
      <c r="AA273" s="146" t="s">
        <v>196</v>
      </c>
      <c r="AB273" s="146" t="s">
        <v>187</v>
      </c>
      <c r="AC273" s="146" t="s">
        <v>209</v>
      </c>
      <c r="AD273" s="148"/>
      <c r="AE273" s="146" t="s">
        <v>209</v>
      </c>
      <c r="AF273" s="147">
        <v>21.009936</v>
      </c>
      <c r="AG273" s="149">
        <v>105.80123399999999</v>
      </c>
      <c r="AM273" s="133" t="str" cm="1">
        <f t="array" ref="AM273">IF(ROWS($AN$2:$AN272)&lt;=$AN$2,INDEX($V$3:$V$3000,_xlfn.AGGREGATE(15,3,($B$3:$B$3000=$AM$2)/($B$3:$B$3000=$AM$2)*(ROW($B$3:$B$3000)-ROW($B$2)),ROWS($AN$2:$AN272))),"")</f>
        <v/>
      </c>
      <c r="AN273" s="134" t="str" cm="1">
        <f t="array" ref="AN273">IF(ROWS($AN$2:$AN272)&lt;=$AN$2,INDEX($F$3:$F$3000,_xlfn.AGGREGATE(15,3,($B$3:$B$3000=$AM$2)/($B$3:$B$3000=$AM$2)*(ROW($B$3:$B$3000)-ROW($B$2)),ROWS($AN$2:$AN272))),"")</f>
        <v/>
      </c>
      <c r="AO273" s="135" t="str" cm="1">
        <f t="array" ref="AO273">IF(ROWS($AN$2:$AN272)&lt;=$AN$2,INDEX($G$3:$G$3000,_xlfn.AGGREGATE(15,3,($B$3:$B$3000=$AM$2)/($B$3:$B$3000=$AM$2)*(ROW($B$3:$B$3000)-ROW($B$2)),ROWS($AN$2:$AN272))),"")</f>
        <v/>
      </c>
      <c r="AP273" s="121"/>
      <c r="AT273" s="111"/>
      <c r="AW273" s="134"/>
      <c r="AX273" s="136"/>
      <c r="AY273" s="134"/>
    </row>
    <row r="274" spans="1:51" s="110" customFormat="1" ht="20" customHeight="1">
      <c r="A274" s="125" t="s">
        <v>408</v>
      </c>
      <c r="B274" s="126" t="s">
        <v>64</v>
      </c>
      <c r="C274" s="127">
        <v>10429</v>
      </c>
      <c r="D274" s="145">
        <v>100516</v>
      </c>
      <c r="E274" s="146" t="s">
        <v>1985</v>
      </c>
      <c r="F274" s="146" t="s">
        <v>1985</v>
      </c>
      <c r="G274" s="147">
        <v>500</v>
      </c>
      <c r="H274" s="147">
        <v>4</v>
      </c>
      <c r="I274" s="146" t="s">
        <v>209</v>
      </c>
      <c r="J274" s="146" t="s">
        <v>1986</v>
      </c>
      <c r="K274" s="146" t="s">
        <v>1985</v>
      </c>
      <c r="L274" s="147">
        <v>5</v>
      </c>
      <c r="M274" s="147">
        <v>1</v>
      </c>
      <c r="N274" s="146" t="s">
        <v>1544</v>
      </c>
      <c r="O274" s="147">
        <v>94</v>
      </c>
      <c r="P274" s="147">
        <v>8.6999999999999993</v>
      </c>
      <c r="Q274" s="147">
        <v>12</v>
      </c>
      <c r="R274" s="146" t="s">
        <v>1309</v>
      </c>
      <c r="S274" s="146" t="s">
        <v>1310</v>
      </c>
      <c r="T274" s="147">
        <v>119</v>
      </c>
      <c r="U274" s="146" t="s">
        <v>1987</v>
      </c>
      <c r="V274" s="146" t="s">
        <v>1985</v>
      </c>
      <c r="W274" s="147">
        <v>56</v>
      </c>
      <c r="X274" s="147">
        <v>2</v>
      </c>
      <c r="Y274" s="146" t="s">
        <v>194</v>
      </c>
      <c r="Z274" s="146" t="s">
        <v>195</v>
      </c>
      <c r="AA274" s="146" t="s">
        <v>196</v>
      </c>
      <c r="AB274" s="146" t="s">
        <v>209</v>
      </c>
      <c r="AC274" s="146" t="s">
        <v>209</v>
      </c>
      <c r="AD274" s="148"/>
      <c r="AE274" s="146" t="s">
        <v>209</v>
      </c>
      <c r="AF274" s="147">
        <v>1.3706231723215301</v>
      </c>
      <c r="AG274" s="149">
        <v>103.762604161753</v>
      </c>
      <c r="AM274" s="133" t="str" cm="1">
        <f t="array" ref="AM274">IF(ROWS($AN$2:$AN273)&lt;=$AN$2,INDEX($V$3:$V$3000,_xlfn.AGGREGATE(15,3,($B$3:$B$3000=$AM$2)/($B$3:$B$3000=$AM$2)*(ROW($B$3:$B$3000)-ROW($B$2)),ROWS($AN$2:$AN273))),"")</f>
        <v/>
      </c>
      <c r="AN274" s="134" t="str" cm="1">
        <f t="array" ref="AN274">IF(ROWS($AN$2:$AN273)&lt;=$AN$2,INDEX($F$3:$F$3000,_xlfn.AGGREGATE(15,3,($B$3:$B$3000=$AM$2)/($B$3:$B$3000=$AM$2)*(ROW($B$3:$B$3000)-ROW($B$2)),ROWS($AN$2:$AN273))),"")</f>
        <v/>
      </c>
      <c r="AO274" s="135" t="str" cm="1">
        <f t="array" ref="AO274">IF(ROWS($AN$2:$AN273)&lt;=$AN$2,INDEX($G$3:$G$3000,_xlfn.AGGREGATE(15,3,($B$3:$B$3000=$AM$2)/($B$3:$B$3000=$AM$2)*(ROW($B$3:$B$3000)-ROW($B$2)),ROWS($AN$2:$AN273))),"")</f>
        <v/>
      </c>
      <c r="AP274" s="121"/>
      <c r="AT274" s="111"/>
      <c r="AW274" s="134"/>
      <c r="AX274" s="136"/>
      <c r="AY274" s="134"/>
    </row>
    <row r="275" spans="1:51" s="110" customFormat="1" ht="20" customHeight="1">
      <c r="A275" s="125" t="s">
        <v>239</v>
      </c>
      <c r="B275" s="126" t="s">
        <v>67</v>
      </c>
      <c r="C275" s="127">
        <v>10709</v>
      </c>
      <c r="D275" s="128">
        <v>101106</v>
      </c>
      <c r="E275" s="129" t="s">
        <v>3717</v>
      </c>
      <c r="F275" s="129" t="s">
        <v>3717</v>
      </c>
      <c r="G275" s="130">
        <v>11000</v>
      </c>
      <c r="H275" s="130">
        <v>5</v>
      </c>
      <c r="I275" s="129" t="s">
        <v>209</v>
      </c>
      <c r="J275" s="129" t="s">
        <v>3718</v>
      </c>
      <c r="K275" s="129" t="s">
        <v>3717</v>
      </c>
      <c r="L275" s="130">
        <v>5</v>
      </c>
      <c r="M275" s="130">
        <v>1</v>
      </c>
      <c r="N275" s="129" t="s">
        <v>1544</v>
      </c>
      <c r="O275" s="130">
        <v>93</v>
      </c>
      <c r="P275" s="130">
        <v>11</v>
      </c>
      <c r="Q275" s="130">
        <v>12</v>
      </c>
      <c r="R275" s="129" t="s">
        <v>1309</v>
      </c>
      <c r="S275" s="129" t="s">
        <v>1310</v>
      </c>
      <c r="T275" s="130">
        <v>134</v>
      </c>
      <c r="U275" s="129" t="s">
        <v>3719</v>
      </c>
      <c r="V275" s="129" t="s">
        <v>3717</v>
      </c>
      <c r="W275" s="130">
        <v>13</v>
      </c>
      <c r="X275" s="130">
        <v>2</v>
      </c>
      <c r="Y275" s="129" t="s">
        <v>194</v>
      </c>
      <c r="Z275" s="129" t="s">
        <v>195</v>
      </c>
      <c r="AA275" s="129" t="s">
        <v>196</v>
      </c>
      <c r="AB275" s="129" t="s">
        <v>209</v>
      </c>
      <c r="AC275" s="129" t="s">
        <v>209</v>
      </c>
      <c r="AD275" s="131"/>
      <c r="AE275" s="129" t="s">
        <v>209</v>
      </c>
      <c r="AF275" s="130">
        <v>14.574949</v>
      </c>
      <c r="AG275" s="132">
        <v>120.996444</v>
      </c>
      <c r="AM275" s="133" t="str" cm="1">
        <f t="array" ref="AM275">IF(ROWS($AN$2:$AN274)&lt;=$AN$2,INDEX($V$3:$V$3000,_xlfn.AGGREGATE(15,3,($B$3:$B$3000=$AM$2)/($B$3:$B$3000=$AM$2)*(ROW($B$3:$B$3000)-ROW($B$2)),ROWS($AN$2:$AN274))),"")</f>
        <v/>
      </c>
      <c r="AN275" s="134" t="str" cm="1">
        <f t="array" ref="AN275">IF(ROWS($AN$2:$AN274)&lt;=$AN$2,INDEX($F$3:$F$3000,_xlfn.AGGREGATE(15,3,($B$3:$B$3000=$AM$2)/($B$3:$B$3000=$AM$2)*(ROW($B$3:$B$3000)-ROW($B$2)),ROWS($AN$2:$AN274))),"")</f>
        <v/>
      </c>
      <c r="AO275" s="135" t="str" cm="1">
        <f t="array" ref="AO275">IF(ROWS($AN$2:$AN274)&lt;=$AN$2,INDEX($G$3:$G$3000,_xlfn.AGGREGATE(15,3,($B$3:$B$3000=$AM$2)/($B$3:$B$3000=$AM$2)*(ROW($B$3:$B$3000)-ROW($B$2)),ROWS($AN$2:$AN274))),"")</f>
        <v/>
      </c>
      <c r="AP275" s="121"/>
      <c r="AT275" s="111"/>
      <c r="AW275" s="134"/>
      <c r="AX275" s="136"/>
      <c r="AY275" s="134"/>
    </row>
    <row r="276" spans="1:51" s="110" customFormat="1" ht="20" customHeight="1">
      <c r="A276" s="125" t="s">
        <v>185</v>
      </c>
      <c r="B276" s="126" t="s">
        <v>59</v>
      </c>
      <c r="C276" s="127">
        <v>13679</v>
      </c>
      <c r="D276" s="145">
        <v>106551</v>
      </c>
      <c r="E276" s="146" t="s">
        <v>4536</v>
      </c>
      <c r="F276" s="146" t="s">
        <v>4537</v>
      </c>
      <c r="G276" s="147">
        <v>77000</v>
      </c>
      <c r="H276" s="147">
        <v>4</v>
      </c>
      <c r="I276" s="146" t="s">
        <v>209</v>
      </c>
      <c r="J276" s="146" t="s">
        <v>4538</v>
      </c>
      <c r="K276" s="146" t="s">
        <v>4539</v>
      </c>
      <c r="L276" s="147">
        <v>5</v>
      </c>
      <c r="M276" s="147">
        <v>1</v>
      </c>
      <c r="N276" s="146" t="s">
        <v>1544</v>
      </c>
      <c r="O276" s="147">
        <v>80</v>
      </c>
      <c r="P276" s="147">
        <v>8</v>
      </c>
      <c r="Q276" s="147">
        <v>17</v>
      </c>
      <c r="R276" s="146" t="s">
        <v>190</v>
      </c>
      <c r="S276" s="146" t="s">
        <v>191</v>
      </c>
      <c r="T276" s="147">
        <v>135</v>
      </c>
      <c r="U276" s="146" t="s">
        <v>432</v>
      </c>
      <c r="V276" s="146" t="s">
        <v>433</v>
      </c>
      <c r="W276" s="147">
        <v>1</v>
      </c>
      <c r="X276" s="147">
        <v>2</v>
      </c>
      <c r="Y276" s="146" t="s">
        <v>194</v>
      </c>
      <c r="Z276" s="146" t="s">
        <v>195</v>
      </c>
      <c r="AA276" s="146" t="s">
        <v>196</v>
      </c>
      <c r="AB276" s="146" t="s">
        <v>187</v>
      </c>
      <c r="AC276" s="146" t="s">
        <v>187</v>
      </c>
      <c r="AD276" s="148"/>
      <c r="AE276" s="146" t="s">
        <v>209</v>
      </c>
      <c r="AF276" s="147">
        <v>-1.40327</v>
      </c>
      <c r="AG276" s="149">
        <v>98.90334</v>
      </c>
      <c r="AM276" s="133" t="str" cm="1">
        <f t="array" ref="AM276">IF(ROWS($AN$2:$AN275)&lt;=$AN$2,INDEX($V$3:$V$3000,_xlfn.AGGREGATE(15,3,($B$3:$B$3000=$AM$2)/($B$3:$B$3000=$AM$2)*(ROW($B$3:$B$3000)-ROW($B$2)),ROWS($AN$2:$AN275))),"")</f>
        <v/>
      </c>
      <c r="AN276" s="134" t="str" cm="1">
        <f t="array" ref="AN276">IF(ROWS($AN$2:$AN275)&lt;=$AN$2,INDEX($F$3:$F$3000,_xlfn.AGGREGATE(15,3,($B$3:$B$3000=$AM$2)/($B$3:$B$3000=$AM$2)*(ROW($B$3:$B$3000)-ROW($B$2)),ROWS($AN$2:$AN275))),"")</f>
        <v/>
      </c>
      <c r="AO276" s="135" t="str" cm="1">
        <f t="array" ref="AO276">IF(ROWS($AN$2:$AN275)&lt;=$AN$2,INDEX($G$3:$G$3000,_xlfn.AGGREGATE(15,3,($B$3:$B$3000=$AM$2)/($B$3:$B$3000=$AM$2)*(ROW($B$3:$B$3000)-ROW($B$2)),ROWS($AN$2:$AN275))),"")</f>
        <v/>
      </c>
      <c r="AP276" s="121"/>
      <c r="AT276" s="111"/>
      <c r="AW276" s="134"/>
      <c r="AX276" s="136"/>
      <c r="AY276" s="134"/>
    </row>
    <row r="277" spans="1:51" s="110" customFormat="1" ht="20" customHeight="1">
      <c r="A277" s="125" t="s">
        <v>185</v>
      </c>
      <c r="B277" s="126" t="s">
        <v>59</v>
      </c>
      <c r="C277" s="127">
        <v>14265</v>
      </c>
      <c r="D277" s="145">
        <v>107769</v>
      </c>
      <c r="E277" s="146" t="s">
        <v>4440</v>
      </c>
      <c r="F277" s="146" t="s">
        <v>4440</v>
      </c>
      <c r="G277" s="147">
        <v>55000</v>
      </c>
      <c r="H277" s="147">
        <v>4</v>
      </c>
      <c r="I277" s="146" t="s">
        <v>209</v>
      </c>
      <c r="J277" s="146" t="s">
        <v>1175</v>
      </c>
      <c r="K277" s="146" t="s">
        <v>1176</v>
      </c>
      <c r="L277" s="147">
        <v>5</v>
      </c>
      <c r="M277" s="147">
        <v>1</v>
      </c>
      <c r="N277" s="146" t="s">
        <v>1544</v>
      </c>
      <c r="O277" s="147">
        <v>70</v>
      </c>
      <c r="P277" s="147">
        <v>6</v>
      </c>
      <c r="Q277" s="147">
        <v>17</v>
      </c>
      <c r="R277" s="146" t="s">
        <v>190</v>
      </c>
      <c r="S277" s="146" t="s">
        <v>191</v>
      </c>
      <c r="T277" s="147">
        <v>135</v>
      </c>
      <c r="U277" s="146" t="s">
        <v>432</v>
      </c>
      <c r="V277" s="146" t="s">
        <v>433</v>
      </c>
      <c r="W277" s="147">
        <v>1</v>
      </c>
      <c r="X277" s="147">
        <v>2</v>
      </c>
      <c r="Y277" s="146" t="s">
        <v>194</v>
      </c>
      <c r="Z277" s="146" t="s">
        <v>195</v>
      </c>
      <c r="AA277" s="146" t="s">
        <v>196</v>
      </c>
      <c r="AB277" s="146" t="s">
        <v>187</v>
      </c>
      <c r="AC277" s="146" t="s">
        <v>187</v>
      </c>
      <c r="AD277" s="148"/>
      <c r="AE277" s="146" t="s">
        <v>209</v>
      </c>
      <c r="AF277" s="147">
        <v>2.5143800000000001</v>
      </c>
      <c r="AG277" s="149">
        <v>98.242689999999996</v>
      </c>
      <c r="AM277" s="133" t="str" cm="1">
        <f t="array" ref="AM277">IF(ROWS($AN$2:$AN276)&lt;=$AN$2,INDEX($V$3:$V$3000,_xlfn.AGGREGATE(15,3,($B$3:$B$3000=$AM$2)/($B$3:$B$3000=$AM$2)*(ROW($B$3:$B$3000)-ROW($B$2)),ROWS($AN$2:$AN276))),"")</f>
        <v/>
      </c>
      <c r="AN277" s="134" t="str" cm="1">
        <f t="array" ref="AN277">IF(ROWS($AN$2:$AN276)&lt;=$AN$2,INDEX($F$3:$F$3000,_xlfn.AGGREGATE(15,3,($B$3:$B$3000=$AM$2)/($B$3:$B$3000=$AM$2)*(ROW($B$3:$B$3000)-ROW($B$2)),ROWS($AN$2:$AN276))),"")</f>
        <v/>
      </c>
      <c r="AO277" s="135" t="str" cm="1">
        <f t="array" ref="AO277">IF(ROWS($AN$2:$AN276)&lt;=$AN$2,INDEX($G$3:$G$3000,_xlfn.AGGREGATE(15,3,($B$3:$B$3000=$AM$2)/($B$3:$B$3000=$AM$2)*(ROW($B$3:$B$3000)-ROW($B$2)),ROWS($AN$2:$AN276))),"")</f>
        <v/>
      </c>
      <c r="AP277" s="121"/>
      <c r="AT277" s="111"/>
      <c r="AW277" s="134"/>
      <c r="AX277" s="136"/>
      <c r="AY277" s="134"/>
    </row>
    <row r="278" spans="1:51" s="110" customFormat="1" ht="20" customHeight="1">
      <c r="A278" s="125" t="s">
        <v>185</v>
      </c>
      <c r="B278" s="126" t="s">
        <v>59</v>
      </c>
      <c r="C278" s="127">
        <v>19070</v>
      </c>
      <c r="D278" s="145">
        <v>114962</v>
      </c>
      <c r="E278" s="146" t="s">
        <v>4211</v>
      </c>
      <c r="F278" s="146" t="s">
        <v>4212</v>
      </c>
      <c r="G278" s="147">
        <v>30000</v>
      </c>
      <c r="H278" s="147">
        <v>4</v>
      </c>
      <c r="I278" s="146" t="s">
        <v>209</v>
      </c>
      <c r="J278" s="146" t="s">
        <v>4213</v>
      </c>
      <c r="K278" s="146" t="s">
        <v>4214</v>
      </c>
      <c r="L278" s="147">
        <v>5</v>
      </c>
      <c r="M278" s="147">
        <v>1</v>
      </c>
      <c r="N278" s="146" t="s">
        <v>1544</v>
      </c>
      <c r="O278" s="147">
        <v>65</v>
      </c>
      <c r="P278" s="147">
        <v>4</v>
      </c>
      <c r="Q278" s="147">
        <v>17</v>
      </c>
      <c r="R278" s="146" t="s">
        <v>190</v>
      </c>
      <c r="S278" s="146" t="s">
        <v>191</v>
      </c>
      <c r="T278" s="147">
        <v>135</v>
      </c>
      <c r="U278" s="146" t="s">
        <v>432</v>
      </c>
      <c r="V278" s="146" t="s">
        <v>433</v>
      </c>
      <c r="W278" s="147">
        <v>1</v>
      </c>
      <c r="X278" s="147">
        <v>2</v>
      </c>
      <c r="Y278" s="146" t="s">
        <v>194</v>
      </c>
      <c r="Z278" s="146" t="s">
        <v>195</v>
      </c>
      <c r="AA278" s="146" t="s">
        <v>196</v>
      </c>
      <c r="AB278" s="146" t="s">
        <v>187</v>
      </c>
      <c r="AC278" s="146" t="s">
        <v>187</v>
      </c>
      <c r="AD278" s="148"/>
      <c r="AE278" s="146" t="s">
        <v>209</v>
      </c>
      <c r="AF278" s="147">
        <v>0.90690999999999999</v>
      </c>
      <c r="AG278" s="149">
        <v>97.496139999999997</v>
      </c>
      <c r="AM278" s="133" t="str" cm="1">
        <f t="array" ref="AM278">IF(ROWS($AN$2:$AN277)&lt;=$AN$2,INDEX($V$3:$V$3000,_xlfn.AGGREGATE(15,3,($B$3:$B$3000=$AM$2)/($B$3:$B$3000=$AM$2)*(ROW($B$3:$B$3000)-ROW($B$2)),ROWS($AN$2:$AN277))),"")</f>
        <v/>
      </c>
      <c r="AN278" s="134" t="str" cm="1">
        <f t="array" ref="AN278">IF(ROWS($AN$2:$AN277)&lt;=$AN$2,INDEX($F$3:$F$3000,_xlfn.AGGREGATE(15,3,($B$3:$B$3000=$AM$2)/($B$3:$B$3000=$AM$2)*(ROW($B$3:$B$3000)-ROW($B$2)),ROWS($AN$2:$AN277))),"")</f>
        <v/>
      </c>
      <c r="AO278" s="135" t="str" cm="1">
        <f t="array" ref="AO278">IF(ROWS($AN$2:$AN277)&lt;=$AN$2,INDEX($G$3:$G$3000,_xlfn.AGGREGATE(15,3,($B$3:$B$3000=$AM$2)/($B$3:$B$3000=$AM$2)*(ROW($B$3:$B$3000)-ROW($B$2)),ROWS($AN$2:$AN277))),"")</f>
        <v/>
      </c>
      <c r="AP278" s="121"/>
      <c r="AT278" s="111"/>
      <c r="AW278" s="134"/>
      <c r="AX278" s="136"/>
      <c r="AY278" s="134"/>
    </row>
    <row r="279" spans="1:51" s="110" customFormat="1" ht="20" customHeight="1">
      <c r="A279" s="125" t="s">
        <v>185</v>
      </c>
      <c r="B279" s="126" t="s">
        <v>59</v>
      </c>
      <c r="C279" s="127">
        <v>11763</v>
      </c>
      <c r="D279" s="145">
        <v>102926</v>
      </c>
      <c r="E279" s="146" t="s">
        <v>2692</v>
      </c>
      <c r="F279" s="146" t="s">
        <v>2692</v>
      </c>
      <c r="G279" s="147">
        <v>2000</v>
      </c>
      <c r="H279" s="147">
        <v>4</v>
      </c>
      <c r="I279" s="146" t="s">
        <v>209</v>
      </c>
      <c r="J279" s="146" t="s">
        <v>2693</v>
      </c>
      <c r="K279" s="146" t="s">
        <v>2694</v>
      </c>
      <c r="L279" s="147">
        <v>2</v>
      </c>
      <c r="M279" s="147">
        <v>1</v>
      </c>
      <c r="N279" s="146" t="s">
        <v>1544</v>
      </c>
      <c r="O279" s="147">
        <v>75</v>
      </c>
      <c r="P279" s="147">
        <v>4</v>
      </c>
      <c r="Q279" s="147">
        <v>17</v>
      </c>
      <c r="R279" s="146" t="s">
        <v>190</v>
      </c>
      <c r="S279" s="146" t="s">
        <v>191</v>
      </c>
      <c r="T279" s="147">
        <v>135</v>
      </c>
      <c r="U279" s="146" t="s">
        <v>432</v>
      </c>
      <c r="V279" s="146" t="s">
        <v>433</v>
      </c>
      <c r="W279" s="147">
        <v>1</v>
      </c>
      <c r="X279" s="147">
        <v>2</v>
      </c>
      <c r="Y279" s="146" t="s">
        <v>194</v>
      </c>
      <c r="Z279" s="146" t="s">
        <v>195</v>
      </c>
      <c r="AA279" s="146" t="s">
        <v>196</v>
      </c>
      <c r="AB279" s="146" t="s">
        <v>187</v>
      </c>
      <c r="AC279" s="146" t="s">
        <v>187</v>
      </c>
      <c r="AD279" s="148"/>
      <c r="AE279" s="146" t="s">
        <v>209</v>
      </c>
      <c r="AF279" s="147">
        <v>-5.3952999999999998</v>
      </c>
      <c r="AG279" s="149">
        <v>102.25631</v>
      </c>
      <c r="AM279" s="133" t="str" cm="1">
        <f t="array" ref="AM279">IF(ROWS($AN$2:$AN278)&lt;=$AN$2,INDEX($V$3:$V$3000,_xlfn.AGGREGATE(15,3,($B$3:$B$3000=$AM$2)/($B$3:$B$3000=$AM$2)*(ROW($B$3:$B$3000)-ROW($B$2)),ROWS($AN$2:$AN278))),"")</f>
        <v/>
      </c>
      <c r="AN279" s="134" t="str" cm="1">
        <f t="array" ref="AN279">IF(ROWS($AN$2:$AN278)&lt;=$AN$2,INDEX($F$3:$F$3000,_xlfn.AGGREGATE(15,3,($B$3:$B$3000=$AM$2)/($B$3:$B$3000=$AM$2)*(ROW($B$3:$B$3000)-ROW($B$2)),ROWS($AN$2:$AN278))),"")</f>
        <v/>
      </c>
      <c r="AO279" s="135" t="str" cm="1">
        <f t="array" ref="AO279">IF(ROWS($AN$2:$AN278)&lt;=$AN$2,INDEX($G$3:$G$3000,_xlfn.AGGREGATE(15,3,($B$3:$B$3000=$AM$2)/($B$3:$B$3000=$AM$2)*(ROW($B$3:$B$3000)-ROW($B$2)),ROWS($AN$2:$AN278))),"")</f>
        <v/>
      </c>
      <c r="AP279" s="121"/>
      <c r="AT279" s="111"/>
      <c r="AW279" s="134"/>
      <c r="AX279" s="136"/>
      <c r="AY279" s="134"/>
    </row>
    <row r="280" spans="1:51" s="110" customFormat="1" ht="20" customHeight="1">
      <c r="A280" s="125" t="s">
        <v>185</v>
      </c>
      <c r="B280" s="126" t="s">
        <v>59</v>
      </c>
      <c r="C280" s="127">
        <v>10723</v>
      </c>
      <c r="D280" s="128">
        <v>101128</v>
      </c>
      <c r="E280" s="129" t="s">
        <v>2391</v>
      </c>
      <c r="F280" s="129" t="s">
        <v>2391</v>
      </c>
      <c r="G280" s="130">
        <v>2424000</v>
      </c>
      <c r="H280" s="130">
        <v>5</v>
      </c>
      <c r="I280" s="129" t="s">
        <v>209</v>
      </c>
      <c r="J280" s="129" t="s">
        <v>2392</v>
      </c>
      <c r="K280" s="129" t="s">
        <v>2393</v>
      </c>
      <c r="L280" s="130">
        <v>5</v>
      </c>
      <c r="M280" s="130">
        <v>1</v>
      </c>
      <c r="N280" s="129" t="s">
        <v>1544</v>
      </c>
      <c r="O280" s="130">
        <v>97</v>
      </c>
      <c r="P280" s="130">
        <v>21.238</v>
      </c>
      <c r="Q280" s="130">
        <v>17</v>
      </c>
      <c r="R280" s="129" t="s">
        <v>190</v>
      </c>
      <c r="S280" s="129" t="s">
        <v>191</v>
      </c>
      <c r="T280" s="130">
        <v>135</v>
      </c>
      <c r="U280" s="129" t="s">
        <v>432</v>
      </c>
      <c r="V280" s="129" t="s">
        <v>433</v>
      </c>
      <c r="W280" s="130">
        <v>2</v>
      </c>
      <c r="X280" s="130">
        <v>2</v>
      </c>
      <c r="Y280" s="129" t="s">
        <v>194</v>
      </c>
      <c r="Z280" s="129" t="s">
        <v>195</v>
      </c>
      <c r="AA280" s="129" t="s">
        <v>196</v>
      </c>
      <c r="AB280" s="129" t="s">
        <v>187</v>
      </c>
      <c r="AC280" s="129" t="s">
        <v>187</v>
      </c>
      <c r="AD280" s="131"/>
      <c r="AE280" s="129" t="s">
        <v>209</v>
      </c>
      <c r="AF280" s="130">
        <v>2.3549800002268202</v>
      </c>
      <c r="AG280" s="132">
        <v>99.1761400001608</v>
      </c>
      <c r="AM280" s="133" t="str" cm="1">
        <f t="array" ref="AM280">IF(ROWS($AN$2:$AN279)&lt;=$AN$2,INDEX($V$3:$V$3000,_xlfn.AGGREGATE(15,3,($B$3:$B$3000=$AM$2)/($B$3:$B$3000=$AM$2)*(ROW($B$3:$B$3000)-ROW($B$2)),ROWS($AN$2:$AN279))),"")</f>
        <v/>
      </c>
      <c r="AN280" s="134" t="str" cm="1">
        <f t="array" ref="AN280">IF(ROWS($AN$2:$AN279)&lt;=$AN$2,INDEX($F$3:$F$3000,_xlfn.AGGREGATE(15,3,($B$3:$B$3000=$AM$2)/($B$3:$B$3000=$AM$2)*(ROW($B$3:$B$3000)-ROW($B$2)),ROWS($AN$2:$AN279))),"")</f>
        <v/>
      </c>
      <c r="AO280" s="135" t="str" cm="1">
        <f t="array" ref="AO280">IF(ROWS($AN$2:$AN279)&lt;=$AN$2,INDEX($G$3:$G$3000,_xlfn.AGGREGATE(15,3,($B$3:$B$3000=$AM$2)/($B$3:$B$3000=$AM$2)*(ROW($B$3:$B$3000)-ROW($B$2)),ROWS($AN$2:$AN279))),"")</f>
        <v/>
      </c>
      <c r="AP280" s="121"/>
      <c r="AT280" s="111"/>
      <c r="AW280" s="134"/>
      <c r="AX280" s="136"/>
      <c r="AY280" s="134"/>
    </row>
    <row r="281" spans="1:51" s="110" customFormat="1" ht="20" customHeight="1">
      <c r="A281" s="125" t="s">
        <v>185</v>
      </c>
      <c r="B281" s="126" t="s">
        <v>59</v>
      </c>
      <c r="C281" s="127">
        <v>10719</v>
      </c>
      <c r="D281" s="128">
        <v>101124</v>
      </c>
      <c r="E281" s="129" t="s">
        <v>1176</v>
      </c>
      <c r="F281" s="129" t="s">
        <v>1176</v>
      </c>
      <c r="G281" s="130">
        <v>1997000</v>
      </c>
      <c r="H281" s="130">
        <v>5</v>
      </c>
      <c r="I281" s="129" t="s">
        <v>209</v>
      </c>
      <c r="J281" s="129" t="s">
        <v>1175</v>
      </c>
      <c r="K281" s="129" t="s">
        <v>1176</v>
      </c>
      <c r="L281" s="130">
        <v>5</v>
      </c>
      <c r="M281" s="130">
        <v>1</v>
      </c>
      <c r="N281" s="129" t="s">
        <v>1544</v>
      </c>
      <c r="O281" s="130">
        <v>79</v>
      </c>
      <c r="P281" s="130">
        <v>16.518000000000001</v>
      </c>
      <c r="Q281" s="130">
        <v>17</v>
      </c>
      <c r="R281" s="129" t="s">
        <v>190</v>
      </c>
      <c r="S281" s="129" t="s">
        <v>191</v>
      </c>
      <c r="T281" s="130">
        <v>135</v>
      </c>
      <c r="U281" s="129" t="s">
        <v>432</v>
      </c>
      <c r="V281" s="129" t="s">
        <v>433</v>
      </c>
      <c r="W281" s="130">
        <v>1</v>
      </c>
      <c r="X281" s="130">
        <v>2</v>
      </c>
      <c r="Y281" s="129" t="s">
        <v>194</v>
      </c>
      <c r="Z281" s="129" t="s">
        <v>195</v>
      </c>
      <c r="AA281" s="129" t="s">
        <v>196</v>
      </c>
      <c r="AB281" s="129" t="s">
        <v>187</v>
      </c>
      <c r="AC281" s="129" t="s">
        <v>187</v>
      </c>
      <c r="AD281" s="131"/>
      <c r="AE281" s="129" t="s">
        <v>209</v>
      </c>
      <c r="AF281" s="130">
        <v>2.4156239936523898</v>
      </c>
      <c r="AG281" s="132">
        <v>97.935027059051507</v>
      </c>
      <c r="AM281" s="133" t="str" cm="1">
        <f t="array" ref="AM281">IF(ROWS($AN$2:$AN280)&lt;=$AN$2,INDEX($V$3:$V$3000,_xlfn.AGGREGATE(15,3,($B$3:$B$3000=$AM$2)/($B$3:$B$3000=$AM$2)*(ROW($B$3:$B$3000)-ROW($B$2)),ROWS($AN$2:$AN280))),"")</f>
        <v/>
      </c>
      <c r="AN281" s="134" t="str" cm="1">
        <f t="array" ref="AN281">IF(ROWS($AN$2:$AN280)&lt;=$AN$2,INDEX($F$3:$F$3000,_xlfn.AGGREGATE(15,3,($B$3:$B$3000=$AM$2)/($B$3:$B$3000=$AM$2)*(ROW($B$3:$B$3000)-ROW($B$2)),ROWS($AN$2:$AN280))),"")</f>
        <v/>
      </c>
      <c r="AO281" s="135" t="str" cm="1">
        <f t="array" ref="AO281">IF(ROWS($AN$2:$AN280)&lt;=$AN$2,INDEX($G$3:$G$3000,_xlfn.AGGREGATE(15,3,($B$3:$B$3000=$AM$2)/($B$3:$B$3000=$AM$2)*(ROW($B$3:$B$3000)-ROW($B$2)),ROWS($AN$2:$AN280))),"")</f>
        <v/>
      </c>
      <c r="AP281" s="121"/>
      <c r="AT281" s="111"/>
      <c r="AW281" s="134"/>
      <c r="AX281" s="136"/>
      <c r="AY281" s="134"/>
    </row>
    <row r="282" spans="1:51" s="110" customFormat="1" ht="20" customHeight="1">
      <c r="A282" s="125" t="s">
        <v>185</v>
      </c>
      <c r="B282" s="126" t="s">
        <v>59</v>
      </c>
      <c r="C282" s="127">
        <v>10722</v>
      </c>
      <c r="D282" s="128">
        <v>101127</v>
      </c>
      <c r="E282" s="129" t="s">
        <v>4883</v>
      </c>
      <c r="F282" s="129" t="s">
        <v>4883</v>
      </c>
      <c r="G282" s="130">
        <v>1601000</v>
      </c>
      <c r="H282" s="130">
        <v>5</v>
      </c>
      <c r="I282" s="129" t="s">
        <v>209</v>
      </c>
      <c r="J282" s="129" t="s">
        <v>4884</v>
      </c>
      <c r="K282" s="129" t="s">
        <v>4883</v>
      </c>
      <c r="L282" s="130">
        <v>5</v>
      </c>
      <c r="M282" s="130">
        <v>1</v>
      </c>
      <c r="N282" s="129" t="s">
        <v>1544</v>
      </c>
      <c r="O282" s="130">
        <v>65</v>
      </c>
      <c r="P282" s="130">
        <v>12.978999999999999</v>
      </c>
      <c r="Q282" s="130">
        <v>17</v>
      </c>
      <c r="R282" s="129" t="s">
        <v>190</v>
      </c>
      <c r="S282" s="129" t="s">
        <v>191</v>
      </c>
      <c r="T282" s="130">
        <v>135</v>
      </c>
      <c r="U282" s="129" t="s">
        <v>432</v>
      </c>
      <c r="V282" s="129" t="s">
        <v>433</v>
      </c>
      <c r="W282" s="130">
        <v>1</v>
      </c>
      <c r="X282" s="130">
        <v>2</v>
      </c>
      <c r="Y282" s="129" t="s">
        <v>194</v>
      </c>
      <c r="Z282" s="129" t="s">
        <v>195</v>
      </c>
      <c r="AA282" s="129" t="s">
        <v>196</v>
      </c>
      <c r="AB282" s="129" t="s">
        <v>187</v>
      </c>
      <c r="AC282" s="129" t="s">
        <v>187</v>
      </c>
      <c r="AD282" s="131"/>
      <c r="AE282" s="129" t="s">
        <v>209</v>
      </c>
      <c r="AF282" s="130">
        <v>3.0511599999999999</v>
      </c>
      <c r="AG282" s="132">
        <v>98.92013</v>
      </c>
      <c r="AM282" s="133" t="str" cm="1">
        <f t="array" ref="AM282">IF(ROWS($AN$2:$AN281)&lt;=$AN$2,INDEX($V$3:$V$3000,_xlfn.AGGREGATE(15,3,($B$3:$B$3000=$AM$2)/($B$3:$B$3000=$AM$2)*(ROW($B$3:$B$3000)-ROW($B$2)),ROWS($AN$2:$AN281))),"")</f>
        <v/>
      </c>
      <c r="AN282" s="134" t="str" cm="1">
        <f t="array" ref="AN282">IF(ROWS($AN$2:$AN281)&lt;=$AN$2,INDEX($F$3:$F$3000,_xlfn.AGGREGATE(15,3,($B$3:$B$3000=$AM$2)/($B$3:$B$3000=$AM$2)*(ROW($B$3:$B$3000)-ROW($B$2)),ROWS($AN$2:$AN281))),"")</f>
        <v/>
      </c>
      <c r="AO282" s="135" t="str" cm="1">
        <f t="array" ref="AO282">IF(ROWS($AN$2:$AN281)&lt;=$AN$2,INDEX($G$3:$G$3000,_xlfn.AGGREGATE(15,3,($B$3:$B$3000=$AM$2)/($B$3:$B$3000=$AM$2)*(ROW($B$3:$B$3000)-ROW($B$2)),ROWS($AN$2:$AN281))),"")</f>
        <v/>
      </c>
      <c r="AP282" s="121"/>
      <c r="AT282" s="111"/>
      <c r="AW282" s="134"/>
      <c r="AX282" s="136"/>
      <c r="AY282" s="134"/>
    </row>
    <row r="283" spans="1:51" s="110" customFormat="1" ht="20" customHeight="1">
      <c r="A283" s="125" t="s">
        <v>185</v>
      </c>
      <c r="B283" s="126" t="s">
        <v>59</v>
      </c>
      <c r="C283" s="127">
        <v>13389</v>
      </c>
      <c r="D283" s="128">
        <v>107311</v>
      </c>
      <c r="E283" s="129" t="s">
        <v>4859</v>
      </c>
      <c r="F283" s="129" t="s">
        <v>4859</v>
      </c>
      <c r="G283" s="130">
        <v>1000000</v>
      </c>
      <c r="H283" s="130">
        <v>5</v>
      </c>
      <c r="I283" s="129" t="s">
        <v>209</v>
      </c>
      <c r="J283" s="129" t="s">
        <v>4213</v>
      </c>
      <c r="K283" s="129" t="s">
        <v>4214</v>
      </c>
      <c r="L283" s="130">
        <v>5</v>
      </c>
      <c r="M283" s="130">
        <v>1</v>
      </c>
      <c r="N283" s="129" t="s">
        <v>1544</v>
      </c>
      <c r="O283" s="130">
        <v>90</v>
      </c>
      <c r="P283" s="130">
        <v>17</v>
      </c>
      <c r="Q283" s="130">
        <v>17</v>
      </c>
      <c r="R283" s="129" t="s">
        <v>190</v>
      </c>
      <c r="S283" s="129" t="s">
        <v>191</v>
      </c>
      <c r="T283" s="130">
        <v>135</v>
      </c>
      <c r="U283" s="129" t="s">
        <v>432</v>
      </c>
      <c r="V283" s="129" t="s">
        <v>433</v>
      </c>
      <c r="W283" s="130">
        <v>1</v>
      </c>
      <c r="X283" s="130">
        <v>2</v>
      </c>
      <c r="Y283" s="129" t="s">
        <v>194</v>
      </c>
      <c r="Z283" s="129" t="s">
        <v>195</v>
      </c>
      <c r="AA283" s="129" t="s">
        <v>196</v>
      </c>
      <c r="AB283" s="129" t="s">
        <v>187</v>
      </c>
      <c r="AC283" s="129" t="s">
        <v>187</v>
      </c>
      <c r="AD283" s="131"/>
      <c r="AE283" s="129" t="s">
        <v>209</v>
      </c>
      <c r="AF283" s="130">
        <v>0.81048604409562597</v>
      </c>
      <c r="AG283" s="132">
        <v>97.816267535018696</v>
      </c>
      <c r="AM283" s="133" t="str" cm="1">
        <f t="array" ref="AM283">IF(ROWS($AN$2:$AN282)&lt;=$AN$2,INDEX($V$3:$V$3000,_xlfn.AGGREGATE(15,3,($B$3:$B$3000=$AM$2)/($B$3:$B$3000=$AM$2)*(ROW($B$3:$B$3000)-ROW($B$2)),ROWS($AN$2:$AN282))),"")</f>
        <v/>
      </c>
      <c r="AN283" s="134" t="str" cm="1">
        <f t="array" ref="AN283">IF(ROWS($AN$2:$AN282)&lt;=$AN$2,INDEX($F$3:$F$3000,_xlfn.AGGREGATE(15,3,($B$3:$B$3000=$AM$2)/($B$3:$B$3000=$AM$2)*(ROW($B$3:$B$3000)-ROW($B$2)),ROWS($AN$2:$AN282))),"")</f>
        <v/>
      </c>
      <c r="AO283" s="135" t="str" cm="1">
        <f t="array" ref="AO283">IF(ROWS($AN$2:$AN282)&lt;=$AN$2,INDEX($G$3:$G$3000,_xlfn.AGGREGATE(15,3,($B$3:$B$3000=$AM$2)/($B$3:$B$3000=$AM$2)*(ROW($B$3:$B$3000)-ROW($B$2)),ROWS($AN$2:$AN282))),"")</f>
        <v/>
      </c>
      <c r="AP283" s="121"/>
      <c r="AT283" s="111"/>
      <c r="AW283" s="134"/>
      <c r="AX283" s="136"/>
      <c r="AY283" s="134"/>
    </row>
    <row r="284" spans="1:51" s="110" customFormat="1" ht="20" customHeight="1">
      <c r="A284" s="125" t="s">
        <v>185</v>
      </c>
      <c r="B284" s="126" t="s">
        <v>59</v>
      </c>
      <c r="C284" s="127">
        <v>18879</v>
      </c>
      <c r="D284" s="128">
        <v>114801</v>
      </c>
      <c r="E284" s="129" t="s">
        <v>1081</v>
      </c>
      <c r="F284" s="129" t="s">
        <v>1081</v>
      </c>
      <c r="G284" s="130">
        <v>965000</v>
      </c>
      <c r="H284" s="130">
        <v>5</v>
      </c>
      <c r="I284" s="129" t="s">
        <v>209</v>
      </c>
      <c r="J284" s="129" t="s">
        <v>1080</v>
      </c>
      <c r="K284" s="129" t="s">
        <v>1081</v>
      </c>
      <c r="L284" s="130">
        <v>5</v>
      </c>
      <c r="M284" s="130">
        <v>1</v>
      </c>
      <c r="N284" s="129" t="s">
        <v>1544</v>
      </c>
      <c r="O284" s="130">
        <v>70</v>
      </c>
      <c r="P284" s="130">
        <v>11</v>
      </c>
      <c r="Q284" s="130">
        <v>17</v>
      </c>
      <c r="R284" s="129" t="s">
        <v>190</v>
      </c>
      <c r="S284" s="129" t="s">
        <v>191</v>
      </c>
      <c r="T284" s="130">
        <v>135</v>
      </c>
      <c r="U284" s="129" t="s">
        <v>432</v>
      </c>
      <c r="V284" s="129" t="s">
        <v>433</v>
      </c>
      <c r="W284" s="130">
        <v>1</v>
      </c>
      <c r="X284" s="130">
        <v>2</v>
      </c>
      <c r="Y284" s="129" t="s">
        <v>194</v>
      </c>
      <c r="Z284" s="129" t="s">
        <v>195</v>
      </c>
      <c r="AA284" s="129" t="s">
        <v>196</v>
      </c>
      <c r="AB284" s="129" t="s">
        <v>187</v>
      </c>
      <c r="AC284" s="129" t="s">
        <v>187</v>
      </c>
      <c r="AD284" s="131"/>
      <c r="AE284" s="129" t="s">
        <v>209</v>
      </c>
      <c r="AF284" s="130">
        <v>3.1048285439021601</v>
      </c>
      <c r="AG284" s="132">
        <v>98.486891314782298</v>
      </c>
      <c r="AM284" s="133" t="str" cm="1">
        <f t="array" ref="AM284">IF(ROWS($AN$2:$AN283)&lt;=$AN$2,INDEX($V$3:$V$3000,_xlfn.AGGREGATE(15,3,($B$3:$B$3000=$AM$2)/($B$3:$B$3000=$AM$2)*(ROW($B$3:$B$3000)-ROW($B$2)),ROWS($AN$2:$AN283))),"")</f>
        <v/>
      </c>
      <c r="AN284" s="134" t="str" cm="1">
        <f t="array" ref="AN284">IF(ROWS($AN$2:$AN283)&lt;=$AN$2,INDEX($F$3:$F$3000,_xlfn.AGGREGATE(15,3,($B$3:$B$3000=$AM$2)/($B$3:$B$3000=$AM$2)*(ROW($B$3:$B$3000)-ROW($B$2)),ROWS($AN$2:$AN283))),"")</f>
        <v/>
      </c>
      <c r="AO284" s="135" t="str" cm="1">
        <f t="array" ref="AO284">IF(ROWS($AN$2:$AN283)&lt;=$AN$2,INDEX($G$3:$G$3000,_xlfn.AGGREGATE(15,3,($B$3:$B$3000=$AM$2)/($B$3:$B$3000=$AM$2)*(ROW($B$3:$B$3000)-ROW($B$2)),ROWS($AN$2:$AN283))),"")</f>
        <v/>
      </c>
      <c r="AP284" s="121"/>
      <c r="AT284" s="111"/>
      <c r="AW284" s="134"/>
      <c r="AX284" s="136"/>
      <c r="AY284" s="134"/>
    </row>
    <row r="285" spans="1:51" s="110" customFormat="1" ht="20" customHeight="1">
      <c r="A285" s="125" t="s">
        <v>185</v>
      </c>
      <c r="B285" s="126" t="s">
        <v>59</v>
      </c>
      <c r="C285" s="127">
        <v>19644</v>
      </c>
      <c r="D285" s="128">
        <v>109006</v>
      </c>
      <c r="E285" s="129" t="s">
        <v>4824</v>
      </c>
      <c r="F285" s="129" t="s">
        <v>4824</v>
      </c>
      <c r="G285" s="130">
        <v>554000</v>
      </c>
      <c r="H285" s="130">
        <v>5</v>
      </c>
      <c r="I285" s="129" t="s">
        <v>209</v>
      </c>
      <c r="J285" s="129" t="s">
        <v>2392</v>
      </c>
      <c r="K285" s="129" t="s">
        <v>2393</v>
      </c>
      <c r="L285" s="130">
        <v>5</v>
      </c>
      <c r="M285" s="130">
        <v>1</v>
      </c>
      <c r="N285" s="129" t="s">
        <v>1544</v>
      </c>
      <c r="O285" s="130">
        <v>97</v>
      </c>
      <c r="P285" s="130">
        <v>14</v>
      </c>
      <c r="Q285" s="130">
        <v>17</v>
      </c>
      <c r="R285" s="129" t="s">
        <v>190</v>
      </c>
      <c r="S285" s="129" t="s">
        <v>191</v>
      </c>
      <c r="T285" s="130">
        <v>135</v>
      </c>
      <c r="U285" s="129" t="s">
        <v>432</v>
      </c>
      <c r="V285" s="129" t="s">
        <v>433</v>
      </c>
      <c r="W285" s="130">
        <v>1</v>
      </c>
      <c r="X285" s="130">
        <v>2</v>
      </c>
      <c r="Y285" s="129" t="s">
        <v>194</v>
      </c>
      <c r="Z285" s="129" t="s">
        <v>195</v>
      </c>
      <c r="AA285" s="129" t="s">
        <v>196</v>
      </c>
      <c r="AB285" s="129" t="s">
        <v>187</v>
      </c>
      <c r="AC285" s="129" t="s">
        <v>187</v>
      </c>
      <c r="AD285" s="131"/>
      <c r="AE285" s="129" t="s">
        <v>209</v>
      </c>
      <c r="AF285" s="130">
        <v>2.3549799999999999</v>
      </c>
      <c r="AG285" s="132">
        <v>99.176140000000004</v>
      </c>
      <c r="AM285" s="133" t="str" cm="1">
        <f t="array" ref="AM285">IF(ROWS($AN$2:$AN284)&lt;=$AN$2,INDEX($V$3:$V$3000,_xlfn.AGGREGATE(15,3,($B$3:$B$3000=$AM$2)/($B$3:$B$3000=$AM$2)*(ROW($B$3:$B$3000)-ROW($B$2)),ROWS($AN$2:$AN284))),"")</f>
        <v/>
      </c>
      <c r="AN285" s="134" t="str" cm="1">
        <f t="array" ref="AN285">IF(ROWS($AN$2:$AN284)&lt;=$AN$2,INDEX($F$3:$F$3000,_xlfn.AGGREGATE(15,3,($B$3:$B$3000=$AM$2)/($B$3:$B$3000=$AM$2)*(ROW($B$3:$B$3000)-ROW($B$2)),ROWS($AN$2:$AN284))),"")</f>
        <v/>
      </c>
      <c r="AO285" s="135" t="str" cm="1">
        <f t="array" ref="AO285">IF(ROWS($AN$2:$AN284)&lt;=$AN$2,INDEX($G$3:$G$3000,_xlfn.AGGREGATE(15,3,($B$3:$B$3000=$AM$2)/($B$3:$B$3000=$AM$2)*(ROW($B$3:$B$3000)-ROW($B$2)),ROWS($AN$2:$AN284))),"")</f>
        <v/>
      </c>
      <c r="AP285" s="121"/>
      <c r="AT285" s="111"/>
      <c r="AW285" s="134"/>
      <c r="AX285" s="136"/>
      <c r="AY285" s="134"/>
    </row>
    <row r="286" spans="1:51" s="110" customFormat="1" ht="20" customHeight="1">
      <c r="A286" s="125" t="s">
        <v>408</v>
      </c>
      <c r="B286" s="126" t="s">
        <v>64</v>
      </c>
      <c r="C286" s="127">
        <v>10723</v>
      </c>
      <c r="D286" s="145">
        <v>101128</v>
      </c>
      <c r="E286" s="146" t="s">
        <v>2391</v>
      </c>
      <c r="F286" s="146" t="s">
        <v>2391</v>
      </c>
      <c r="G286" s="147">
        <v>1100</v>
      </c>
      <c r="H286" s="147">
        <v>4</v>
      </c>
      <c r="I286" s="146" t="s">
        <v>209</v>
      </c>
      <c r="J286" s="146" t="s">
        <v>2392</v>
      </c>
      <c r="K286" s="146" t="s">
        <v>2393</v>
      </c>
      <c r="L286" s="147">
        <v>5</v>
      </c>
      <c r="M286" s="147">
        <v>1</v>
      </c>
      <c r="N286" s="146" t="s">
        <v>1544</v>
      </c>
      <c r="O286" s="147">
        <v>92</v>
      </c>
      <c r="P286" s="147">
        <v>5</v>
      </c>
      <c r="Q286" s="147">
        <v>17</v>
      </c>
      <c r="R286" s="146" t="s">
        <v>190</v>
      </c>
      <c r="S286" s="146" t="s">
        <v>191</v>
      </c>
      <c r="T286" s="147">
        <v>135</v>
      </c>
      <c r="U286" s="146" t="s">
        <v>432</v>
      </c>
      <c r="V286" s="146" t="s">
        <v>433</v>
      </c>
      <c r="W286" s="147">
        <v>2</v>
      </c>
      <c r="X286" s="147">
        <v>2</v>
      </c>
      <c r="Y286" s="146" t="s">
        <v>194</v>
      </c>
      <c r="Z286" s="146" t="s">
        <v>195</v>
      </c>
      <c r="AA286" s="146" t="s">
        <v>196</v>
      </c>
      <c r="AB286" s="146" t="s">
        <v>209</v>
      </c>
      <c r="AC286" s="146" t="s">
        <v>209</v>
      </c>
      <c r="AD286" s="148"/>
      <c r="AE286" s="146" t="s">
        <v>209</v>
      </c>
      <c r="AF286" s="147">
        <v>1.3151001029873399</v>
      </c>
      <c r="AG286" s="149">
        <v>103.92917336975501</v>
      </c>
      <c r="AM286" s="133" t="str" cm="1">
        <f t="array" ref="AM286">IF(ROWS($AN$2:$AN285)&lt;=$AN$2,INDEX($V$3:$V$3000,_xlfn.AGGREGATE(15,3,($B$3:$B$3000=$AM$2)/($B$3:$B$3000=$AM$2)*(ROW($B$3:$B$3000)-ROW($B$2)),ROWS($AN$2:$AN285))),"")</f>
        <v/>
      </c>
      <c r="AN286" s="134" t="str" cm="1">
        <f t="array" ref="AN286">IF(ROWS($AN$2:$AN285)&lt;=$AN$2,INDEX($F$3:$F$3000,_xlfn.AGGREGATE(15,3,($B$3:$B$3000=$AM$2)/($B$3:$B$3000=$AM$2)*(ROW($B$3:$B$3000)-ROW($B$2)),ROWS($AN$2:$AN285))),"")</f>
        <v/>
      </c>
      <c r="AO286" s="135" t="str" cm="1">
        <f t="array" ref="AO286">IF(ROWS($AN$2:$AN285)&lt;=$AN$2,INDEX($G$3:$G$3000,_xlfn.AGGREGATE(15,3,($B$3:$B$3000=$AM$2)/($B$3:$B$3000=$AM$2)*(ROW($B$3:$B$3000)-ROW($B$2)),ROWS($AN$2:$AN285))),"")</f>
        <v/>
      </c>
      <c r="AP286" s="121"/>
      <c r="AT286" s="111"/>
      <c r="AW286" s="134"/>
      <c r="AX286" s="136"/>
      <c r="AY286" s="134"/>
    </row>
    <row r="287" spans="1:51" s="110" customFormat="1" ht="20" customHeight="1">
      <c r="A287" s="125" t="s">
        <v>370</v>
      </c>
      <c r="B287" s="126" t="s">
        <v>58</v>
      </c>
      <c r="C287" s="127">
        <v>15053</v>
      </c>
      <c r="D287" s="128">
        <v>109497</v>
      </c>
      <c r="E287" s="129" t="s">
        <v>2014</v>
      </c>
      <c r="F287" s="129" t="s">
        <v>2014</v>
      </c>
      <c r="G287" s="130">
        <v>600</v>
      </c>
      <c r="H287" s="130">
        <v>5</v>
      </c>
      <c r="I287" s="129" t="s">
        <v>209</v>
      </c>
      <c r="J287" s="129" t="s">
        <v>2015</v>
      </c>
      <c r="K287" s="129" t="s">
        <v>2016</v>
      </c>
      <c r="L287" s="130">
        <v>5</v>
      </c>
      <c r="M287" s="130">
        <v>1</v>
      </c>
      <c r="N287" s="129" t="s">
        <v>1544</v>
      </c>
      <c r="O287" s="130">
        <v>55</v>
      </c>
      <c r="P287" s="130">
        <v>18</v>
      </c>
      <c r="Q287" s="130">
        <v>17</v>
      </c>
      <c r="R287" s="129" t="s">
        <v>190</v>
      </c>
      <c r="S287" s="129" t="s">
        <v>191</v>
      </c>
      <c r="T287" s="130">
        <v>155</v>
      </c>
      <c r="U287" s="129" t="s">
        <v>192</v>
      </c>
      <c r="V287" s="129" t="s">
        <v>193</v>
      </c>
      <c r="W287" s="130">
        <v>3</v>
      </c>
      <c r="X287" s="130">
        <v>2</v>
      </c>
      <c r="Y287" s="129" t="s">
        <v>194</v>
      </c>
      <c r="Z287" s="129" t="s">
        <v>195</v>
      </c>
      <c r="AA287" s="129" t="s">
        <v>196</v>
      </c>
      <c r="AB287" s="129" t="s">
        <v>187</v>
      </c>
      <c r="AC287" s="129" t="s">
        <v>187</v>
      </c>
      <c r="AD287" s="131"/>
      <c r="AE287" s="129" t="s">
        <v>209</v>
      </c>
      <c r="AF287" s="130">
        <v>4.7105499999999996</v>
      </c>
      <c r="AG287" s="132">
        <v>115.2252</v>
      </c>
      <c r="AM287" s="133" t="str" cm="1">
        <f t="array" ref="AM287">IF(ROWS($AN$2:$AN286)&lt;=$AN$2,INDEX($V$3:$V$3000,_xlfn.AGGREGATE(15,3,($B$3:$B$3000=$AM$2)/($B$3:$B$3000=$AM$2)*(ROW($B$3:$B$3000)-ROW($B$2)),ROWS($AN$2:$AN286))),"")</f>
        <v/>
      </c>
      <c r="AN287" s="134" t="str" cm="1">
        <f t="array" ref="AN287">IF(ROWS($AN$2:$AN286)&lt;=$AN$2,INDEX($F$3:$F$3000,_xlfn.AGGREGATE(15,3,($B$3:$B$3000=$AM$2)/($B$3:$B$3000=$AM$2)*(ROW($B$3:$B$3000)-ROW($B$2)),ROWS($AN$2:$AN286))),"")</f>
        <v/>
      </c>
      <c r="AO287" s="135" t="str" cm="1">
        <f t="array" ref="AO287">IF(ROWS($AN$2:$AN286)&lt;=$AN$2,INDEX($G$3:$G$3000,_xlfn.AGGREGATE(15,3,($B$3:$B$3000=$AM$2)/($B$3:$B$3000=$AM$2)*(ROW($B$3:$B$3000)-ROW($B$2)),ROWS($AN$2:$AN286))),"")</f>
        <v/>
      </c>
      <c r="AP287" s="121"/>
      <c r="AT287" s="111"/>
      <c r="AW287" s="134"/>
      <c r="AX287" s="136"/>
      <c r="AY287" s="134"/>
    </row>
    <row r="288" spans="1:51" s="110" customFormat="1" ht="20" customHeight="1">
      <c r="A288" s="125" t="s">
        <v>185</v>
      </c>
      <c r="B288" s="126" t="s">
        <v>59</v>
      </c>
      <c r="C288" s="127">
        <v>14557</v>
      </c>
      <c r="D288" s="145">
        <v>108376</v>
      </c>
      <c r="E288" s="146" t="s">
        <v>4560</v>
      </c>
      <c r="F288" s="146" t="s">
        <v>4560</v>
      </c>
      <c r="G288" s="147">
        <v>83000</v>
      </c>
      <c r="H288" s="147">
        <v>4</v>
      </c>
      <c r="I288" s="146" t="s">
        <v>209</v>
      </c>
      <c r="J288" s="146" t="s">
        <v>4561</v>
      </c>
      <c r="K288" s="146" t="s">
        <v>4562</v>
      </c>
      <c r="L288" s="147">
        <v>2</v>
      </c>
      <c r="M288" s="147">
        <v>1</v>
      </c>
      <c r="N288" s="146" t="s">
        <v>1544</v>
      </c>
      <c r="O288" s="147">
        <v>50</v>
      </c>
      <c r="P288" s="147">
        <v>3</v>
      </c>
      <c r="Q288" s="147">
        <v>17</v>
      </c>
      <c r="R288" s="146" t="s">
        <v>190</v>
      </c>
      <c r="S288" s="146" t="s">
        <v>191</v>
      </c>
      <c r="T288" s="147">
        <v>155</v>
      </c>
      <c r="U288" s="146" t="s">
        <v>192</v>
      </c>
      <c r="V288" s="146" t="s">
        <v>193</v>
      </c>
      <c r="W288" s="147">
        <v>1</v>
      </c>
      <c r="X288" s="147">
        <v>2</v>
      </c>
      <c r="Y288" s="146" t="s">
        <v>194</v>
      </c>
      <c r="Z288" s="146" t="s">
        <v>195</v>
      </c>
      <c r="AA288" s="146" t="s">
        <v>196</v>
      </c>
      <c r="AB288" s="146" t="s">
        <v>187</v>
      </c>
      <c r="AC288" s="146" t="s">
        <v>187</v>
      </c>
      <c r="AD288" s="148"/>
      <c r="AE288" s="146" t="s">
        <v>209</v>
      </c>
      <c r="AF288" s="147">
        <v>-4.2450000000000002E-2</v>
      </c>
      <c r="AG288" s="149">
        <v>110.52839</v>
      </c>
      <c r="AM288" s="133" t="str" cm="1">
        <f t="array" ref="AM288">IF(ROWS($AN$2:$AN287)&lt;=$AN$2,INDEX($V$3:$V$3000,_xlfn.AGGREGATE(15,3,($B$3:$B$3000=$AM$2)/($B$3:$B$3000=$AM$2)*(ROW($B$3:$B$3000)-ROW($B$2)),ROWS($AN$2:$AN287))),"")</f>
        <v/>
      </c>
      <c r="AN288" s="134" t="str" cm="1">
        <f t="array" ref="AN288">IF(ROWS($AN$2:$AN287)&lt;=$AN$2,INDEX($F$3:$F$3000,_xlfn.AGGREGATE(15,3,($B$3:$B$3000=$AM$2)/($B$3:$B$3000=$AM$2)*(ROW($B$3:$B$3000)-ROW($B$2)),ROWS($AN$2:$AN287))),"")</f>
        <v/>
      </c>
      <c r="AO288" s="135" t="str" cm="1">
        <f t="array" ref="AO288">IF(ROWS($AN$2:$AN287)&lt;=$AN$2,INDEX($G$3:$G$3000,_xlfn.AGGREGATE(15,3,($B$3:$B$3000=$AM$2)/($B$3:$B$3000=$AM$2)*(ROW($B$3:$B$3000)-ROW($B$2)),ROWS($AN$2:$AN287))),"")</f>
        <v/>
      </c>
      <c r="AP288" s="121"/>
      <c r="AT288" s="111"/>
      <c r="AW288" s="134"/>
      <c r="AX288" s="136"/>
      <c r="AY288" s="134"/>
    </row>
    <row r="289" spans="1:51" s="110" customFormat="1" ht="20" customHeight="1">
      <c r="A289" s="125" t="s">
        <v>185</v>
      </c>
      <c r="B289" s="126" t="s">
        <v>59</v>
      </c>
      <c r="C289" s="127">
        <v>13850</v>
      </c>
      <c r="D289" s="145">
        <v>106849</v>
      </c>
      <c r="E289" s="146" t="s">
        <v>4411</v>
      </c>
      <c r="F289" s="146" t="s">
        <v>4411</v>
      </c>
      <c r="G289" s="147">
        <v>47000</v>
      </c>
      <c r="H289" s="147">
        <v>4</v>
      </c>
      <c r="I289" s="146" t="s">
        <v>209</v>
      </c>
      <c r="J289" s="146" t="s">
        <v>4412</v>
      </c>
      <c r="K289" s="146" t="s">
        <v>4411</v>
      </c>
      <c r="L289" s="147">
        <v>3</v>
      </c>
      <c r="M289" s="147">
        <v>1</v>
      </c>
      <c r="N289" s="146" t="s">
        <v>1544</v>
      </c>
      <c r="O289" s="147">
        <v>55</v>
      </c>
      <c r="P289" s="147">
        <v>4</v>
      </c>
      <c r="Q289" s="147">
        <v>17</v>
      </c>
      <c r="R289" s="146" t="s">
        <v>190</v>
      </c>
      <c r="S289" s="146" t="s">
        <v>191</v>
      </c>
      <c r="T289" s="147">
        <v>155</v>
      </c>
      <c r="U289" s="146" t="s">
        <v>192</v>
      </c>
      <c r="V289" s="146" t="s">
        <v>193</v>
      </c>
      <c r="W289" s="147">
        <v>1</v>
      </c>
      <c r="X289" s="147">
        <v>2</v>
      </c>
      <c r="Y289" s="146" t="s">
        <v>194</v>
      </c>
      <c r="Z289" s="146" t="s">
        <v>195</v>
      </c>
      <c r="AA289" s="146" t="s">
        <v>196</v>
      </c>
      <c r="AB289" s="146" t="s">
        <v>187</v>
      </c>
      <c r="AC289" s="146" t="s">
        <v>187</v>
      </c>
      <c r="AD289" s="148"/>
      <c r="AE289" s="146" t="s">
        <v>209</v>
      </c>
      <c r="AF289" s="147">
        <v>0.38823000000000002</v>
      </c>
      <c r="AG289" s="149">
        <v>111.04333</v>
      </c>
      <c r="AM289" s="133" t="str" cm="1">
        <f t="array" ref="AM289">IF(ROWS($AN$2:$AN288)&lt;=$AN$2,INDEX($V$3:$V$3000,_xlfn.AGGREGATE(15,3,($B$3:$B$3000=$AM$2)/($B$3:$B$3000=$AM$2)*(ROW($B$3:$B$3000)-ROW($B$2)),ROWS($AN$2:$AN288))),"")</f>
        <v/>
      </c>
      <c r="AN289" s="134" t="str" cm="1">
        <f t="array" ref="AN289">IF(ROWS($AN$2:$AN288)&lt;=$AN$2,INDEX($F$3:$F$3000,_xlfn.AGGREGATE(15,3,($B$3:$B$3000=$AM$2)/($B$3:$B$3000=$AM$2)*(ROW($B$3:$B$3000)-ROW($B$2)),ROWS($AN$2:$AN288))),"")</f>
        <v/>
      </c>
      <c r="AO289" s="135" t="str" cm="1">
        <f t="array" ref="AO289">IF(ROWS($AN$2:$AN288)&lt;=$AN$2,INDEX($G$3:$G$3000,_xlfn.AGGREGATE(15,3,($B$3:$B$3000=$AM$2)/($B$3:$B$3000=$AM$2)*(ROW($B$3:$B$3000)-ROW($B$2)),ROWS($AN$2:$AN288))),"")</f>
        <v/>
      </c>
      <c r="AP289" s="121"/>
      <c r="AT289" s="111"/>
      <c r="AW289" s="134"/>
      <c r="AX289" s="136"/>
      <c r="AY289" s="134"/>
    </row>
    <row r="290" spans="1:51" s="110" customFormat="1" ht="20" customHeight="1">
      <c r="A290" s="125" t="s">
        <v>185</v>
      </c>
      <c r="B290" s="126" t="s">
        <v>59</v>
      </c>
      <c r="C290" s="127">
        <v>11580</v>
      </c>
      <c r="D290" s="145">
        <v>102652</v>
      </c>
      <c r="E290" s="146" t="s">
        <v>4379</v>
      </c>
      <c r="F290" s="146" t="s">
        <v>4379</v>
      </c>
      <c r="G290" s="147">
        <v>43000</v>
      </c>
      <c r="H290" s="147">
        <v>4</v>
      </c>
      <c r="I290" s="146" t="s">
        <v>209</v>
      </c>
      <c r="J290" s="146" t="s">
        <v>4380</v>
      </c>
      <c r="K290" s="146" t="s">
        <v>4381</v>
      </c>
      <c r="L290" s="147">
        <v>1</v>
      </c>
      <c r="M290" s="147">
        <v>1</v>
      </c>
      <c r="N290" s="146" t="s">
        <v>1544</v>
      </c>
      <c r="O290" s="147">
        <v>50</v>
      </c>
      <c r="P290" s="147">
        <v>3</v>
      </c>
      <c r="Q290" s="147">
        <v>17</v>
      </c>
      <c r="R290" s="146" t="s">
        <v>190</v>
      </c>
      <c r="S290" s="146" t="s">
        <v>191</v>
      </c>
      <c r="T290" s="147">
        <v>155</v>
      </c>
      <c r="U290" s="146" t="s">
        <v>192</v>
      </c>
      <c r="V290" s="146" t="s">
        <v>193</v>
      </c>
      <c r="W290" s="147">
        <v>1</v>
      </c>
      <c r="X290" s="147">
        <v>2</v>
      </c>
      <c r="Y290" s="146" t="s">
        <v>194</v>
      </c>
      <c r="Z290" s="146" t="s">
        <v>195</v>
      </c>
      <c r="AA290" s="146" t="s">
        <v>196</v>
      </c>
      <c r="AB290" s="146" t="s">
        <v>187</v>
      </c>
      <c r="AC290" s="146" t="s">
        <v>187</v>
      </c>
      <c r="AD290" s="148"/>
      <c r="AE290" s="146" t="s">
        <v>209</v>
      </c>
      <c r="AF290" s="147">
        <v>0.22567000000000001</v>
      </c>
      <c r="AG290" s="149">
        <v>110.60330999999999</v>
      </c>
      <c r="AM290" s="133" t="str" cm="1">
        <f t="array" ref="AM290">IF(ROWS($AN$2:$AN289)&lt;=$AN$2,INDEX($V$3:$V$3000,_xlfn.AGGREGATE(15,3,($B$3:$B$3000=$AM$2)/($B$3:$B$3000=$AM$2)*(ROW($B$3:$B$3000)-ROW($B$2)),ROWS($AN$2:$AN289))),"")</f>
        <v/>
      </c>
      <c r="AN290" s="134" t="str" cm="1">
        <f t="array" ref="AN290">IF(ROWS($AN$2:$AN289)&lt;=$AN$2,INDEX($F$3:$F$3000,_xlfn.AGGREGATE(15,3,($B$3:$B$3000=$AM$2)/($B$3:$B$3000=$AM$2)*(ROW($B$3:$B$3000)-ROW($B$2)),ROWS($AN$2:$AN289))),"")</f>
        <v/>
      </c>
      <c r="AO290" s="135" t="str" cm="1">
        <f t="array" ref="AO290">IF(ROWS($AN$2:$AN289)&lt;=$AN$2,INDEX($G$3:$G$3000,_xlfn.AGGREGATE(15,3,($B$3:$B$3000=$AM$2)/($B$3:$B$3000=$AM$2)*(ROW($B$3:$B$3000)-ROW($B$2)),ROWS($AN$2:$AN289))),"")</f>
        <v/>
      </c>
      <c r="AP290" s="121"/>
      <c r="AT290" s="111"/>
      <c r="AW290" s="134"/>
      <c r="AX290" s="136"/>
      <c r="AY290" s="134"/>
    </row>
    <row r="291" spans="1:51" s="110" customFormat="1" ht="20" customHeight="1">
      <c r="A291" s="125" t="s">
        <v>185</v>
      </c>
      <c r="B291" s="126" t="s">
        <v>59</v>
      </c>
      <c r="C291" s="127">
        <v>10922</v>
      </c>
      <c r="D291" s="145">
        <v>101575</v>
      </c>
      <c r="E291" s="146" t="s">
        <v>4359</v>
      </c>
      <c r="F291" s="146" t="s">
        <v>4359</v>
      </c>
      <c r="G291" s="147">
        <v>39000</v>
      </c>
      <c r="H291" s="147">
        <v>4</v>
      </c>
      <c r="I291" s="146" t="s">
        <v>209</v>
      </c>
      <c r="J291" s="146" t="s">
        <v>4360</v>
      </c>
      <c r="K291" s="146" t="s">
        <v>4361</v>
      </c>
      <c r="L291" s="147">
        <v>1</v>
      </c>
      <c r="M291" s="147">
        <v>1</v>
      </c>
      <c r="N291" s="146" t="s">
        <v>1544</v>
      </c>
      <c r="O291" s="147">
        <v>75</v>
      </c>
      <c r="P291" s="147">
        <v>4</v>
      </c>
      <c r="Q291" s="147">
        <v>17</v>
      </c>
      <c r="R291" s="146" t="s">
        <v>190</v>
      </c>
      <c r="S291" s="146" t="s">
        <v>191</v>
      </c>
      <c r="T291" s="147">
        <v>155</v>
      </c>
      <c r="U291" s="146" t="s">
        <v>192</v>
      </c>
      <c r="V291" s="146" t="s">
        <v>193</v>
      </c>
      <c r="W291" s="147">
        <v>1</v>
      </c>
      <c r="X291" s="147">
        <v>2</v>
      </c>
      <c r="Y291" s="146" t="s">
        <v>194</v>
      </c>
      <c r="Z291" s="146" t="s">
        <v>195</v>
      </c>
      <c r="AA291" s="146" t="s">
        <v>196</v>
      </c>
      <c r="AB291" s="146" t="s">
        <v>187</v>
      </c>
      <c r="AC291" s="146" t="s">
        <v>187</v>
      </c>
      <c r="AD291" s="148"/>
      <c r="AE291" s="146" t="s">
        <v>209</v>
      </c>
      <c r="AF291" s="147">
        <v>2.7980499999999999</v>
      </c>
      <c r="AG291" s="149">
        <v>117.29013</v>
      </c>
      <c r="AM291" s="133" t="str" cm="1">
        <f t="array" ref="AM291">IF(ROWS($AN$2:$AN290)&lt;=$AN$2,INDEX($V$3:$V$3000,_xlfn.AGGREGATE(15,3,($B$3:$B$3000=$AM$2)/($B$3:$B$3000=$AM$2)*(ROW($B$3:$B$3000)-ROW($B$2)),ROWS($AN$2:$AN290))),"")</f>
        <v/>
      </c>
      <c r="AN291" s="134" t="str" cm="1">
        <f t="array" ref="AN291">IF(ROWS($AN$2:$AN290)&lt;=$AN$2,INDEX($F$3:$F$3000,_xlfn.AGGREGATE(15,3,($B$3:$B$3000=$AM$2)/($B$3:$B$3000=$AM$2)*(ROW($B$3:$B$3000)-ROW($B$2)),ROWS($AN$2:$AN290))),"")</f>
        <v/>
      </c>
      <c r="AO291" s="135" t="str" cm="1">
        <f t="array" ref="AO291">IF(ROWS($AN$2:$AN290)&lt;=$AN$2,INDEX($G$3:$G$3000,_xlfn.AGGREGATE(15,3,($B$3:$B$3000=$AM$2)/($B$3:$B$3000=$AM$2)*(ROW($B$3:$B$3000)-ROW($B$2)),ROWS($AN$2:$AN290))),"")</f>
        <v/>
      </c>
      <c r="AP291" s="121"/>
      <c r="AT291" s="111"/>
      <c r="AW291" s="134"/>
      <c r="AX291" s="136"/>
      <c r="AY291" s="134"/>
    </row>
    <row r="292" spans="1:51" s="110" customFormat="1" ht="20" customHeight="1">
      <c r="A292" s="125" t="s">
        <v>185</v>
      </c>
      <c r="B292" s="126" t="s">
        <v>59</v>
      </c>
      <c r="C292" s="127">
        <v>12167</v>
      </c>
      <c r="D292" s="145">
        <v>103933</v>
      </c>
      <c r="E292" s="146" t="s">
        <v>4016</v>
      </c>
      <c r="F292" s="146" t="s">
        <v>4016</v>
      </c>
      <c r="G292" s="147">
        <v>19000</v>
      </c>
      <c r="H292" s="147">
        <v>4</v>
      </c>
      <c r="I292" s="146" t="s">
        <v>209</v>
      </c>
      <c r="J292" s="146" t="s">
        <v>3689</v>
      </c>
      <c r="K292" s="146" t="s">
        <v>3690</v>
      </c>
      <c r="L292" s="147">
        <v>5</v>
      </c>
      <c r="M292" s="147">
        <v>1</v>
      </c>
      <c r="N292" s="146" t="s">
        <v>1544</v>
      </c>
      <c r="O292" s="147">
        <v>55</v>
      </c>
      <c r="P292" s="147">
        <v>4</v>
      </c>
      <c r="Q292" s="147">
        <v>17</v>
      </c>
      <c r="R292" s="146" t="s">
        <v>190</v>
      </c>
      <c r="S292" s="146" t="s">
        <v>191</v>
      </c>
      <c r="T292" s="147">
        <v>155</v>
      </c>
      <c r="U292" s="146" t="s">
        <v>192</v>
      </c>
      <c r="V292" s="146" t="s">
        <v>193</v>
      </c>
      <c r="W292" s="147">
        <v>3</v>
      </c>
      <c r="X292" s="147">
        <v>2</v>
      </c>
      <c r="Y292" s="146" t="s">
        <v>194</v>
      </c>
      <c r="Z292" s="146" t="s">
        <v>195</v>
      </c>
      <c r="AA292" s="146" t="s">
        <v>196</v>
      </c>
      <c r="AB292" s="146" t="s">
        <v>187</v>
      </c>
      <c r="AC292" s="146" t="s">
        <v>187</v>
      </c>
      <c r="AD292" s="148"/>
      <c r="AE292" s="146" t="s">
        <v>209</v>
      </c>
      <c r="AF292" s="147">
        <v>0.86253000000000002</v>
      </c>
      <c r="AG292" s="149">
        <v>111.96626999999999</v>
      </c>
      <c r="AM292" s="133" t="str" cm="1">
        <f t="array" ref="AM292">IF(ROWS($AN$2:$AN291)&lt;=$AN$2,INDEX($V$3:$V$3000,_xlfn.AGGREGATE(15,3,($B$3:$B$3000=$AM$2)/($B$3:$B$3000=$AM$2)*(ROW($B$3:$B$3000)-ROW($B$2)),ROWS($AN$2:$AN291))),"")</f>
        <v/>
      </c>
      <c r="AN292" s="134" t="str" cm="1">
        <f t="array" ref="AN292">IF(ROWS($AN$2:$AN291)&lt;=$AN$2,INDEX($F$3:$F$3000,_xlfn.AGGREGATE(15,3,($B$3:$B$3000=$AM$2)/($B$3:$B$3000=$AM$2)*(ROW($B$3:$B$3000)-ROW($B$2)),ROWS($AN$2:$AN291))),"")</f>
        <v/>
      </c>
      <c r="AO292" s="135" t="str" cm="1">
        <f t="array" ref="AO292">IF(ROWS($AN$2:$AN291)&lt;=$AN$2,INDEX($G$3:$G$3000,_xlfn.AGGREGATE(15,3,($B$3:$B$3000=$AM$2)/($B$3:$B$3000=$AM$2)*(ROW($B$3:$B$3000)-ROW($B$2)),ROWS($AN$2:$AN291))),"")</f>
        <v/>
      </c>
      <c r="AP292" s="121"/>
      <c r="AT292" s="111"/>
      <c r="AW292" s="134"/>
      <c r="AX292" s="136"/>
      <c r="AY292" s="134"/>
    </row>
    <row r="293" spans="1:51" s="110" customFormat="1" ht="20" customHeight="1">
      <c r="A293" s="125" t="s">
        <v>185</v>
      </c>
      <c r="B293" s="126" t="s">
        <v>59</v>
      </c>
      <c r="C293" s="127">
        <v>12624</v>
      </c>
      <c r="D293" s="145">
        <v>104839</v>
      </c>
      <c r="E293" s="146" t="s">
        <v>3794</v>
      </c>
      <c r="F293" s="146" t="s">
        <v>3794</v>
      </c>
      <c r="G293" s="147">
        <v>13000</v>
      </c>
      <c r="H293" s="147">
        <v>4</v>
      </c>
      <c r="I293" s="146" t="s">
        <v>209</v>
      </c>
      <c r="J293" s="146" t="s">
        <v>2169</v>
      </c>
      <c r="K293" s="146" t="s">
        <v>2170</v>
      </c>
      <c r="L293" s="147">
        <v>4</v>
      </c>
      <c r="M293" s="147">
        <v>1</v>
      </c>
      <c r="N293" s="146" t="s">
        <v>1544</v>
      </c>
      <c r="O293" s="147">
        <v>70</v>
      </c>
      <c r="P293" s="147">
        <v>5</v>
      </c>
      <c r="Q293" s="147">
        <v>17</v>
      </c>
      <c r="R293" s="146" t="s">
        <v>190</v>
      </c>
      <c r="S293" s="146" t="s">
        <v>191</v>
      </c>
      <c r="T293" s="147">
        <v>155</v>
      </c>
      <c r="U293" s="146" t="s">
        <v>192</v>
      </c>
      <c r="V293" s="146" t="s">
        <v>193</v>
      </c>
      <c r="W293" s="147">
        <v>1</v>
      </c>
      <c r="X293" s="147">
        <v>2</v>
      </c>
      <c r="Y293" s="146" t="s">
        <v>194</v>
      </c>
      <c r="Z293" s="146" t="s">
        <v>195</v>
      </c>
      <c r="AA293" s="146" t="s">
        <v>196</v>
      </c>
      <c r="AB293" s="146" t="s">
        <v>187</v>
      </c>
      <c r="AC293" s="146" t="s">
        <v>187</v>
      </c>
      <c r="AD293" s="148"/>
      <c r="AE293" s="146" t="s">
        <v>209</v>
      </c>
      <c r="AF293" s="147">
        <v>1.3207136999767499E-2</v>
      </c>
      <c r="AG293" s="149">
        <v>116.262525107947</v>
      </c>
      <c r="AM293" s="133" t="str" cm="1">
        <f t="array" ref="AM293">IF(ROWS($AN$2:$AN292)&lt;=$AN$2,INDEX($V$3:$V$3000,_xlfn.AGGREGATE(15,3,($B$3:$B$3000=$AM$2)/($B$3:$B$3000=$AM$2)*(ROW($B$3:$B$3000)-ROW($B$2)),ROWS($AN$2:$AN292))),"")</f>
        <v/>
      </c>
      <c r="AN293" s="134" t="str" cm="1">
        <f t="array" ref="AN293">IF(ROWS($AN$2:$AN292)&lt;=$AN$2,INDEX($F$3:$F$3000,_xlfn.AGGREGATE(15,3,($B$3:$B$3000=$AM$2)/($B$3:$B$3000=$AM$2)*(ROW($B$3:$B$3000)-ROW($B$2)),ROWS($AN$2:$AN292))),"")</f>
        <v/>
      </c>
      <c r="AO293" s="135" t="str" cm="1">
        <f t="array" ref="AO293">IF(ROWS($AN$2:$AN292)&lt;=$AN$2,INDEX($G$3:$G$3000,_xlfn.AGGREGATE(15,3,($B$3:$B$3000=$AM$2)/($B$3:$B$3000=$AM$2)*(ROW($B$3:$B$3000)-ROW($B$2)),ROWS($AN$2:$AN292))),"")</f>
        <v/>
      </c>
      <c r="AP293" s="121"/>
      <c r="AT293" s="111"/>
      <c r="AW293" s="134"/>
      <c r="AX293" s="136"/>
      <c r="AY293" s="134"/>
    </row>
    <row r="294" spans="1:51" s="110" customFormat="1" ht="20" customHeight="1">
      <c r="A294" s="125" t="s">
        <v>185</v>
      </c>
      <c r="B294" s="126" t="s">
        <v>59</v>
      </c>
      <c r="C294" s="127">
        <v>12623</v>
      </c>
      <c r="D294" s="145">
        <v>104837</v>
      </c>
      <c r="E294" s="146" t="s">
        <v>3661</v>
      </c>
      <c r="F294" s="146" t="s">
        <v>3661</v>
      </c>
      <c r="G294" s="147">
        <v>11000</v>
      </c>
      <c r="H294" s="147">
        <v>4</v>
      </c>
      <c r="I294" s="146" t="s">
        <v>209</v>
      </c>
      <c r="J294" s="146" t="s">
        <v>2169</v>
      </c>
      <c r="K294" s="146" t="s">
        <v>2170</v>
      </c>
      <c r="L294" s="147">
        <v>4</v>
      </c>
      <c r="M294" s="147">
        <v>1</v>
      </c>
      <c r="N294" s="146" t="s">
        <v>1544</v>
      </c>
      <c r="O294" s="147">
        <v>70</v>
      </c>
      <c r="P294" s="147">
        <v>4</v>
      </c>
      <c r="Q294" s="147">
        <v>17</v>
      </c>
      <c r="R294" s="146" t="s">
        <v>190</v>
      </c>
      <c r="S294" s="146" t="s">
        <v>191</v>
      </c>
      <c r="T294" s="147">
        <v>155</v>
      </c>
      <c r="U294" s="146" t="s">
        <v>192</v>
      </c>
      <c r="V294" s="146" t="s">
        <v>193</v>
      </c>
      <c r="W294" s="147">
        <v>1</v>
      </c>
      <c r="X294" s="147">
        <v>2</v>
      </c>
      <c r="Y294" s="146" t="s">
        <v>194</v>
      </c>
      <c r="Z294" s="146" t="s">
        <v>195</v>
      </c>
      <c r="AA294" s="146" t="s">
        <v>196</v>
      </c>
      <c r="AB294" s="146" t="s">
        <v>187</v>
      </c>
      <c r="AC294" s="146" t="s">
        <v>187</v>
      </c>
      <c r="AD294" s="148"/>
      <c r="AE294" s="146" t="s">
        <v>209</v>
      </c>
      <c r="AF294" s="147">
        <v>1.8457726386963</v>
      </c>
      <c r="AG294" s="149">
        <v>115.12986118934199</v>
      </c>
      <c r="AM294" s="133" t="str" cm="1">
        <f t="array" ref="AM294">IF(ROWS($AN$2:$AN293)&lt;=$AN$2,INDEX($V$3:$V$3000,_xlfn.AGGREGATE(15,3,($B$3:$B$3000=$AM$2)/($B$3:$B$3000=$AM$2)*(ROW($B$3:$B$3000)-ROW($B$2)),ROWS($AN$2:$AN293))),"")</f>
        <v/>
      </c>
      <c r="AN294" s="134" t="str" cm="1">
        <f t="array" ref="AN294">IF(ROWS($AN$2:$AN293)&lt;=$AN$2,INDEX($F$3:$F$3000,_xlfn.AGGREGATE(15,3,($B$3:$B$3000=$AM$2)/($B$3:$B$3000=$AM$2)*(ROW($B$3:$B$3000)-ROW($B$2)),ROWS($AN$2:$AN293))),"")</f>
        <v/>
      </c>
      <c r="AO294" s="135" t="str" cm="1">
        <f t="array" ref="AO294">IF(ROWS($AN$2:$AN293)&lt;=$AN$2,INDEX($G$3:$G$3000,_xlfn.AGGREGATE(15,3,($B$3:$B$3000=$AM$2)/($B$3:$B$3000=$AM$2)*(ROW($B$3:$B$3000)-ROW($B$2)),ROWS($AN$2:$AN293))),"")</f>
        <v/>
      </c>
      <c r="AP294" s="121"/>
      <c r="AT294" s="111"/>
      <c r="AW294" s="134"/>
      <c r="AX294" s="136"/>
      <c r="AY294" s="134"/>
    </row>
    <row r="295" spans="1:51" s="110" customFormat="1" ht="20" customHeight="1">
      <c r="A295" s="125" t="s">
        <v>185</v>
      </c>
      <c r="B295" s="126" t="s">
        <v>59</v>
      </c>
      <c r="C295" s="127">
        <v>12626</v>
      </c>
      <c r="D295" s="145">
        <v>104841</v>
      </c>
      <c r="E295" s="146" t="s">
        <v>2428</v>
      </c>
      <c r="F295" s="146" t="s">
        <v>2428</v>
      </c>
      <c r="G295" s="147">
        <v>9700</v>
      </c>
      <c r="H295" s="147">
        <v>4</v>
      </c>
      <c r="I295" s="146" t="s">
        <v>209</v>
      </c>
      <c r="J295" s="146" t="s">
        <v>2429</v>
      </c>
      <c r="K295" s="146" t="s">
        <v>2428</v>
      </c>
      <c r="L295" s="147">
        <v>4</v>
      </c>
      <c r="M295" s="147">
        <v>1</v>
      </c>
      <c r="N295" s="146" t="s">
        <v>1544</v>
      </c>
      <c r="O295" s="147">
        <v>70</v>
      </c>
      <c r="P295" s="147">
        <v>4</v>
      </c>
      <c r="Q295" s="147">
        <v>17</v>
      </c>
      <c r="R295" s="146" t="s">
        <v>190</v>
      </c>
      <c r="S295" s="146" t="s">
        <v>191</v>
      </c>
      <c r="T295" s="147">
        <v>155</v>
      </c>
      <c r="U295" s="146" t="s">
        <v>192</v>
      </c>
      <c r="V295" s="146" t="s">
        <v>193</v>
      </c>
      <c r="W295" s="147">
        <v>2</v>
      </c>
      <c r="X295" s="147">
        <v>2</v>
      </c>
      <c r="Y295" s="146" t="s">
        <v>194</v>
      </c>
      <c r="Z295" s="146" t="s">
        <v>195</v>
      </c>
      <c r="AA295" s="146" t="s">
        <v>196</v>
      </c>
      <c r="AB295" s="146" t="s">
        <v>187</v>
      </c>
      <c r="AC295" s="146" t="s">
        <v>187</v>
      </c>
      <c r="AD295" s="148"/>
      <c r="AE295" s="146" t="s">
        <v>209</v>
      </c>
      <c r="AF295" s="147">
        <v>1.5906100000000001</v>
      </c>
      <c r="AG295" s="149">
        <v>116.651</v>
      </c>
      <c r="AM295" s="133" t="str" cm="1">
        <f t="array" ref="AM295">IF(ROWS($AN$2:$AN294)&lt;=$AN$2,INDEX($V$3:$V$3000,_xlfn.AGGREGATE(15,3,($B$3:$B$3000=$AM$2)/($B$3:$B$3000=$AM$2)*(ROW($B$3:$B$3000)-ROW($B$2)),ROWS($AN$2:$AN294))),"")</f>
        <v/>
      </c>
      <c r="AN295" s="134" t="str" cm="1">
        <f t="array" ref="AN295">IF(ROWS($AN$2:$AN294)&lt;=$AN$2,INDEX($F$3:$F$3000,_xlfn.AGGREGATE(15,3,($B$3:$B$3000=$AM$2)/($B$3:$B$3000=$AM$2)*(ROW($B$3:$B$3000)-ROW($B$2)),ROWS($AN$2:$AN294))),"")</f>
        <v/>
      </c>
      <c r="AO295" s="135" t="str" cm="1">
        <f t="array" ref="AO295">IF(ROWS($AN$2:$AN294)&lt;=$AN$2,INDEX($G$3:$G$3000,_xlfn.AGGREGATE(15,3,($B$3:$B$3000=$AM$2)/($B$3:$B$3000=$AM$2)*(ROW($B$3:$B$3000)-ROW($B$2)),ROWS($AN$2:$AN294))),"")</f>
        <v/>
      </c>
      <c r="AP295" s="121"/>
      <c r="AT295" s="111"/>
      <c r="AW295" s="134"/>
      <c r="AX295" s="136"/>
      <c r="AY295" s="134"/>
    </row>
    <row r="296" spans="1:51" s="110" customFormat="1" ht="20" customHeight="1">
      <c r="A296" s="125" t="s">
        <v>185</v>
      </c>
      <c r="B296" s="126" t="s">
        <v>59</v>
      </c>
      <c r="C296" s="127">
        <v>12622</v>
      </c>
      <c r="D296" s="145">
        <v>104838</v>
      </c>
      <c r="E296" s="146" t="s">
        <v>2665</v>
      </c>
      <c r="F296" s="146" t="s">
        <v>2665</v>
      </c>
      <c r="G296" s="147">
        <v>1900</v>
      </c>
      <c r="H296" s="147">
        <v>4</v>
      </c>
      <c r="I296" s="146" t="s">
        <v>209</v>
      </c>
      <c r="J296" s="146" t="s">
        <v>2169</v>
      </c>
      <c r="K296" s="146" t="s">
        <v>2170</v>
      </c>
      <c r="L296" s="147">
        <v>4</v>
      </c>
      <c r="M296" s="147">
        <v>1</v>
      </c>
      <c r="N296" s="146" t="s">
        <v>1544</v>
      </c>
      <c r="O296" s="147">
        <v>65</v>
      </c>
      <c r="P296" s="147">
        <v>4</v>
      </c>
      <c r="Q296" s="147">
        <v>17</v>
      </c>
      <c r="R296" s="146" t="s">
        <v>190</v>
      </c>
      <c r="S296" s="146" t="s">
        <v>191</v>
      </c>
      <c r="T296" s="147">
        <v>155</v>
      </c>
      <c r="U296" s="146" t="s">
        <v>192</v>
      </c>
      <c r="V296" s="146" t="s">
        <v>193</v>
      </c>
      <c r="W296" s="147">
        <v>2</v>
      </c>
      <c r="X296" s="147">
        <v>2</v>
      </c>
      <c r="Y296" s="146" t="s">
        <v>194</v>
      </c>
      <c r="Z296" s="146" t="s">
        <v>195</v>
      </c>
      <c r="AA296" s="146" t="s">
        <v>196</v>
      </c>
      <c r="AB296" s="146" t="s">
        <v>187</v>
      </c>
      <c r="AC296" s="146" t="s">
        <v>187</v>
      </c>
      <c r="AD296" s="148"/>
      <c r="AE296" s="146" t="s">
        <v>209</v>
      </c>
      <c r="AF296" s="147">
        <v>1.13570999981664</v>
      </c>
      <c r="AG296" s="149">
        <v>116.611359999564</v>
      </c>
      <c r="AM296" s="133" t="str" cm="1">
        <f t="array" ref="AM296">IF(ROWS($AN$2:$AN295)&lt;=$AN$2,INDEX($V$3:$V$3000,_xlfn.AGGREGATE(15,3,($B$3:$B$3000=$AM$2)/($B$3:$B$3000=$AM$2)*(ROW($B$3:$B$3000)-ROW($B$2)),ROWS($AN$2:$AN295))),"")</f>
        <v/>
      </c>
      <c r="AN296" s="134" t="str" cm="1">
        <f t="array" ref="AN296">IF(ROWS($AN$2:$AN295)&lt;=$AN$2,INDEX($F$3:$F$3000,_xlfn.AGGREGATE(15,3,($B$3:$B$3000=$AM$2)/($B$3:$B$3000=$AM$2)*(ROW($B$3:$B$3000)-ROW($B$2)),ROWS($AN$2:$AN295))),"")</f>
        <v/>
      </c>
      <c r="AO296" s="135" t="str" cm="1">
        <f t="array" ref="AO296">IF(ROWS($AN$2:$AN295)&lt;=$AN$2,INDEX($G$3:$G$3000,_xlfn.AGGREGATE(15,3,($B$3:$B$3000=$AM$2)/($B$3:$B$3000=$AM$2)*(ROW($B$3:$B$3000)-ROW($B$2)),ROWS($AN$2:$AN295))),"")</f>
        <v/>
      </c>
      <c r="AP296" s="121"/>
      <c r="AT296" s="111"/>
      <c r="AW296" s="134"/>
      <c r="AX296" s="136"/>
      <c r="AY296" s="134"/>
    </row>
    <row r="297" spans="1:51" s="110" customFormat="1" ht="20" customHeight="1">
      <c r="A297" s="125" t="s">
        <v>185</v>
      </c>
      <c r="B297" s="126" t="s">
        <v>59</v>
      </c>
      <c r="C297" s="127">
        <v>15372</v>
      </c>
      <c r="D297" s="145">
        <v>110787</v>
      </c>
      <c r="E297" s="146" t="s">
        <v>2638</v>
      </c>
      <c r="F297" s="146" t="s">
        <v>2638</v>
      </c>
      <c r="G297" s="147">
        <v>1800</v>
      </c>
      <c r="H297" s="147">
        <v>4</v>
      </c>
      <c r="I297" s="146" t="s">
        <v>209</v>
      </c>
      <c r="J297" s="146" t="s">
        <v>2639</v>
      </c>
      <c r="K297" s="146" t="s">
        <v>2640</v>
      </c>
      <c r="L297" s="147">
        <v>1</v>
      </c>
      <c r="M297" s="147">
        <v>1</v>
      </c>
      <c r="N297" s="146" t="s">
        <v>1544</v>
      </c>
      <c r="O297" s="147">
        <v>55</v>
      </c>
      <c r="P297" s="147">
        <v>4</v>
      </c>
      <c r="Q297" s="147">
        <v>17</v>
      </c>
      <c r="R297" s="146" t="s">
        <v>190</v>
      </c>
      <c r="S297" s="146" t="s">
        <v>191</v>
      </c>
      <c r="T297" s="147">
        <v>155</v>
      </c>
      <c r="U297" s="146" t="s">
        <v>192</v>
      </c>
      <c r="V297" s="146" t="s">
        <v>193</v>
      </c>
      <c r="W297" s="147">
        <v>2</v>
      </c>
      <c r="X297" s="147">
        <v>2</v>
      </c>
      <c r="Y297" s="146" t="s">
        <v>194</v>
      </c>
      <c r="Z297" s="146" t="s">
        <v>195</v>
      </c>
      <c r="AA297" s="146" t="s">
        <v>196</v>
      </c>
      <c r="AB297" s="146" t="s">
        <v>187</v>
      </c>
      <c r="AC297" s="146" t="s">
        <v>187</v>
      </c>
      <c r="AD297" s="148"/>
      <c r="AE297" s="146" t="s">
        <v>209</v>
      </c>
      <c r="AF297" s="147">
        <v>2.7026829999999999</v>
      </c>
      <c r="AG297" s="149">
        <v>115.881981</v>
      </c>
      <c r="AM297" s="133" t="str" cm="1">
        <f t="array" ref="AM297">IF(ROWS($AN$2:$AN296)&lt;=$AN$2,INDEX($V$3:$V$3000,_xlfn.AGGREGATE(15,3,($B$3:$B$3000=$AM$2)/($B$3:$B$3000=$AM$2)*(ROW($B$3:$B$3000)-ROW($B$2)),ROWS($AN$2:$AN296))),"")</f>
        <v/>
      </c>
      <c r="AN297" s="134" t="str" cm="1">
        <f t="array" ref="AN297">IF(ROWS($AN$2:$AN296)&lt;=$AN$2,INDEX($F$3:$F$3000,_xlfn.AGGREGATE(15,3,($B$3:$B$3000=$AM$2)/($B$3:$B$3000=$AM$2)*(ROW($B$3:$B$3000)-ROW($B$2)),ROWS($AN$2:$AN296))),"")</f>
        <v/>
      </c>
      <c r="AO297" s="135" t="str" cm="1">
        <f t="array" ref="AO297">IF(ROWS($AN$2:$AN296)&lt;=$AN$2,INDEX($G$3:$G$3000,_xlfn.AGGREGATE(15,3,($B$3:$B$3000=$AM$2)/($B$3:$B$3000=$AM$2)*(ROW($B$3:$B$3000)-ROW($B$2)),ROWS($AN$2:$AN296))),"")</f>
        <v/>
      </c>
      <c r="AP297" s="121"/>
      <c r="AT297" s="111"/>
      <c r="AW297" s="134"/>
      <c r="AX297" s="136"/>
      <c r="AY297" s="134"/>
    </row>
    <row r="298" spans="1:51" s="110" customFormat="1" ht="20" customHeight="1">
      <c r="A298" s="125" t="s">
        <v>185</v>
      </c>
      <c r="B298" s="126" t="s">
        <v>59</v>
      </c>
      <c r="C298" s="127">
        <v>14621</v>
      </c>
      <c r="D298" s="145">
        <v>108485</v>
      </c>
      <c r="E298" s="146" t="s">
        <v>2358</v>
      </c>
      <c r="F298" s="146" t="s">
        <v>2358</v>
      </c>
      <c r="G298" s="147">
        <v>1100</v>
      </c>
      <c r="H298" s="147">
        <v>4</v>
      </c>
      <c r="I298" s="146" t="s">
        <v>209</v>
      </c>
      <c r="J298" s="146" t="s">
        <v>2359</v>
      </c>
      <c r="K298" s="146" t="s">
        <v>2358</v>
      </c>
      <c r="L298" s="147">
        <v>3</v>
      </c>
      <c r="M298" s="147">
        <v>1</v>
      </c>
      <c r="N298" s="146" t="s">
        <v>1544</v>
      </c>
      <c r="O298" s="147">
        <v>70</v>
      </c>
      <c r="P298" s="147">
        <v>8</v>
      </c>
      <c r="Q298" s="147">
        <v>17</v>
      </c>
      <c r="R298" s="146" t="s">
        <v>190</v>
      </c>
      <c r="S298" s="146" t="s">
        <v>191</v>
      </c>
      <c r="T298" s="147">
        <v>155</v>
      </c>
      <c r="U298" s="146" t="s">
        <v>192</v>
      </c>
      <c r="V298" s="146" t="s">
        <v>193</v>
      </c>
      <c r="W298" s="147">
        <v>2</v>
      </c>
      <c r="X298" s="147">
        <v>2</v>
      </c>
      <c r="Y298" s="146" t="s">
        <v>194</v>
      </c>
      <c r="Z298" s="146" t="s">
        <v>195</v>
      </c>
      <c r="AA298" s="146" t="s">
        <v>196</v>
      </c>
      <c r="AB298" s="146" t="s">
        <v>187</v>
      </c>
      <c r="AC298" s="146" t="s">
        <v>187</v>
      </c>
      <c r="AD298" s="148"/>
      <c r="AE298" s="146" t="s">
        <v>209</v>
      </c>
      <c r="AF298" s="147">
        <v>3.5471400000000002</v>
      </c>
      <c r="AG298" s="149">
        <v>115.81699999999999</v>
      </c>
      <c r="AM298" s="133" t="str" cm="1">
        <f t="array" ref="AM298">IF(ROWS($AN$2:$AN297)&lt;=$AN$2,INDEX($V$3:$V$3000,_xlfn.AGGREGATE(15,3,($B$3:$B$3000=$AM$2)/($B$3:$B$3000=$AM$2)*(ROW($B$3:$B$3000)-ROW($B$2)),ROWS($AN$2:$AN297))),"")</f>
        <v/>
      </c>
      <c r="AN298" s="134" t="str" cm="1">
        <f t="array" ref="AN298">IF(ROWS($AN$2:$AN297)&lt;=$AN$2,INDEX($F$3:$F$3000,_xlfn.AGGREGATE(15,3,($B$3:$B$3000=$AM$2)/($B$3:$B$3000=$AM$2)*(ROW($B$3:$B$3000)-ROW($B$2)),ROWS($AN$2:$AN297))),"")</f>
        <v/>
      </c>
      <c r="AO298" s="135" t="str" cm="1">
        <f t="array" ref="AO298">IF(ROWS($AN$2:$AN297)&lt;=$AN$2,INDEX($G$3:$G$3000,_xlfn.AGGREGATE(15,3,($B$3:$B$3000=$AM$2)/($B$3:$B$3000=$AM$2)*(ROW($B$3:$B$3000)-ROW($B$2)),ROWS($AN$2:$AN297))),"")</f>
        <v/>
      </c>
      <c r="AP298" s="121"/>
      <c r="AT298" s="111"/>
      <c r="AW298" s="134"/>
      <c r="AX298" s="136"/>
      <c r="AY298" s="134"/>
    </row>
    <row r="299" spans="1:51" s="110" customFormat="1" ht="20" customHeight="1">
      <c r="A299" s="125" t="s">
        <v>185</v>
      </c>
      <c r="B299" s="126" t="s">
        <v>59</v>
      </c>
      <c r="C299" s="127">
        <v>12442</v>
      </c>
      <c r="D299" s="145">
        <v>104450</v>
      </c>
      <c r="E299" s="146" t="s">
        <v>2166</v>
      </c>
      <c r="F299" s="146" t="s">
        <v>2166</v>
      </c>
      <c r="G299" s="147">
        <v>800</v>
      </c>
      <c r="H299" s="147">
        <v>4</v>
      </c>
      <c r="I299" s="146" t="s">
        <v>209</v>
      </c>
      <c r="J299" s="146" t="s">
        <v>2167</v>
      </c>
      <c r="K299" s="146" t="s">
        <v>2166</v>
      </c>
      <c r="L299" s="147">
        <v>3</v>
      </c>
      <c r="M299" s="147">
        <v>1</v>
      </c>
      <c r="N299" s="146" t="s">
        <v>1544</v>
      </c>
      <c r="O299" s="147">
        <v>60</v>
      </c>
      <c r="P299" s="147">
        <v>3</v>
      </c>
      <c r="Q299" s="147">
        <v>17</v>
      </c>
      <c r="R299" s="146" t="s">
        <v>190</v>
      </c>
      <c r="S299" s="146" t="s">
        <v>191</v>
      </c>
      <c r="T299" s="147">
        <v>155</v>
      </c>
      <c r="U299" s="146" t="s">
        <v>192</v>
      </c>
      <c r="V299" s="146" t="s">
        <v>193</v>
      </c>
      <c r="W299" s="147">
        <v>2</v>
      </c>
      <c r="X299" s="147">
        <v>2</v>
      </c>
      <c r="Y299" s="146" t="s">
        <v>194</v>
      </c>
      <c r="Z299" s="146" t="s">
        <v>195</v>
      </c>
      <c r="AA299" s="146" t="s">
        <v>196</v>
      </c>
      <c r="AB299" s="146" t="s">
        <v>187</v>
      </c>
      <c r="AC299" s="146" t="s">
        <v>187</v>
      </c>
      <c r="AD299" s="148"/>
      <c r="AE299" s="146" t="s">
        <v>209</v>
      </c>
      <c r="AF299" s="147">
        <v>3.15291702310213</v>
      </c>
      <c r="AG299" s="149">
        <v>115.907411811706</v>
      </c>
      <c r="AM299" s="133" t="str" cm="1">
        <f t="array" ref="AM299">IF(ROWS($AN$2:$AN298)&lt;=$AN$2,INDEX($V$3:$V$3000,_xlfn.AGGREGATE(15,3,($B$3:$B$3000=$AM$2)/($B$3:$B$3000=$AM$2)*(ROW($B$3:$B$3000)-ROW($B$2)),ROWS($AN$2:$AN298))),"")</f>
        <v/>
      </c>
      <c r="AN299" s="134" t="str" cm="1">
        <f t="array" ref="AN299">IF(ROWS($AN$2:$AN298)&lt;=$AN$2,INDEX($F$3:$F$3000,_xlfn.AGGREGATE(15,3,($B$3:$B$3000=$AM$2)/($B$3:$B$3000=$AM$2)*(ROW($B$3:$B$3000)-ROW($B$2)),ROWS($AN$2:$AN298))),"")</f>
        <v/>
      </c>
      <c r="AO299" s="135" t="str" cm="1">
        <f t="array" ref="AO299">IF(ROWS($AN$2:$AN298)&lt;=$AN$2,INDEX($G$3:$G$3000,_xlfn.AGGREGATE(15,3,($B$3:$B$3000=$AM$2)/($B$3:$B$3000=$AM$2)*(ROW($B$3:$B$3000)-ROW($B$2)),ROWS($AN$2:$AN298))),"")</f>
        <v/>
      </c>
      <c r="AP299" s="121"/>
      <c r="AT299" s="111"/>
      <c r="AW299" s="134"/>
      <c r="AX299" s="136"/>
      <c r="AY299" s="134"/>
    </row>
    <row r="300" spans="1:51" s="110" customFormat="1" ht="20" customHeight="1">
      <c r="A300" s="125" t="s">
        <v>185</v>
      </c>
      <c r="B300" s="126" t="s">
        <v>59</v>
      </c>
      <c r="C300" s="127">
        <v>12625</v>
      </c>
      <c r="D300" s="145">
        <v>104840</v>
      </c>
      <c r="E300" s="146" t="s">
        <v>2168</v>
      </c>
      <c r="F300" s="146" t="s">
        <v>2168</v>
      </c>
      <c r="G300" s="147">
        <v>800</v>
      </c>
      <c r="H300" s="147">
        <v>4</v>
      </c>
      <c r="I300" s="146" t="s">
        <v>209</v>
      </c>
      <c r="J300" s="146" t="s">
        <v>2169</v>
      </c>
      <c r="K300" s="146" t="s">
        <v>2170</v>
      </c>
      <c r="L300" s="147">
        <v>4</v>
      </c>
      <c r="M300" s="147">
        <v>1</v>
      </c>
      <c r="N300" s="146" t="s">
        <v>1544</v>
      </c>
      <c r="O300" s="147">
        <v>70</v>
      </c>
      <c r="P300" s="147">
        <v>8</v>
      </c>
      <c r="Q300" s="147">
        <v>17</v>
      </c>
      <c r="R300" s="146" t="s">
        <v>190</v>
      </c>
      <c r="S300" s="146" t="s">
        <v>191</v>
      </c>
      <c r="T300" s="147">
        <v>155</v>
      </c>
      <c r="U300" s="146" t="s">
        <v>192</v>
      </c>
      <c r="V300" s="146" t="s">
        <v>193</v>
      </c>
      <c r="W300" s="147">
        <v>2</v>
      </c>
      <c r="X300" s="147">
        <v>2</v>
      </c>
      <c r="Y300" s="146" t="s">
        <v>194</v>
      </c>
      <c r="Z300" s="146" t="s">
        <v>195</v>
      </c>
      <c r="AA300" s="146" t="s">
        <v>196</v>
      </c>
      <c r="AB300" s="146" t="s">
        <v>187</v>
      </c>
      <c r="AC300" s="146" t="s">
        <v>187</v>
      </c>
      <c r="AD300" s="148"/>
      <c r="AE300" s="146" t="s">
        <v>209</v>
      </c>
      <c r="AF300" s="147">
        <v>2.91111000032623</v>
      </c>
      <c r="AG300" s="149">
        <v>115.34578000034701</v>
      </c>
      <c r="AM300" s="133" t="str" cm="1">
        <f t="array" ref="AM300">IF(ROWS($AN$2:$AN299)&lt;=$AN$2,INDEX($V$3:$V$3000,_xlfn.AGGREGATE(15,3,($B$3:$B$3000=$AM$2)/($B$3:$B$3000=$AM$2)*(ROW($B$3:$B$3000)-ROW($B$2)),ROWS($AN$2:$AN299))),"")</f>
        <v/>
      </c>
      <c r="AN300" s="134" t="str" cm="1">
        <f t="array" ref="AN300">IF(ROWS($AN$2:$AN299)&lt;=$AN$2,INDEX($F$3:$F$3000,_xlfn.AGGREGATE(15,3,($B$3:$B$3000=$AM$2)/($B$3:$B$3000=$AM$2)*(ROW($B$3:$B$3000)-ROW($B$2)),ROWS($AN$2:$AN299))),"")</f>
        <v/>
      </c>
      <c r="AO300" s="135" t="str" cm="1">
        <f t="array" ref="AO300">IF(ROWS($AN$2:$AN299)&lt;=$AN$2,INDEX($G$3:$G$3000,_xlfn.AGGREGATE(15,3,($B$3:$B$3000=$AM$2)/($B$3:$B$3000=$AM$2)*(ROW($B$3:$B$3000)-ROW($B$2)),ROWS($AN$2:$AN299))),"")</f>
        <v/>
      </c>
      <c r="AP300" s="121"/>
      <c r="AT300" s="111"/>
      <c r="AW300" s="134"/>
      <c r="AX300" s="136"/>
      <c r="AY300" s="134"/>
    </row>
    <row r="301" spans="1:51" s="110" customFormat="1" ht="20" customHeight="1">
      <c r="A301" s="125" t="s">
        <v>185</v>
      </c>
      <c r="B301" s="126" t="s">
        <v>59</v>
      </c>
      <c r="C301" s="127">
        <v>10768</v>
      </c>
      <c r="D301" s="145">
        <v>101213</v>
      </c>
      <c r="E301" s="146" t="s">
        <v>1889</v>
      </c>
      <c r="F301" s="146" t="s">
        <v>1889</v>
      </c>
      <c r="G301" s="147">
        <v>700</v>
      </c>
      <c r="H301" s="147">
        <v>4</v>
      </c>
      <c r="I301" s="146" t="s">
        <v>209</v>
      </c>
      <c r="J301" s="146" t="s">
        <v>1891</v>
      </c>
      <c r="K301" s="146" t="s">
        <v>1892</v>
      </c>
      <c r="L301" s="147">
        <v>0</v>
      </c>
      <c r="M301" s="147">
        <v>1</v>
      </c>
      <c r="N301" s="146" t="s">
        <v>1544</v>
      </c>
      <c r="O301" s="147">
        <v>60</v>
      </c>
      <c r="P301" s="147">
        <v>4</v>
      </c>
      <c r="Q301" s="147">
        <v>17</v>
      </c>
      <c r="R301" s="146" t="s">
        <v>190</v>
      </c>
      <c r="S301" s="146" t="s">
        <v>191</v>
      </c>
      <c r="T301" s="147">
        <v>155</v>
      </c>
      <c r="U301" s="146" t="s">
        <v>192</v>
      </c>
      <c r="V301" s="146" t="s">
        <v>193</v>
      </c>
      <c r="W301" s="147">
        <v>2</v>
      </c>
      <c r="X301" s="147">
        <v>2</v>
      </c>
      <c r="Y301" s="146" t="s">
        <v>194</v>
      </c>
      <c r="Z301" s="146" t="s">
        <v>195</v>
      </c>
      <c r="AA301" s="146" t="s">
        <v>196</v>
      </c>
      <c r="AB301" s="146" t="s">
        <v>187</v>
      </c>
      <c r="AC301" s="146" t="s">
        <v>187</v>
      </c>
      <c r="AD301" s="148"/>
      <c r="AE301" s="146" t="s">
        <v>209</v>
      </c>
      <c r="AF301" s="147">
        <v>1.56646</v>
      </c>
      <c r="AG301" s="149">
        <v>114.63461</v>
      </c>
      <c r="AM301" s="133" t="str" cm="1">
        <f t="array" ref="AM301">IF(ROWS($AN$2:$AN300)&lt;=$AN$2,INDEX($V$3:$V$3000,_xlfn.AGGREGATE(15,3,($B$3:$B$3000=$AM$2)/($B$3:$B$3000=$AM$2)*(ROW($B$3:$B$3000)-ROW($B$2)),ROWS($AN$2:$AN300))),"")</f>
        <v/>
      </c>
      <c r="AN301" s="134" t="str" cm="1">
        <f t="array" ref="AN301">IF(ROWS($AN$2:$AN300)&lt;=$AN$2,INDEX($F$3:$F$3000,_xlfn.AGGREGATE(15,3,($B$3:$B$3000=$AM$2)/($B$3:$B$3000=$AM$2)*(ROW($B$3:$B$3000)-ROW($B$2)),ROWS($AN$2:$AN300))),"")</f>
        <v/>
      </c>
      <c r="AO301" s="135" t="str" cm="1">
        <f t="array" ref="AO301">IF(ROWS($AN$2:$AN300)&lt;=$AN$2,INDEX($G$3:$G$3000,_xlfn.AGGREGATE(15,3,($B$3:$B$3000=$AM$2)/($B$3:$B$3000=$AM$2)*(ROW($B$3:$B$3000)-ROW($B$2)),ROWS($AN$2:$AN300))),"")</f>
        <v/>
      </c>
      <c r="AP301" s="121"/>
      <c r="AT301" s="111"/>
      <c r="AW301" s="134"/>
      <c r="AX301" s="136"/>
      <c r="AY301" s="134"/>
    </row>
    <row r="302" spans="1:51" s="110" customFormat="1" ht="20" customHeight="1">
      <c r="A302" s="125" t="s">
        <v>185</v>
      </c>
      <c r="B302" s="126" t="s">
        <v>59</v>
      </c>
      <c r="C302" s="127">
        <v>13329</v>
      </c>
      <c r="D302" s="128">
        <v>107228</v>
      </c>
      <c r="E302" s="129" t="s">
        <v>4870</v>
      </c>
      <c r="F302" s="129" t="s">
        <v>4870</v>
      </c>
      <c r="G302" s="130">
        <v>1141000</v>
      </c>
      <c r="H302" s="130">
        <v>5</v>
      </c>
      <c r="I302" s="129" t="s">
        <v>209</v>
      </c>
      <c r="J302" s="129" t="s">
        <v>4871</v>
      </c>
      <c r="K302" s="129" t="s">
        <v>4872</v>
      </c>
      <c r="L302" s="130">
        <v>5</v>
      </c>
      <c r="M302" s="130">
        <v>1</v>
      </c>
      <c r="N302" s="129" t="s">
        <v>1544</v>
      </c>
      <c r="O302" s="130">
        <v>80</v>
      </c>
      <c r="P302" s="130">
        <v>17.698</v>
      </c>
      <c r="Q302" s="130">
        <v>17</v>
      </c>
      <c r="R302" s="129" t="s">
        <v>190</v>
      </c>
      <c r="S302" s="129" t="s">
        <v>191</v>
      </c>
      <c r="T302" s="130">
        <v>155</v>
      </c>
      <c r="U302" s="129" t="s">
        <v>192</v>
      </c>
      <c r="V302" s="129" t="s">
        <v>193</v>
      </c>
      <c r="W302" s="130">
        <v>1</v>
      </c>
      <c r="X302" s="130">
        <v>2</v>
      </c>
      <c r="Y302" s="129" t="s">
        <v>194</v>
      </c>
      <c r="Z302" s="129" t="s">
        <v>195</v>
      </c>
      <c r="AA302" s="129" t="s">
        <v>196</v>
      </c>
      <c r="AB302" s="129" t="s">
        <v>187</v>
      </c>
      <c r="AC302" s="129" t="s">
        <v>187</v>
      </c>
      <c r="AD302" s="131"/>
      <c r="AE302" s="129" t="s">
        <v>209</v>
      </c>
      <c r="AF302" s="130">
        <v>-1.5369999999999999</v>
      </c>
      <c r="AG302" s="132">
        <v>113.53927</v>
      </c>
      <c r="AM302" s="133" t="str" cm="1">
        <f t="array" ref="AM302">IF(ROWS($AN$2:$AN301)&lt;=$AN$2,INDEX($V$3:$V$3000,_xlfn.AGGREGATE(15,3,($B$3:$B$3000=$AM$2)/($B$3:$B$3000=$AM$2)*(ROW($B$3:$B$3000)-ROW($B$2)),ROWS($AN$2:$AN301))),"")</f>
        <v/>
      </c>
      <c r="AN302" s="134" t="str" cm="1">
        <f t="array" ref="AN302">IF(ROWS($AN$2:$AN301)&lt;=$AN$2,INDEX($F$3:$F$3000,_xlfn.AGGREGATE(15,3,($B$3:$B$3000=$AM$2)/($B$3:$B$3000=$AM$2)*(ROW($B$3:$B$3000)-ROW($B$2)),ROWS($AN$2:$AN301))),"")</f>
        <v/>
      </c>
      <c r="AO302" s="135" t="str" cm="1">
        <f t="array" ref="AO302">IF(ROWS($AN$2:$AN301)&lt;=$AN$2,INDEX($G$3:$G$3000,_xlfn.AGGREGATE(15,3,($B$3:$B$3000=$AM$2)/($B$3:$B$3000=$AM$2)*(ROW($B$3:$B$3000)-ROW($B$2)),ROWS($AN$2:$AN301))),"")</f>
        <v/>
      </c>
      <c r="AP302" s="121"/>
      <c r="AT302" s="111"/>
      <c r="AW302" s="134"/>
      <c r="AX302" s="136"/>
      <c r="AY302" s="134"/>
    </row>
    <row r="303" spans="1:51" s="110" customFormat="1" ht="20" customHeight="1">
      <c r="A303" s="125" t="s">
        <v>185</v>
      </c>
      <c r="B303" s="126" t="s">
        <v>59</v>
      </c>
      <c r="C303" s="127">
        <v>15053</v>
      </c>
      <c r="D303" s="128">
        <v>109497</v>
      </c>
      <c r="E303" s="129" t="s">
        <v>2014</v>
      </c>
      <c r="F303" s="129" t="s">
        <v>2014</v>
      </c>
      <c r="G303" s="130">
        <v>27000</v>
      </c>
      <c r="H303" s="130">
        <v>5</v>
      </c>
      <c r="I303" s="129" t="s">
        <v>209</v>
      </c>
      <c r="J303" s="129" t="s">
        <v>2015</v>
      </c>
      <c r="K303" s="129" t="s">
        <v>2016</v>
      </c>
      <c r="L303" s="130">
        <v>5</v>
      </c>
      <c r="M303" s="130">
        <v>1</v>
      </c>
      <c r="N303" s="129" t="s">
        <v>1544</v>
      </c>
      <c r="O303" s="130">
        <v>70</v>
      </c>
      <c r="P303" s="130">
        <v>15</v>
      </c>
      <c r="Q303" s="130">
        <v>17</v>
      </c>
      <c r="R303" s="129" t="s">
        <v>190</v>
      </c>
      <c r="S303" s="129" t="s">
        <v>191</v>
      </c>
      <c r="T303" s="130">
        <v>155</v>
      </c>
      <c r="U303" s="129" t="s">
        <v>192</v>
      </c>
      <c r="V303" s="129" t="s">
        <v>193</v>
      </c>
      <c r="W303" s="130">
        <v>3</v>
      </c>
      <c r="X303" s="130">
        <v>2</v>
      </c>
      <c r="Y303" s="129" t="s">
        <v>194</v>
      </c>
      <c r="Z303" s="129" t="s">
        <v>195</v>
      </c>
      <c r="AA303" s="129" t="s">
        <v>196</v>
      </c>
      <c r="AB303" s="129" t="s">
        <v>187</v>
      </c>
      <c r="AC303" s="129" t="s">
        <v>187</v>
      </c>
      <c r="AD303" s="131"/>
      <c r="AE303" s="129" t="s">
        <v>209</v>
      </c>
      <c r="AF303" s="130">
        <v>3.9603600000000001</v>
      </c>
      <c r="AG303" s="132">
        <v>115.88469000000001</v>
      </c>
      <c r="AM303" s="133" t="str" cm="1">
        <f t="array" ref="AM303">IF(ROWS($AN$2:$AN302)&lt;=$AN$2,INDEX($V$3:$V$3000,_xlfn.AGGREGATE(15,3,($B$3:$B$3000=$AM$2)/($B$3:$B$3000=$AM$2)*(ROW($B$3:$B$3000)-ROW($B$2)),ROWS($AN$2:$AN302))),"")</f>
        <v/>
      </c>
      <c r="AN303" s="134" t="str" cm="1">
        <f t="array" ref="AN303">IF(ROWS($AN$2:$AN302)&lt;=$AN$2,INDEX($F$3:$F$3000,_xlfn.AGGREGATE(15,3,($B$3:$B$3000=$AM$2)/($B$3:$B$3000=$AM$2)*(ROW($B$3:$B$3000)-ROW($B$2)),ROWS($AN$2:$AN302))),"")</f>
        <v/>
      </c>
      <c r="AO303" s="135" t="str" cm="1">
        <f t="array" ref="AO303">IF(ROWS($AN$2:$AN302)&lt;=$AN$2,INDEX($G$3:$G$3000,_xlfn.AGGREGATE(15,3,($B$3:$B$3000=$AM$2)/($B$3:$B$3000=$AM$2)*(ROW($B$3:$B$3000)-ROW($B$2)),ROWS($AN$2:$AN302))),"")</f>
        <v/>
      </c>
      <c r="AP303" s="121"/>
      <c r="AT303" s="111"/>
      <c r="AW303" s="134"/>
      <c r="AX303" s="136"/>
      <c r="AY303" s="134"/>
    </row>
    <row r="304" spans="1:51" s="110" customFormat="1" ht="20" customHeight="1">
      <c r="A304" s="125" t="s">
        <v>237</v>
      </c>
      <c r="B304" s="126" t="s">
        <v>60</v>
      </c>
      <c r="C304" s="127">
        <v>12710</v>
      </c>
      <c r="D304" s="151">
        <v>105029</v>
      </c>
      <c r="E304" s="152" t="s">
        <v>2880</v>
      </c>
      <c r="F304" s="152" t="s">
        <v>2880</v>
      </c>
      <c r="G304" s="153">
        <v>3000</v>
      </c>
      <c r="H304" s="153">
        <v>3</v>
      </c>
      <c r="I304" s="152" t="s">
        <v>209</v>
      </c>
      <c r="J304" s="152" t="s">
        <v>2881</v>
      </c>
      <c r="K304" s="152" t="s">
        <v>2882</v>
      </c>
      <c r="L304" s="153">
        <v>1</v>
      </c>
      <c r="M304" s="153">
        <v>1</v>
      </c>
      <c r="N304" s="152" t="s">
        <v>1544</v>
      </c>
      <c r="O304" s="153">
        <v>65</v>
      </c>
      <c r="P304" s="153">
        <v>1</v>
      </c>
      <c r="Q304" s="153">
        <v>17</v>
      </c>
      <c r="R304" s="152" t="s">
        <v>190</v>
      </c>
      <c r="S304" s="152" t="s">
        <v>191</v>
      </c>
      <c r="T304" s="153">
        <v>155</v>
      </c>
      <c r="U304" s="152" t="s">
        <v>192</v>
      </c>
      <c r="V304" s="152" t="s">
        <v>193</v>
      </c>
      <c r="W304" s="153">
        <v>1</v>
      </c>
      <c r="X304" s="153">
        <v>2</v>
      </c>
      <c r="Y304" s="152" t="s">
        <v>194</v>
      </c>
      <c r="Z304" s="152" t="s">
        <v>195</v>
      </c>
      <c r="AA304" s="152" t="s">
        <v>196</v>
      </c>
      <c r="AB304" s="152" t="s">
        <v>187</v>
      </c>
      <c r="AC304" s="152" t="s">
        <v>187</v>
      </c>
      <c r="AD304" s="154"/>
      <c r="AE304" s="152" t="s">
        <v>209</v>
      </c>
      <c r="AF304" s="153">
        <v>4.0890399999999998</v>
      </c>
      <c r="AG304" s="155">
        <v>114.41455999999999</v>
      </c>
      <c r="AM304" s="133" t="str" cm="1">
        <f t="array" ref="AM304">IF(ROWS($AN$2:$AN303)&lt;=$AN$2,INDEX($V$3:$V$3000,_xlfn.AGGREGATE(15,3,($B$3:$B$3000=$AM$2)/($B$3:$B$3000=$AM$2)*(ROW($B$3:$B$3000)-ROW($B$2)),ROWS($AN$2:$AN303))),"")</f>
        <v/>
      </c>
      <c r="AN304" s="134" t="str" cm="1">
        <f t="array" ref="AN304">IF(ROWS($AN$2:$AN303)&lt;=$AN$2,INDEX($F$3:$F$3000,_xlfn.AGGREGATE(15,3,($B$3:$B$3000=$AM$2)/($B$3:$B$3000=$AM$2)*(ROW($B$3:$B$3000)-ROW($B$2)),ROWS($AN$2:$AN303))),"")</f>
        <v/>
      </c>
      <c r="AO304" s="135" t="str" cm="1">
        <f t="array" ref="AO304">IF(ROWS($AN$2:$AN303)&lt;=$AN$2,INDEX($G$3:$G$3000,_xlfn.AGGREGATE(15,3,($B$3:$B$3000=$AM$2)/($B$3:$B$3000=$AM$2)*(ROW($B$3:$B$3000)-ROW($B$2)),ROWS($AN$2:$AN303))),"")</f>
        <v/>
      </c>
      <c r="AP304" s="121"/>
      <c r="AT304" s="111"/>
      <c r="AW304" s="134"/>
      <c r="AX304" s="136"/>
      <c r="AY304" s="134"/>
    </row>
    <row r="305" spans="1:51" s="110" customFormat="1" ht="20" customHeight="1">
      <c r="A305" s="125" t="s">
        <v>237</v>
      </c>
      <c r="B305" s="126" t="s">
        <v>60</v>
      </c>
      <c r="C305" s="127">
        <v>11123</v>
      </c>
      <c r="D305" s="145">
        <v>101919</v>
      </c>
      <c r="E305" s="146" t="s">
        <v>4745</v>
      </c>
      <c r="F305" s="146" t="s">
        <v>4745</v>
      </c>
      <c r="G305" s="147">
        <v>203000</v>
      </c>
      <c r="H305" s="147">
        <v>4</v>
      </c>
      <c r="I305" s="146" t="s">
        <v>209</v>
      </c>
      <c r="J305" s="146" t="s">
        <v>1802</v>
      </c>
      <c r="K305" s="146" t="s">
        <v>1803</v>
      </c>
      <c r="L305" s="147">
        <v>5</v>
      </c>
      <c r="M305" s="147">
        <v>1</v>
      </c>
      <c r="N305" s="146" t="s">
        <v>1544</v>
      </c>
      <c r="O305" s="147">
        <v>75</v>
      </c>
      <c r="P305" s="147">
        <v>7</v>
      </c>
      <c r="Q305" s="147">
        <v>17</v>
      </c>
      <c r="R305" s="146" t="s">
        <v>190</v>
      </c>
      <c r="S305" s="146" t="s">
        <v>191</v>
      </c>
      <c r="T305" s="147">
        <v>155</v>
      </c>
      <c r="U305" s="146" t="s">
        <v>192</v>
      </c>
      <c r="V305" s="146" t="s">
        <v>193</v>
      </c>
      <c r="W305" s="147">
        <v>1</v>
      </c>
      <c r="X305" s="147">
        <v>2</v>
      </c>
      <c r="Y305" s="146" t="s">
        <v>194</v>
      </c>
      <c r="Z305" s="146" t="s">
        <v>195</v>
      </c>
      <c r="AA305" s="146" t="s">
        <v>196</v>
      </c>
      <c r="AB305" s="146" t="s">
        <v>187</v>
      </c>
      <c r="AC305" s="146" t="s">
        <v>187</v>
      </c>
      <c r="AD305" s="148"/>
      <c r="AE305" s="146" t="s">
        <v>209</v>
      </c>
      <c r="AF305" s="147">
        <v>5.9526224355769299</v>
      </c>
      <c r="AG305" s="149">
        <v>116.670328418422</v>
      </c>
      <c r="AM305" s="133" t="str" cm="1">
        <f t="array" ref="AM305">IF(ROWS($AN$2:$AN304)&lt;=$AN$2,INDEX($V$3:$V$3000,_xlfn.AGGREGATE(15,3,($B$3:$B$3000=$AM$2)/($B$3:$B$3000=$AM$2)*(ROW($B$3:$B$3000)-ROW($B$2)),ROWS($AN$2:$AN304))),"")</f>
        <v/>
      </c>
      <c r="AN305" s="134" t="str" cm="1">
        <f t="array" ref="AN305">IF(ROWS($AN$2:$AN304)&lt;=$AN$2,INDEX($F$3:$F$3000,_xlfn.AGGREGATE(15,3,($B$3:$B$3000=$AM$2)/($B$3:$B$3000=$AM$2)*(ROW($B$3:$B$3000)-ROW($B$2)),ROWS($AN$2:$AN304))),"")</f>
        <v/>
      </c>
      <c r="AO305" s="135" t="str" cm="1">
        <f t="array" ref="AO305">IF(ROWS($AN$2:$AN304)&lt;=$AN$2,INDEX($G$3:$G$3000,_xlfn.AGGREGATE(15,3,($B$3:$B$3000=$AM$2)/($B$3:$B$3000=$AM$2)*(ROW($B$3:$B$3000)-ROW($B$2)),ROWS($AN$2:$AN304))),"")</f>
        <v/>
      </c>
      <c r="AP305" s="121"/>
      <c r="AT305" s="111"/>
      <c r="AW305" s="134"/>
      <c r="AX305" s="136"/>
      <c r="AY305" s="134"/>
    </row>
    <row r="306" spans="1:51" s="110" customFormat="1" ht="20" customHeight="1">
      <c r="A306" s="125" t="s">
        <v>237</v>
      </c>
      <c r="B306" s="126" t="s">
        <v>60</v>
      </c>
      <c r="C306" s="127">
        <v>10830</v>
      </c>
      <c r="D306" s="145">
        <v>101411</v>
      </c>
      <c r="E306" s="146" t="s">
        <v>3662</v>
      </c>
      <c r="F306" s="146" t="s">
        <v>3662</v>
      </c>
      <c r="G306" s="147">
        <v>92000</v>
      </c>
      <c r="H306" s="147">
        <v>4</v>
      </c>
      <c r="I306" s="146" t="s">
        <v>209</v>
      </c>
      <c r="J306" s="146" t="s">
        <v>3663</v>
      </c>
      <c r="K306" s="146" t="s">
        <v>3664</v>
      </c>
      <c r="L306" s="147">
        <v>5</v>
      </c>
      <c r="M306" s="147">
        <v>1</v>
      </c>
      <c r="N306" s="146" t="s">
        <v>1544</v>
      </c>
      <c r="O306" s="147">
        <v>65</v>
      </c>
      <c r="P306" s="147">
        <v>5</v>
      </c>
      <c r="Q306" s="147">
        <v>17</v>
      </c>
      <c r="R306" s="146" t="s">
        <v>190</v>
      </c>
      <c r="S306" s="146" t="s">
        <v>191</v>
      </c>
      <c r="T306" s="147">
        <v>155</v>
      </c>
      <c r="U306" s="146" t="s">
        <v>192</v>
      </c>
      <c r="V306" s="146" t="s">
        <v>193</v>
      </c>
      <c r="W306" s="147">
        <v>2</v>
      </c>
      <c r="X306" s="147">
        <v>2</v>
      </c>
      <c r="Y306" s="146" t="s">
        <v>194</v>
      </c>
      <c r="Z306" s="146" t="s">
        <v>195</v>
      </c>
      <c r="AA306" s="146" t="s">
        <v>196</v>
      </c>
      <c r="AB306" s="146" t="s">
        <v>187</v>
      </c>
      <c r="AC306" s="146" t="s">
        <v>187</v>
      </c>
      <c r="AD306" s="148"/>
      <c r="AE306" s="146" t="s">
        <v>209</v>
      </c>
      <c r="AF306" s="147">
        <v>1.25888</v>
      </c>
      <c r="AG306" s="149">
        <v>110.3069</v>
      </c>
      <c r="AM306" s="133" t="str" cm="1">
        <f t="array" ref="AM306">IF(ROWS($AN$2:$AN305)&lt;=$AN$2,INDEX($V$3:$V$3000,_xlfn.AGGREGATE(15,3,($B$3:$B$3000=$AM$2)/($B$3:$B$3000=$AM$2)*(ROW($B$3:$B$3000)-ROW($B$2)),ROWS($AN$2:$AN305))),"")</f>
        <v/>
      </c>
      <c r="AN306" s="134" t="str" cm="1">
        <f t="array" ref="AN306">IF(ROWS($AN$2:$AN305)&lt;=$AN$2,INDEX($F$3:$F$3000,_xlfn.AGGREGATE(15,3,($B$3:$B$3000=$AM$2)/($B$3:$B$3000=$AM$2)*(ROW($B$3:$B$3000)-ROW($B$2)),ROWS($AN$2:$AN305))),"")</f>
        <v/>
      </c>
      <c r="AO306" s="135" t="str" cm="1">
        <f t="array" ref="AO306">IF(ROWS($AN$2:$AN305)&lt;=$AN$2,INDEX($G$3:$G$3000,_xlfn.AGGREGATE(15,3,($B$3:$B$3000=$AM$2)/($B$3:$B$3000=$AM$2)*(ROW($B$3:$B$3000)-ROW($B$2)),ROWS($AN$2:$AN305))),"")</f>
        <v/>
      </c>
      <c r="AP306" s="121"/>
      <c r="AT306" s="111"/>
      <c r="AW306" s="134"/>
      <c r="AX306" s="136"/>
      <c r="AY306" s="134"/>
    </row>
    <row r="307" spans="1:51" s="110" customFormat="1" ht="20" customHeight="1">
      <c r="A307" s="125" t="s">
        <v>237</v>
      </c>
      <c r="B307" s="126" t="s">
        <v>60</v>
      </c>
      <c r="C307" s="127">
        <v>10993</v>
      </c>
      <c r="D307" s="145">
        <v>101715</v>
      </c>
      <c r="E307" s="146" t="s">
        <v>3655</v>
      </c>
      <c r="F307" s="146" t="s">
        <v>4516</v>
      </c>
      <c r="G307" s="147">
        <v>71000</v>
      </c>
      <c r="H307" s="147">
        <v>4</v>
      </c>
      <c r="I307" s="146" t="s">
        <v>209</v>
      </c>
      <c r="J307" s="146" t="s">
        <v>3657</v>
      </c>
      <c r="K307" s="146" t="s">
        <v>3658</v>
      </c>
      <c r="L307" s="147">
        <v>2</v>
      </c>
      <c r="M307" s="147">
        <v>1</v>
      </c>
      <c r="N307" s="146" t="s">
        <v>1544</v>
      </c>
      <c r="O307" s="147">
        <v>60</v>
      </c>
      <c r="P307" s="147">
        <v>5</v>
      </c>
      <c r="Q307" s="147">
        <v>17</v>
      </c>
      <c r="R307" s="146" t="s">
        <v>190</v>
      </c>
      <c r="S307" s="146" t="s">
        <v>191</v>
      </c>
      <c r="T307" s="147">
        <v>155</v>
      </c>
      <c r="U307" s="146" t="s">
        <v>192</v>
      </c>
      <c r="V307" s="146" t="s">
        <v>193</v>
      </c>
      <c r="W307" s="147">
        <v>2</v>
      </c>
      <c r="X307" s="147">
        <v>2</v>
      </c>
      <c r="Y307" s="146" t="s">
        <v>194</v>
      </c>
      <c r="Z307" s="146" t="s">
        <v>195</v>
      </c>
      <c r="AA307" s="146" t="s">
        <v>196</v>
      </c>
      <c r="AB307" s="146" t="s">
        <v>187</v>
      </c>
      <c r="AC307" s="146" t="s">
        <v>187</v>
      </c>
      <c r="AD307" s="148"/>
      <c r="AE307" s="146" t="s">
        <v>209</v>
      </c>
      <c r="AF307" s="147">
        <v>1.0473300000000001</v>
      </c>
      <c r="AG307" s="149">
        <v>110.5059</v>
      </c>
      <c r="AM307" s="133" t="str" cm="1">
        <f t="array" ref="AM307">IF(ROWS($AN$2:$AN306)&lt;=$AN$2,INDEX($V$3:$V$3000,_xlfn.AGGREGATE(15,3,($B$3:$B$3000=$AM$2)/($B$3:$B$3000=$AM$2)*(ROW($B$3:$B$3000)-ROW($B$2)),ROWS($AN$2:$AN306))),"")</f>
        <v/>
      </c>
      <c r="AN307" s="134" t="str" cm="1">
        <f t="array" ref="AN307">IF(ROWS($AN$2:$AN306)&lt;=$AN$2,INDEX($F$3:$F$3000,_xlfn.AGGREGATE(15,3,($B$3:$B$3000=$AM$2)/($B$3:$B$3000=$AM$2)*(ROW($B$3:$B$3000)-ROW($B$2)),ROWS($AN$2:$AN306))),"")</f>
        <v/>
      </c>
      <c r="AO307" s="135" t="str" cm="1">
        <f t="array" ref="AO307">IF(ROWS($AN$2:$AN306)&lt;=$AN$2,INDEX($G$3:$G$3000,_xlfn.AGGREGATE(15,3,($B$3:$B$3000=$AM$2)/($B$3:$B$3000=$AM$2)*(ROW($B$3:$B$3000)-ROW($B$2)),ROWS($AN$2:$AN306))),"")</f>
        <v/>
      </c>
      <c r="AP307" s="121"/>
      <c r="AT307" s="111"/>
      <c r="AW307" s="134"/>
      <c r="AX307" s="136"/>
      <c r="AY307" s="134"/>
    </row>
    <row r="308" spans="1:51" s="110" customFormat="1" ht="20" customHeight="1">
      <c r="A308" s="125" t="s">
        <v>237</v>
      </c>
      <c r="B308" s="126" t="s">
        <v>60</v>
      </c>
      <c r="C308" s="127">
        <v>11017</v>
      </c>
      <c r="D308" s="145">
        <v>101747</v>
      </c>
      <c r="E308" s="146" t="s">
        <v>4510</v>
      </c>
      <c r="F308" s="146" t="s">
        <v>4510</v>
      </c>
      <c r="G308" s="147">
        <v>70000</v>
      </c>
      <c r="H308" s="147">
        <v>4</v>
      </c>
      <c r="I308" s="146" t="s">
        <v>209</v>
      </c>
      <c r="J308" s="146" t="s">
        <v>1802</v>
      </c>
      <c r="K308" s="146" t="s">
        <v>1803</v>
      </c>
      <c r="L308" s="147">
        <v>5</v>
      </c>
      <c r="M308" s="147">
        <v>1</v>
      </c>
      <c r="N308" s="146" t="s">
        <v>1544</v>
      </c>
      <c r="O308" s="147">
        <v>70</v>
      </c>
      <c r="P308" s="147">
        <v>5</v>
      </c>
      <c r="Q308" s="147">
        <v>17</v>
      </c>
      <c r="R308" s="146" t="s">
        <v>190</v>
      </c>
      <c r="S308" s="146" t="s">
        <v>191</v>
      </c>
      <c r="T308" s="147">
        <v>155</v>
      </c>
      <c r="U308" s="146" t="s">
        <v>192</v>
      </c>
      <c r="V308" s="146" t="s">
        <v>193</v>
      </c>
      <c r="W308" s="147">
        <v>1</v>
      </c>
      <c r="X308" s="147">
        <v>2</v>
      </c>
      <c r="Y308" s="146" t="s">
        <v>194</v>
      </c>
      <c r="Z308" s="146" t="s">
        <v>195</v>
      </c>
      <c r="AA308" s="146" t="s">
        <v>196</v>
      </c>
      <c r="AB308" s="146" t="s">
        <v>187</v>
      </c>
      <c r="AC308" s="146" t="s">
        <v>187</v>
      </c>
      <c r="AD308" s="148"/>
      <c r="AE308" s="146" t="s">
        <v>209</v>
      </c>
      <c r="AF308" s="147">
        <v>5.9535435985582099</v>
      </c>
      <c r="AG308" s="149">
        <v>116.67921333173</v>
      </c>
      <c r="AM308" s="133" t="str" cm="1">
        <f t="array" ref="AM308">IF(ROWS($AN$2:$AN307)&lt;=$AN$2,INDEX($V$3:$V$3000,_xlfn.AGGREGATE(15,3,($B$3:$B$3000=$AM$2)/($B$3:$B$3000=$AM$2)*(ROW($B$3:$B$3000)-ROW($B$2)),ROWS($AN$2:$AN307))),"")</f>
        <v/>
      </c>
      <c r="AN308" s="134" t="str" cm="1">
        <f t="array" ref="AN308">IF(ROWS($AN$2:$AN307)&lt;=$AN$2,INDEX($F$3:$F$3000,_xlfn.AGGREGATE(15,3,($B$3:$B$3000=$AM$2)/($B$3:$B$3000=$AM$2)*(ROW($B$3:$B$3000)-ROW($B$2)),ROWS($AN$2:$AN307))),"")</f>
        <v/>
      </c>
      <c r="AO308" s="135" t="str" cm="1">
        <f t="array" ref="AO308">IF(ROWS($AN$2:$AN307)&lt;=$AN$2,INDEX($G$3:$G$3000,_xlfn.AGGREGATE(15,3,($B$3:$B$3000=$AM$2)/($B$3:$B$3000=$AM$2)*(ROW($B$3:$B$3000)-ROW($B$2)),ROWS($AN$2:$AN307))),"")</f>
        <v/>
      </c>
      <c r="AP308" s="121"/>
      <c r="AT308" s="111"/>
      <c r="AW308" s="134"/>
      <c r="AX308" s="136"/>
      <c r="AY308" s="134"/>
    </row>
    <row r="309" spans="1:51" s="110" customFormat="1" ht="20" customHeight="1">
      <c r="A309" s="125" t="s">
        <v>237</v>
      </c>
      <c r="B309" s="126" t="s">
        <v>60</v>
      </c>
      <c r="C309" s="127">
        <v>14593</v>
      </c>
      <c r="D309" s="145">
        <v>108445</v>
      </c>
      <c r="E309" s="146" t="s">
        <v>4504</v>
      </c>
      <c r="F309" s="146" t="s">
        <v>4504</v>
      </c>
      <c r="G309" s="147">
        <v>69000</v>
      </c>
      <c r="H309" s="147">
        <v>4</v>
      </c>
      <c r="I309" s="146" t="s">
        <v>209</v>
      </c>
      <c r="J309" s="146" t="s">
        <v>4505</v>
      </c>
      <c r="K309" s="146" t="s">
        <v>4506</v>
      </c>
      <c r="L309" s="147">
        <v>5</v>
      </c>
      <c r="M309" s="147">
        <v>1</v>
      </c>
      <c r="N309" s="146" t="s">
        <v>1544</v>
      </c>
      <c r="O309" s="147">
        <v>65</v>
      </c>
      <c r="P309" s="147">
        <v>5</v>
      </c>
      <c r="Q309" s="147">
        <v>17</v>
      </c>
      <c r="R309" s="146" t="s">
        <v>190</v>
      </c>
      <c r="S309" s="146" t="s">
        <v>191</v>
      </c>
      <c r="T309" s="147">
        <v>155</v>
      </c>
      <c r="U309" s="146" t="s">
        <v>192</v>
      </c>
      <c r="V309" s="146" t="s">
        <v>193</v>
      </c>
      <c r="W309" s="147">
        <v>1</v>
      </c>
      <c r="X309" s="147">
        <v>2</v>
      </c>
      <c r="Y309" s="146" t="s">
        <v>194</v>
      </c>
      <c r="Z309" s="146" t="s">
        <v>195</v>
      </c>
      <c r="AA309" s="146" t="s">
        <v>196</v>
      </c>
      <c r="AB309" s="146" t="s">
        <v>187</v>
      </c>
      <c r="AC309" s="146" t="s">
        <v>187</v>
      </c>
      <c r="AD309" s="148"/>
      <c r="AE309" s="146" t="s">
        <v>209</v>
      </c>
      <c r="AF309" s="147">
        <v>6.8305600000000002</v>
      </c>
      <c r="AG309" s="149">
        <v>116.72865</v>
      </c>
      <c r="AM309" s="133" t="str" cm="1">
        <f t="array" ref="AM309">IF(ROWS($AN$2:$AN308)&lt;=$AN$2,INDEX($V$3:$V$3000,_xlfn.AGGREGATE(15,3,($B$3:$B$3000=$AM$2)/($B$3:$B$3000=$AM$2)*(ROW($B$3:$B$3000)-ROW($B$2)),ROWS($AN$2:$AN308))),"")</f>
        <v/>
      </c>
      <c r="AN309" s="134" t="str" cm="1">
        <f t="array" ref="AN309">IF(ROWS($AN$2:$AN308)&lt;=$AN$2,INDEX($F$3:$F$3000,_xlfn.AGGREGATE(15,3,($B$3:$B$3000=$AM$2)/($B$3:$B$3000=$AM$2)*(ROW($B$3:$B$3000)-ROW($B$2)),ROWS($AN$2:$AN308))),"")</f>
        <v/>
      </c>
      <c r="AO309" s="135" t="str" cm="1">
        <f t="array" ref="AO309">IF(ROWS($AN$2:$AN308)&lt;=$AN$2,INDEX($G$3:$G$3000,_xlfn.AGGREGATE(15,3,($B$3:$B$3000=$AM$2)/($B$3:$B$3000=$AM$2)*(ROW($B$3:$B$3000)-ROW($B$2)),ROWS($AN$2:$AN308))),"")</f>
        <v/>
      </c>
      <c r="AP309" s="121"/>
      <c r="AT309" s="111"/>
      <c r="AW309" s="134"/>
      <c r="AX309" s="136"/>
      <c r="AY309" s="134"/>
    </row>
    <row r="310" spans="1:51" s="110" customFormat="1" ht="20" customHeight="1">
      <c r="A310" s="125" t="s">
        <v>237</v>
      </c>
      <c r="B310" s="126" t="s">
        <v>60</v>
      </c>
      <c r="C310" s="127">
        <v>15123</v>
      </c>
      <c r="D310" s="145">
        <v>109607</v>
      </c>
      <c r="E310" s="146" t="s">
        <v>4423</v>
      </c>
      <c r="F310" s="146" t="s">
        <v>4423</v>
      </c>
      <c r="G310" s="147">
        <v>50000</v>
      </c>
      <c r="H310" s="147">
        <v>4</v>
      </c>
      <c r="I310" s="146" t="s">
        <v>209</v>
      </c>
      <c r="J310" s="146" t="s">
        <v>1802</v>
      </c>
      <c r="K310" s="146" t="s">
        <v>1803</v>
      </c>
      <c r="L310" s="147">
        <v>5</v>
      </c>
      <c r="M310" s="147">
        <v>1</v>
      </c>
      <c r="N310" s="146" t="s">
        <v>1544</v>
      </c>
      <c r="O310" s="147">
        <v>40</v>
      </c>
      <c r="P310" s="147">
        <v>7</v>
      </c>
      <c r="Q310" s="147">
        <v>17</v>
      </c>
      <c r="R310" s="146" t="s">
        <v>190</v>
      </c>
      <c r="S310" s="146" t="s">
        <v>191</v>
      </c>
      <c r="T310" s="147">
        <v>155</v>
      </c>
      <c r="U310" s="146" t="s">
        <v>192</v>
      </c>
      <c r="V310" s="146" t="s">
        <v>193</v>
      </c>
      <c r="W310" s="147">
        <v>1</v>
      </c>
      <c r="X310" s="147">
        <v>2</v>
      </c>
      <c r="Y310" s="146" t="s">
        <v>194</v>
      </c>
      <c r="Z310" s="146" t="s">
        <v>195</v>
      </c>
      <c r="AA310" s="146" t="s">
        <v>196</v>
      </c>
      <c r="AB310" s="146" t="s">
        <v>187</v>
      </c>
      <c r="AC310" s="146" t="s">
        <v>187</v>
      </c>
      <c r="AD310" s="148"/>
      <c r="AE310" s="146" t="s">
        <v>209</v>
      </c>
      <c r="AF310" s="147">
        <v>5.3539168426881396</v>
      </c>
      <c r="AG310" s="149">
        <v>115.724806416383</v>
      </c>
      <c r="AM310" s="133" t="str" cm="1">
        <f t="array" ref="AM310">IF(ROWS($AN$2:$AN309)&lt;=$AN$2,INDEX($V$3:$V$3000,_xlfn.AGGREGATE(15,3,($B$3:$B$3000=$AM$2)/($B$3:$B$3000=$AM$2)*(ROW($B$3:$B$3000)-ROW($B$2)),ROWS($AN$2:$AN309))),"")</f>
        <v/>
      </c>
      <c r="AN310" s="134" t="str" cm="1">
        <f t="array" ref="AN310">IF(ROWS($AN$2:$AN309)&lt;=$AN$2,INDEX($F$3:$F$3000,_xlfn.AGGREGATE(15,3,($B$3:$B$3000=$AM$2)/($B$3:$B$3000=$AM$2)*(ROW($B$3:$B$3000)-ROW($B$2)),ROWS($AN$2:$AN309))),"")</f>
        <v/>
      </c>
      <c r="AO310" s="135" t="str" cm="1">
        <f t="array" ref="AO310">IF(ROWS($AN$2:$AN309)&lt;=$AN$2,INDEX($G$3:$G$3000,_xlfn.AGGREGATE(15,3,($B$3:$B$3000=$AM$2)/($B$3:$B$3000=$AM$2)*(ROW($B$3:$B$3000)-ROW($B$2)),ROWS($AN$2:$AN309))),"")</f>
        <v/>
      </c>
      <c r="AP310" s="121"/>
      <c r="AT310" s="111"/>
      <c r="AW310" s="134"/>
      <c r="AX310" s="136"/>
      <c r="AY310" s="134"/>
    </row>
    <row r="311" spans="1:51" s="110" customFormat="1" ht="20" customHeight="1">
      <c r="A311" s="125" t="s">
        <v>237</v>
      </c>
      <c r="B311" s="126" t="s">
        <v>60</v>
      </c>
      <c r="C311" s="127">
        <v>12625</v>
      </c>
      <c r="D311" s="145">
        <v>104840</v>
      </c>
      <c r="E311" s="146" t="s">
        <v>2168</v>
      </c>
      <c r="F311" s="146" t="s">
        <v>2168</v>
      </c>
      <c r="G311" s="147">
        <v>26000</v>
      </c>
      <c r="H311" s="147">
        <v>4</v>
      </c>
      <c r="I311" s="146" t="s">
        <v>209</v>
      </c>
      <c r="J311" s="146" t="s">
        <v>2169</v>
      </c>
      <c r="K311" s="146" t="s">
        <v>2170</v>
      </c>
      <c r="L311" s="147">
        <v>4</v>
      </c>
      <c r="M311" s="147">
        <v>1</v>
      </c>
      <c r="N311" s="146" t="s">
        <v>1544</v>
      </c>
      <c r="O311" s="147">
        <v>80</v>
      </c>
      <c r="P311" s="147">
        <v>6</v>
      </c>
      <c r="Q311" s="147">
        <v>17</v>
      </c>
      <c r="R311" s="146" t="s">
        <v>190</v>
      </c>
      <c r="S311" s="146" t="s">
        <v>191</v>
      </c>
      <c r="T311" s="147">
        <v>155</v>
      </c>
      <c r="U311" s="146" t="s">
        <v>192</v>
      </c>
      <c r="V311" s="146" t="s">
        <v>193</v>
      </c>
      <c r="W311" s="147">
        <v>2</v>
      </c>
      <c r="X311" s="147">
        <v>2</v>
      </c>
      <c r="Y311" s="146" t="s">
        <v>194</v>
      </c>
      <c r="Z311" s="146" t="s">
        <v>195</v>
      </c>
      <c r="AA311" s="146" t="s">
        <v>196</v>
      </c>
      <c r="AB311" s="146" t="s">
        <v>187</v>
      </c>
      <c r="AC311" s="146" t="s">
        <v>187</v>
      </c>
      <c r="AD311" s="148"/>
      <c r="AE311" s="146" t="s">
        <v>209</v>
      </c>
      <c r="AF311" s="147">
        <v>1.5656540000000001</v>
      </c>
      <c r="AG311" s="149">
        <v>114.48485700000001</v>
      </c>
      <c r="AM311" s="133" t="str" cm="1">
        <f t="array" ref="AM311">IF(ROWS($AN$2:$AN310)&lt;=$AN$2,INDEX($V$3:$V$3000,_xlfn.AGGREGATE(15,3,($B$3:$B$3000=$AM$2)/($B$3:$B$3000=$AM$2)*(ROW($B$3:$B$3000)-ROW($B$2)),ROWS($AN$2:$AN310))),"")</f>
        <v/>
      </c>
      <c r="AN311" s="134" t="str" cm="1">
        <f t="array" ref="AN311">IF(ROWS($AN$2:$AN310)&lt;=$AN$2,INDEX($F$3:$F$3000,_xlfn.AGGREGATE(15,3,($B$3:$B$3000=$AM$2)/($B$3:$B$3000=$AM$2)*(ROW($B$3:$B$3000)-ROW($B$2)),ROWS($AN$2:$AN310))),"")</f>
        <v/>
      </c>
      <c r="AO311" s="135" t="str" cm="1">
        <f t="array" ref="AO311">IF(ROWS($AN$2:$AN310)&lt;=$AN$2,INDEX($G$3:$G$3000,_xlfn.AGGREGATE(15,3,($B$3:$B$3000=$AM$2)/($B$3:$B$3000=$AM$2)*(ROW($B$3:$B$3000)-ROW($B$2)),ROWS($AN$2:$AN310))),"")</f>
        <v/>
      </c>
      <c r="AP311" s="121"/>
      <c r="AT311" s="111"/>
      <c r="AW311" s="134"/>
      <c r="AX311" s="136"/>
      <c r="AY311" s="134"/>
    </row>
    <row r="312" spans="1:51" s="110" customFormat="1" ht="20" customHeight="1">
      <c r="A312" s="125" t="s">
        <v>237</v>
      </c>
      <c r="B312" s="126" t="s">
        <v>60</v>
      </c>
      <c r="C312" s="127">
        <v>12690</v>
      </c>
      <c r="D312" s="145">
        <v>105007</v>
      </c>
      <c r="E312" s="146" t="s">
        <v>4154</v>
      </c>
      <c r="F312" s="146" t="s">
        <v>4155</v>
      </c>
      <c r="G312" s="147">
        <v>25000</v>
      </c>
      <c r="H312" s="147">
        <v>4</v>
      </c>
      <c r="I312" s="146" t="s">
        <v>209</v>
      </c>
      <c r="J312" s="146" t="s">
        <v>3166</v>
      </c>
      <c r="K312" s="146" t="s">
        <v>3167</v>
      </c>
      <c r="L312" s="147">
        <v>4</v>
      </c>
      <c r="M312" s="147">
        <v>1</v>
      </c>
      <c r="N312" s="146" t="s">
        <v>1544</v>
      </c>
      <c r="O312" s="147">
        <v>60</v>
      </c>
      <c r="P312" s="147">
        <v>4</v>
      </c>
      <c r="Q312" s="147">
        <v>17</v>
      </c>
      <c r="R312" s="146" t="s">
        <v>190</v>
      </c>
      <c r="S312" s="146" t="s">
        <v>191</v>
      </c>
      <c r="T312" s="147">
        <v>155</v>
      </c>
      <c r="U312" s="146" t="s">
        <v>192</v>
      </c>
      <c r="V312" s="146" t="s">
        <v>193</v>
      </c>
      <c r="W312" s="147">
        <v>1</v>
      </c>
      <c r="X312" s="147">
        <v>2</v>
      </c>
      <c r="Y312" s="146" t="s">
        <v>194</v>
      </c>
      <c r="Z312" s="146" t="s">
        <v>195</v>
      </c>
      <c r="AA312" s="146" t="s">
        <v>196</v>
      </c>
      <c r="AB312" s="146" t="s">
        <v>187</v>
      </c>
      <c r="AC312" s="146" t="s">
        <v>187</v>
      </c>
      <c r="AD312" s="148"/>
      <c r="AE312" s="146" t="s">
        <v>209</v>
      </c>
      <c r="AF312" s="147">
        <v>6.6198199997931502</v>
      </c>
      <c r="AG312" s="149">
        <v>116.959830000254</v>
      </c>
      <c r="AM312" s="133" t="str" cm="1">
        <f t="array" ref="AM312">IF(ROWS($AN$2:$AN311)&lt;=$AN$2,INDEX($V$3:$V$3000,_xlfn.AGGREGATE(15,3,($B$3:$B$3000=$AM$2)/($B$3:$B$3000=$AM$2)*(ROW($B$3:$B$3000)-ROW($B$2)),ROWS($AN$2:$AN311))),"")</f>
        <v/>
      </c>
      <c r="AN312" s="134" t="str" cm="1">
        <f t="array" ref="AN312">IF(ROWS($AN$2:$AN311)&lt;=$AN$2,INDEX($F$3:$F$3000,_xlfn.AGGREGATE(15,3,($B$3:$B$3000=$AM$2)/($B$3:$B$3000=$AM$2)*(ROW($B$3:$B$3000)-ROW($B$2)),ROWS($AN$2:$AN311))),"")</f>
        <v/>
      </c>
      <c r="AO312" s="135" t="str" cm="1">
        <f t="array" ref="AO312">IF(ROWS($AN$2:$AN311)&lt;=$AN$2,INDEX($G$3:$G$3000,_xlfn.AGGREGATE(15,3,($B$3:$B$3000=$AM$2)/($B$3:$B$3000=$AM$2)*(ROW($B$3:$B$3000)-ROW($B$2)),ROWS($AN$2:$AN311))),"")</f>
        <v/>
      </c>
      <c r="AP312" s="121"/>
      <c r="AT312" s="111"/>
      <c r="AW312" s="134"/>
      <c r="AX312" s="136"/>
      <c r="AY312" s="134"/>
    </row>
    <row r="313" spans="1:51" s="110" customFormat="1" ht="20" customHeight="1">
      <c r="A313" s="125" t="s">
        <v>237</v>
      </c>
      <c r="B313" s="126" t="s">
        <v>60</v>
      </c>
      <c r="C313" s="127">
        <v>11657</v>
      </c>
      <c r="D313" s="145">
        <v>102785</v>
      </c>
      <c r="E313" s="146" t="s">
        <v>4087</v>
      </c>
      <c r="F313" s="146" t="s">
        <v>4087</v>
      </c>
      <c r="G313" s="147">
        <v>22000</v>
      </c>
      <c r="H313" s="147">
        <v>4</v>
      </c>
      <c r="I313" s="146" t="s">
        <v>209</v>
      </c>
      <c r="J313" s="146" t="s">
        <v>1802</v>
      </c>
      <c r="K313" s="146" t="s">
        <v>1803</v>
      </c>
      <c r="L313" s="147">
        <v>5</v>
      </c>
      <c r="M313" s="147">
        <v>1</v>
      </c>
      <c r="N313" s="146" t="s">
        <v>1544</v>
      </c>
      <c r="O313" s="147">
        <v>65</v>
      </c>
      <c r="P313" s="147">
        <v>4</v>
      </c>
      <c r="Q313" s="147">
        <v>17</v>
      </c>
      <c r="R313" s="146" t="s">
        <v>190</v>
      </c>
      <c r="S313" s="146" t="s">
        <v>191</v>
      </c>
      <c r="T313" s="147">
        <v>155</v>
      </c>
      <c r="U313" s="146" t="s">
        <v>192</v>
      </c>
      <c r="V313" s="146" t="s">
        <v>193</v>
      </c>
      <c r="W313" s="147">
        <v>1</v>
      </c>
      <c r="X313" s="147">
        <v>2</v>
      </c>
      <c r="Y313" s="146" t="s">
        <v>194</v>
      </c>
      <c r="Z313" s="146" t="s">
        <v>195</v>
      </c>
      <c r="AA313" s="146" t="s">
        <v>196</v>
      </c>
      <c r="AB313" s="146" t="s">
        <v>187</v>
      </c>
      <c r="AC313" s="146" t="s">
        <v>187</v>
      </c>
      <c r="AD313" s="148"/>
      <c r="AE313" s="146" t="s">
        <v>209</v>
      </c>
      <c r="AF313" s="147">
        <v>5.6775700000000002</v>
      </c>
      <c r="AG313" s="149">
        <v>116.36711</v>
      </c>
      <c r="AM313" s="133" t="str" cm="1">
        <f t="array" ref="AM313">IF(ROWS($AN$2:$AN312)&lt;=$AN$2,INDEX($V$3:$V$3000,_xlfn.AGGREGATE(15,3,($B$3:$B$3000=$AM$2)/($B$3:$B$3000=$AM$2)*(ROW($B$3:$B$3000)-ROW($B$2)),ROWS($AN$2:$AN312))),"")</f>
        <v/>
      </c>
      <c r="AN313" s="134" t="str" cm="1">
        <f t="array" ref="AN313">IF(ROWS($AN$2:$AN312)&lt;=$AN$2,INDEX($F$3:$F$3000,_xlfn.AGGREGATE(15,3,($B$3:$B$3000=$AM$2)/($B$3:$B$3000=$AM$2)*(ROW($B$3:$B$3000)-ROW($B$2)),ROWS($AN$2:$AN312))),"")</f>
        <v/>
      </c>
      <c r="AO313" s="135" t="str" cm="1">
        <f t="array" ref="AO313">IF(ROWS($AN$2:$AN312)&lt;=$AN$2,INDEX($G$3:$G$3000,_xlfn.AGGREGATE(15,3,($B$3:$B$3000=$AM$2)/($B$3:$B$3000=$AM$2)*(ROW($B$3:$B$3000)-ROW($B$2)),ROWS($AN$2:$AN312))),"")</f>
        <v/>
      </c>
      <c r="AP313" s="121"/>
      <c r="AT313" s="111"/>
      <c r="AW313" s="134"/>
      <c r="AX313" s="136"/>
      <c r="AY313" s="134"/>
    </row>
    <row r="314" spans="1:51" s="110" customFormat="1" ht="20" customHeight="1">
      <c r="A314" s="125" t="s">
        <v>237</v>
      </c>
      <c r="B314" s="126" t="s">
        <v>60</v>
      </c>
      <c r="C314" s="127">
        <v>12622</v>
      </c>
      <c r="D314" s="145">
        <v>104838</v>
      </c>
      <c r="E314" s="146" t="s">
        <v>2665</v>
      </c>
      <c r="F314" s="146" t="s">
        <v>2665</v>
      </c>
      <c r="G314" s="147">
        <v>15000</v>
      </c>
      <c r="H314" s="147">
        <v>4</v>
      </c>
      <c r="I314" s="146" t="s">
        <v>209</v>
      </c>
      <c r="J314" s="146" t="s">
        <v>2169</v>
      </c>
      <c r="K314" s="146" t="s">
        <v>2170</v>
      </c>
      <c r="L314" s="147">
        <v>4</v>
      </c>
      <c r="M314" s="147">
        <v>1</v>
      </c>
      <c r="N314" s="146" t="s">
        <v>1544</v>
      </c>
      <c r="O314" s="147">
        <v>75</v>
      </c>
      <c r="P314" s="147">
        <v>6</v>
      </c>
      <c r="Q314" s="147">
        <v>17</v>
      </c>
      <c r="R314" s="146" t="s">
        <v>190</v>
      </c>
      <c r="S314" s="146" t="s">
        <v>191</v>
      </c>
      <c r="T314" s="147">
        <v>155</v>
      </c>
      <c r="U314" s="146" t="s">
        <v>192</v>
      </c>
      <c r="V314" s="146" t="s">
        <v>193</v>
      </c>
      <c r="W314" s="147">
        <v>2</v>
      </c>
      <c r="X314" s="147">
        <v>2</v>
      </c>
      <c r="Y314" s="146" t="s">
        <v>194</v>
      </c>
      <c r="Z314" s="146" t="s">
        <v>195</v>
      </c>
      <c r="AA314" s="146" t="s">
        <v>196</v>
      </c>
      <c r="AB314" s="146" t="s">
        <v>187</v>
      </c>
      <c r="AC314" s="146" t="s">
        <v>187</v>
      </c>
      <c r="AD314" s="148"/>
      <c r="AE314" s="146" t="s">
        <v>209</v>
      </c>
      <c r="AF314" s="147">
        <v>1.4843799998371301</v>
      </c>
      <c r="AG314" s="149">
        <v>114.535649999748</v>
      </c>
      <c r="AM314" s="133" t="str" cm="1">
        <f t="array" ref="AM314">IF(ROWS($AN$2:$AN313)&lt;=$AN$2,INDEX($V$3:$V$3000,_xlfn.AGGREGATE(15,3,($B$3:$B$3000=$AM$2)/($B$3:$B$3000=$AM$2)*(ROW($B$3:$B$3000)-ROW($B$2)),ROWS($AN$2:$AN313))),"")</f>
        <v/>
      </c>
      <c r="AN314" s="134" t="str" cm="1">
        <f t="array" ref="AN314">IF(ROWS($AN$2:$AN313)&lt;=$AN$2,INDEX($F$3:$F$3000,_xlfn.AGGREGATE(15,3,($B$3:$B$3000=$AM$2)/($B$3:$B$3000=$AM$2)*(ROW($B$3:$B$3000)-ROW($B$2)),ROWS($AN$2:$AN313))),"")</f>
        <v/>
      </c>
      <c r="AO314" s="135" t="str" cm="1">
        <f t="array" ref="AO314">IF(ROWS($AN$2:$AN313)&lt;=$AN$2,INDEX($G$3:$G$3000,_xlfn.AGGREGATE(15,3,($B$3:$B$3000=$AM$2)/($B$3:$B$3000=$AM$2)*(ROW($B$3:$B$3000)-ROW($B$2)),ROWS($AN$2:$AN313))),"")</f>
        <v/>
      </c>
      <c r="AP314" s="121"/>
      <c r="AT314" s="111"/>
      <c r="AW314" s="134"/>
      <c r="AX314" s="136"/>
      <c r="AY314" s="134"/>
    </row>
    <row r="315" spans="1:51" s="110" customFormat="1" ht="20" customHeight="1">
      <c r="A315" s="125" t="s">
        <v>237</v>
      </c>
      <c r="B315" s="126" t="s">
        <v>60</v>
      </c>
      <c r="C315" s="127">
        <v>12695</v>
      </c>
      <c r="D315" s="145">
        <v>105013</v>
      </c>
      <c r="E315" s="146" t="s">
        <v>2209</v>
      </c>
      <c r="F315" s="146" t="s">
        <v>2209</v>
      </c>
      <c r="G315" s="147">
        <v>14000</v>
      </c>
      <c r="H315" s="147">
        <v>4</v>
      </c>
      <c r="I315" s="146" t="s">
        <v>209</v>
      </c>
      <c r="J315" s="146" t="s">
        <v>2208</v>
      </c>
      <c r="K315" s="146" t="s">
        <v>2209</v>
      </c>
      <c r="L315" s="147">
        <v>3</v>
      </c>
      <c r="M315" s="147">
        <v>1</v>
      </c>
      <c r="N315" s="146" t="s">
        <v>1544</v>
      </c>
      <c r="O315" s="147">
        <v>50</v>
      </c>
      <c r="P315" s="147">
        <v>6</v>
      </c>
      <c r="Q315" s="147">
        <v>17</v>
      </c>
      <c r="R315" s="146" t="s">
        <v>190</v>
      </c>
      <c r="S315" s="146" t="s">
        <v>191</v>
      </c>
      <c r="T315" s="147">
        <v>155</v>
      </c>
      <c r="U315" s="146" t="s">
        <v>192</v>
      </c>
      <c r="V315" s="146" t="s">
        <v>193</v>
      </c>
      <c r="W315" s="147">
        <v>1</v>
      </c>
      <c r="X315" s="147">
        <v>2</v>
      </c>
      <c r="Y315" s="146" t="s">
        <v>194</v>
      </c>
      <c r="Z315" s="146" t="s">
        <v>195</v>
      </c>
      <c r="AA315" s="146" t="s">
        <v>196</v>
      </c>
      <c r="AB315" s="146" t="s">
        <v>187</v>
      </c>
      <c r="AC315" s="146" t="s">
        <v>187</v>
      </c>
      <c r="AD315" s="148"/>
      <c r="AE315" s="146" t="s">
        <v>209</v>
      </c>
      <c r="AF315" s="147">
        <v>5.4446295958791202</v>
      </c>
      <c r="AG315" s="149">
        <v>116.968587021874</v>
      </c>
      <c r="AM315" s="133" t="str" cm="1">
        <f t="array" ref="AM315">IF(ROWS($AN$2:$AN314)&lt;=$AN$2,INDEX($V$3:$V$3000,_xlfn.AGGREGATE(15,3,($B$3:$B$3000=$AM$2)/($B$3:$B$3000=$AM$2)*(ROW($B$3:$B$3000)-ROW($B$2)),ROWS($AN$2:$AN314))),"")</f>
        <v/>
      </c>
      <c r="AN315" s="134" t="str" cm="1">
        <f t="array" ref="AN315">IF(ROWS($AN$2:$AN314)&lt;=$AN$2,INDEX($F$3:$F$3000,_xlfn.AGGREGATE(15,3,($B$3:$B$3000=$AM$2)/($B$3:$B$3000=$AM$2)*(ROW($B$3:$B$3000)-ROW($B$2)),ROWS($AN$2:$AN314))),"")</f>
        <v/>
      </c>
      <c r="AO315" s="135" t="str" cm="1">
        <f t="array" ref="AO315">IF(ROWS($AN$2:$AN314)&lt;=$AN$2,INDEX($G$3:$G$3000,_xlfn.AGGREGATE(15,3,($B$3:$B$3000=$AM$2)/($B$3:$B$3000=$AM$2)*(ROW($B$3:$B$3000)-ROW($B$2)),ROWS($AN$2:$AN314))),"")</f>
        <v/>
      </c>
      <c r="AP315" s="121"/>
      <c r="AT315" s="111"/>
      <c r="AW315" s="134"/>
      <c r="AX315" s="136"/>
      <c r="AY315" s="134"/>
    </row>
    <row r="316" spans="1:51" s="110" customFormat="1" ht="20" customHeight="1">
      <c r="A316" s="125" t="s">
        <v>237</v>
      </c>
      <c r="B316" s="126" t="s">
        <v>60</v>
      </c>
      <c r="C316" s="127">
        <v>15492</v>
      </c>
      <c r="D316" s="145">
        <v>110065</v>
      </c>
      <c r="E316" s="146" t="s">
        <v>3636</v>
      </c>
      <c r="F316" s="146" t="s">
        <v>3636</v>
      </c>
      <c r="G316" s="147">
        <v>10000</v>
      </c>
      <c r="H316" s="147">
        <v>4</v>
      </c>
      <c r="I316" s="146" t="s">
        <v>209</v>
      </c>
      <c r="J316" s="146" t="s">
        <v>3637</v>
      </c>
      <c r="K316" s="146" t="s">
        <v>3638</v>
      </c>
      <c r="L316" s="147">
        <v>5</v>
      </c>
      <c r="M316" s="147">
        <v>1</v>
      </c>
      <c r="N316" s="146" t="s">
        <v>1544</v>
      </c>
      <c r="O316" s="147">
        <v>65</v>
      </c>
      <c r="P316" s="147">
        <v>4</v>
      </c>
      <c r="Q316" s="147">
        <v>17</v>
      </c>
      <c r="R316" s="146" t="s">
        <v>190</v>
      </c>
      <c r="S316" s="146" t="s">
        <v>191</v>
      </c>
      <c r="T316" s="147">
        <v>155</v>
      </c>
      <c r="U316" s="146" t="s">
        <v>192</v>
      </c>
      <c r="V316" s="146" t="s">
        <v>193</v>
      </c>
      <c r="W316" s="147">
        <v>1</v>
      </c>
      <c r="X316" s="147">
        <v>2</v>
      </c>
      <c r="Y316" s="146" t="s">
        <v>194</v>
      </c>
      <c r="Z316" s="146" t="s">
        <v>195</v>
      </c>
      <c r="AA316" s="146" t="s">
        <v>196</v>
      </c>
      <c r="AB316" s="146" t="s">
        <v>187</v>
      </c>
      <c r="AC316" s="146" t="s">
        <v>187</v>
      </c>
      <c r="AD316" s="148"/>
      <c r="AE316" s="146" t="s">
        <v>209</v>
      </c>
      <c r="AF316" s="147">
        <v>5.1510999999999996</v>
      </c>
      <c r="AG316" s="149">
        <v>115.93764</v>
      </c>
      <c r="AM316" s="133" t="str" cm="1">
        <f t="array" ref="AM316">IF(ROWS($AN$2:$AN315)&lt;=$AN$2,INDEX($V$3:$V$3000,_xlfn.AGGREGATE(15,3,($B$3:$B$3000=$AM$2)/($B$3:$B$3000=$AM$2)*(ROW($B$3:$B$3000)-ROW($B$2)),ROWS($AN$2:$AN315))),"")</f>
        <v/>
      </c>
      <c r="AN316" s="134" t="str" cm="1">
        <f t="array" ref="AN316">IF(ROWS($AN$2:$AN315)&lt;=$AN$2,INDEX($F$3:$F$3000,_xlfn.AGGREGATE(15,3,($B$3:$B$3000=$AM$2)/($B$3:$B$3000=$AM$2)*(ROW($B$3:$B$3000)-ROW($B$2)),ROWS($AN$2:$AN315))),"")</f>
        <v/>
      </c>
      <c r="AO316" s="135" t="str" cm="1">
        <f t="array" ref="AO316">IF(ROWS($AN$2:$AN315)&lt;=$AN$2,INDEX($G$3:$G$3000,_xlfn.AGGREGATE(15,3,($B$3:$B$3000=$AM$2)/($B$3:$B$3000=$AM$2)*(ROW($B$3:$B$3000)-ROW($B$2)),ROWS($AN$2:$AN315))),"")</f>
        <v/>
      </c>
      <c r="AP316" s="121"/>
      <c r="AT316" s="111"/>
      <c r="AW316" s="134"/>
      <c r="AX316" s="136"/>
      <c r="AY316" s="134"/>
    </row>
    <row r="317" spans="1:51" s="110" customFormat="1" ht="20" customHeight="1">
      <c r="A317" s="125" t="s">
        <v>237</v>
      </c>
      <c r="B317" s="126" t="s">
        <v>60</v>
      </c>
      <c r="C317" s="127">
        <v>12621</v>
      </c>
      <c r="D317" s="145">
        <v>104832</v>
      </c>
      <c r="E317" s="146" t="s">
        <v>3591</v>
      </c>
      <c r="F317" s="146" t="s">
        <v>3591</v>
      </c>
      <c r="G317" s="147">
        <v>9500</v>
      </c>
      <c r="H317" s="147">
        <v>4</v>
      </c>
      <c r="I317" s="146" t="s">
        <v>209</v>
      </c>
      <c r="J317" s="146" t="s">
        <v>3592</v>
      </c>
      <c r="K317" s="146" t="s">
        <v>3591</v>
      </c>
      <c r="L317" s="147">
        <v>4</v>
      </c>
      <c r="M317" s="147">
        <v>1</v>
      </c>
      <c r="N317" s="146" t="s">
        <v>1544</v>
      </c>
      <c r="O317" s="147">
        <v>55</v>
      </c>
      <c r="P317" s="147">
        <v>6</v>
      </c>
      <c r="Q317" s="147">
        <v>17</v>
      </c>
      <c r="R317" s="146" t="s">
        <v>190</v>
      </c>
      <c r="S317" s="146" t="s">
        <v>191</v>
      </c>
      <c r="T317" s="147">
        <v>155</v>
      </c>
      <c r="U317" s="146" t="s">
        <v>192</v>
      </c>
      <c r="V317" s="146" t="s">
        <v>193</v>
      </c>
      <c r="W317" s="147">
        <v>1</v>
      </c>
      <c r="X317" s="147">
        <v>2</v>
      </c>
      <c r="Y317" s="146" t="s">
        <v>194</v>
      </c>
      <c r="Z317" s="146" t="s">
        <v>195</v>
      </c>
      <c r="AA317" s="146" t="s">
        <v>196</v>
      </c>
      <c r="AB317" s="146" t="s">
        <v>187</v>
      </c>
      <c r="AC317" s="146" t="s">
        <v>187</v>
      </c>
      <c r="AD317" s="148"/>
      <c r="AE317" s="146" t="s">
        <v>209</v>
      </c>
      <c r="AF317" s="147">
        <v>5.4227200001278701</v>
      </c>
      <c r="AG317" s="149">
        <v>116.198430000344</v>
      </c>
      <c r="AM317" s="133" t="str" cm="1">
        <f t="array" ref="AM317">IF(ROWS($AN$2:$AN316)&lt;=$AN$2,INDEX($V$3:$V$3000,_xlfn.AGGREGATE(15,3,($B$3:$B$3000=$AM$2)/($B$3:$B$3000=$AM$2)*(ROW($B$3:$B$3000)-ROW($B$2)),ROWS($AN$2:$AN316))),"")</f>
        <v/>
      </c>
      <c r="AN317" s="134" t="str" cm="1">
        <f t="array" ref="AN317">IF(ROWS($AN$2:$AN316)&lt;=$AN$2,INDEX($F$3:$F$3000,_xlfn.AGGREGATE(15,3,($B$3:$B$3000=$AM$2)/($B$3:$B$3000=$AM$2)*(ROW($B$3:$B$3000)-ROW($B$2)),ROWS($AN$2:$AN316))),"")</f>
        <v/>
      </c>
      <c r="AO317" s="135" t="str" cm="1">
        <f t="array" ref="AO317">IF(ROWS($AN$2:$AN316)&lt;=$AN$2,INDEX($G$3:$G$3000,_xlfn.AGGREGATE(15,3,($B$3:$B$3000=$AM$2)/($B$3:$B$3000=$AM$2)*(ROW($B$3:$B$3000)-ROW($B$2)),ROWS($AN$2:$AN316))),"")</f>
        <v/>
      </c>
      <c r="AP317" s="121"/>
      <c r="AT317" s="111"/>
      <c r="AW317" s="134"/>
      <c r="AX317" s="136"/>
      <c r="AY317" s="134"/>
    </row>
    <row r="318" spans="1:51" s="110" customFormat="1" ht="20" customHeight="1">
      <c r="A318" s="125" t="s">
        <v>237</v>
      </c>
      <c r="B318" s="126" t="s">
        <v>60</v>
      </c>
      <c r="C318" s="127">
        <v>12442</v>
      </c>
      <c r="D318" s="145">
        <v>104450</v>
      </c>
      <c r="E318" s="146" t="s">
        <v>2166</v>
      </c>
      <c r="F318" s="146" t="s">
        <v>2166</v>
      </c>
      <c r="G318" s="147">
        <v>5600</v>
      </c>
      <c r="H318" s="147">
        <v>4</v>
      </c>
      <c r="I318" s="146" t="s">
        <v>209</v>
      </c>
      <c r="J318" s="146" t="s">
        <v>2167</v>
      </c>
      <c r="K318" s="146" t="s">
        <v>2166</v>
      </c>
      <c r="L318" s="147">
        <v>3</v>
      </c>
      <c r="M318" s="147">
        <v>1</v>
      </c>
      <c r="N318" s="146" t="s">
        <v>1544</v>
      </c>
      <c r="O318" s="147">
        <v>60</v>
      </c>
      <c r="P318" s="147">
        <v>5</v>
      </c>
      <c r="Q318" s="147">
        <v>17</v>
      </c>
      <c r="R318" s="146" t="s">
        <v>190</v>
      </c>
      <c r="S318" s="146" t="s">
        <v>191</v>
      </c>
      <c r="T318" s="147">
        <v>155</v>
      </c>
      <c r="U318" s="146" t="s">
        <v>192</v>
      </c>
      <c r="V318" s="146" t="s">
        <v>193</v>
      </c>
      <c r="W318" s="147">
        <v>2</v>
      </c>
      <c r="X318" s="147">
        <v>2</v>
      </c>
      <c r="Y318" s="146" t="s">
        <v>194</v>
      </c>
      <c r="Z318" s="146" t="s">
        <v>195</v>
      </c>
      <c r="AA318" s="146" t="s">
        <v>196</v>
      </c>
      <c r="AB318" s="146" t="s">
        <v>187</v>
      </c>
      <c r="AC318" s="146" t="s">
        <v>187</v>
      </c>
      <c r="AD318" s="148"/>
      <c r="AE318" s="146" t="s">
        <v>209</v>
      </c>
      <c r="AF318" s="147">
        <v>3.4202000003297099</v>
      </c>
      <c r="AG318" s="149">
        <v>115.270589999829</v>
      </c>
      <c r="AM318" s="133" t="str" cm="1">
        <f t="array" ref="AM318">IF(ROWS($AN$2:$AN317)&lt;=$AN$2,INDEX($V$3:$V$3000,_xlfn.AGGREGATE(15,3,($B$3:$B$3000=$AM$2)/($B$3:$B$3000=$AM$2)*(ROW($B$3:$B$3000)-ROW($B$2)),ROWS($AN$2:$AN317))),"")</f>
        <v/>
      </c>
      <c r="AN318" s="134" t="str" cm="1">
        <f t="array" ref="AN318">IF(ROWS($AN$2:$AN317)&lt;=$AN$2,INDEX($F$3:$F$3000,_xlfn.AGGREGATE(15,3,($B$3:$B$3000=$AM$2)/($B$3:$B$3000=$AM$2)*(ROW($B$3:$B$3000)-ROW($B$2)),ROWS($AN$2:$AN317))),"")</f>
        <v/>
      </c>
      <c r="AO318" s="135" t="str" cm="1">
        <f t="array" ref="AO318">IF(ROWS($AN$2:$AN317)&lt;=$AN$2,INDEX($G$3:$G$3000,_xlfn.AGGREGATE(15,3,($B$3:$B$3000=$AM$2)/($B$3:$B$3000=$AM$2)*(ROW($B$3:$B$3000)-ROW($B$2)),ROWS($AN$2:$AN317))),"")</f>
        <v/>
      </c>
      <c r="AP318" s="121"/>
      <c r="AT318" s="111"/>
      <c r="AW318" s="134"/>
      <c r="AX318" s="136"/>
      <c r="AY318" s="134"/>
    </row>
    <row r="319" spans="1:51" s="110" customFormat="1" ht="20" customHeight="1">
      <c r="A319" s="125" t="s">
        <v>237</v>
      </c>
      <c r="B319" s="126" t="s">
        <v>60</v>
      </c>
      <c r="C319" s="127">
        <v>15372</v>
      </c>
      <c r="D319" s="145">
        <v>110787</v>
      </c>
      <c r="E319" s="146" t="s">
        <v>2638</v>
      </c>
      <c r="F319" s="146" t="s">
        <v>2638</v>
      </c>
      <c r="G319" s="147">
        <v>3300</v>
      </c>
      <c r="H319" s="147">
        <v>4</v>
      </c>
      <c r="I319" s="146" t="s">
        <v>209</v>
      </c>
      <c r="J319" s="146" t="s">
        <v>2639</v>
      </c>
      <c r="K319" s="146" t="s">
        <v>2640</v>
      </c>
      <c r="L319" s="147">
        <v>1</v>
      </c>
      <c r="M319" s="147">
        <v>1</v>
      </c>
      <c r="N319" s="146" t="s">
        <v>1544</v>
      </c>
      <c r="O319" s="147">
        <v>60</v>
      </c>
      <c r="P319" s="147">
        <v>5</v>
      </c>
      <c r="Q319" s="147">
        <v>17</v>
      </c>
      <c r="R319" s="146" t="s">
        <v>190</v>
      </c>
      <c r="S319" s="146" t="s">
        <v>191</v>
      </c>
      <c r="T319" s="147">
        <v>155</v>
      </c>
      <c r="U319" s="146" t="s">
        <v>192</v>
      </c>
      <c r="V319" s="146" t="s">
        <v>193</v>
      </c>
      <c r="W319" s="147">
        <v>2</v>
      </c>
      <c r="X319" s="147">
        <v>2</v>
      </c>
      <c r="Y319" s="146" t="s">
        <v>194</v>
      </c>
      <c r="Z319" s="146" t="s">
        <v>195</v>
      </c>
      <c r="AA319" s="146" t="s">
        <v>196</v>
      </c>
      <c r="AB319" s="146" t="s">
        <v>187</v>
      </c>
      <c r="AC319" s="146" t="s">
        <v>187</v>
      </c>
      <c r="AD319" s="148"/>
      <c r="AE319" s="146" t="s">
        <v>209</v>
      </c>
      <c r="AF319" s="147">
        <v>2.08358</v>
      </c>
      <c r="AG319" s="149">
        <v>114.18885</v>
      </c>
      <c r="AM319" s="133" t="str" cm="1">
        <f t="array" ref="AM319">IF(ROWS($AN$2:$AN318)&lt;=$AN$2,INDEX($V$3:$V$3000,_xlfn.AGGREGATE(15,3,($B$3:$B$3000=$AM$2)/($B$3:$B$3000=$AM$2)*(ROW($B$3:$B$3000)-ROW($B$2)),ROWS($AN$2:$AN318))),"")</f>
        <v/>
      </c>
      <c r="AN319" s="134" t="str" cm="1">
        <f t="array" ref="AN319">IF(ROWS($AN$2:$AN318)&lt;=$AN$2,INDEX($F$3:$F$3000,_xlfn.AGGREGATE(15,3,($B$3:$B$3000=$AM$2)/($B$3:$B$3000=$AM$2)*(ROW($B$3:$B$3000)-ROW($B$2)),ROWS($AN$2:$AN318))),"")</f>
        <v/>
      </c>
      <c r="AO319" s="135" t="str" cm="1">
        <f t="array" ref="AO319">IF(ROWS($AN$2:$AN318)&lt;=$AN$2,INDEX($G$3:$G$3000,_xlfn.AGGREGATE(15,3,($B$3:$B$3000=$AM$2)/($B$3:$B$3000=$AM$2)*(ROW($B$3:$B$3000)-ROW($B$2)),ROWS($AN$2:$AN318))),"")</f>
        <v/>
      </c>
      <c r="AP319" s="121"/>
      <c r="AT319" s="111"/>
      <c r="AW319" s="134"/>
      <c r="AX319" s="136"/>
      <c r="AY319" s="134"/>
    </row>
    <row r="320" spans="1:51" s="110" customFormat="1" ht="20" customHeight="1">
      <c r="A320" s="125" t="s">
        <v>237</v>
      </c>
      <c r="B320" s="126" t="s">
        <v>60</v>
      </c>
      <c r="C320" s="127">
        <v>15639</v>
      </c>
      <c r="D320" s="145">
        <v>110281</v>
      </c>
      <c r="E320" s="146" t="s">
        <v>2820</v>
      </c>
      <c r="F320" s="146" t="s">
        <v>2820</v>
      </c>
      <c r="G320" s="147">
        <v>2500</v>
      </c>
      <c r="H320" s="147">
        <v>4</v>
      </c>
      <c r="I320" s="146" t="s">
        <v>209</v>
      </c>
      <c r="J320" s="146" t="s">
        <v>2821</v>
      </c>
      <c r="K320" s="146" t="s">
        <v>2822</v>
      </c>
      <c r="L320" s="147">
        <v>0</v>
      </c>
      <c r="M320" s="147">
        <v>1</v>
      </c>
      <c r="N320" s="146" t="s">
        <v>1544</v>
      </c>
      <c r="O320" s="147">
        <v>60</v>
      </c>
      <c r="P320" s="147">
        <v>4</v>
      </c>
      <c r="Q320" s="147">
        <v>17</v>
      </c>
      <c r="R320" s="146" t="s">
        <v>190</v>
      </c>
      <c r="S320" s="146" t="s">
        <v>191</v>
      </c>
      <c r="T320" s="147">
        <v>155</v>
      </c>
      <c r="U320" s="146" t="s">
        <v>192</v>
      </c>
      <c r="V320" s="146" t="s">
        <v>193</v>
      </c>
      <c r="W320" s="147">
        <v>1</v>
      </c>
      <c r="X320" s="147">
        <v>2</v>
      </c>
      <c r="Y320" s="146" t="s">
        <v>194</v>
      </c>
      <c r="Z320" s="146" t="s">
        <v>195</v>
      </c>
      <c r="AA320" s="146" t="s">
        <v>196</v>
      </c>
      <c r="AB320" s="146" t="s">
        <v>187</v>
      </c>
      <c r="AC320" s="146" t="s">
        <v>187</v>
      </c>
      <c r="AD320" s="148"/>
      <c r="AE320" s="146" t="s">
        <v>209</v>
      </c>
      <c r="AF320" s="147">
        <v>5.2845300000000002</v>
      </c>
      <c r="AG320" s="149">
        <v>116.53597000000001</v>
      </c>
      <c r="AM320" s="133" t="str" cm="1">
        <f t="array" ref="AM320">IF(ROWS($AN$2:$AN319)&lt;=$AN$2,INDEX($V$3:$V$3000,_xlfn.AGGREGATE(15,3,($B$3:$B$3000=$AM$2)/($B$3:$B$3000=$AM$2)*(ROW($B$3:$B$3000)-ROW($B$2)),ROWS($AN$2:$AN319))),"")</f>
        <v/>
      </c>
      <c r="AN320" s="134" t="str" cm="1">
        <f t="array" ref="AN320">IF(ROWS($AN$2:$AN319)&lt;=$AN$2,INDEX($F$3:$F$3000,_xlfn.AGGREGATE(15,3,($B$3:$B$3000=$AM$2)/($B$3:$B$3000=$AM$2)*(ROW($B$3:$B$3000)-ROW($B$2)),ROWS($AN$2:$AN319))),"")</f>
        <v/>
      </c>
      <c r="AO320" s="135" t="str" cm="1">
        <f t="array" ref="AO320">IF(ROWS($AN$2:$AN319)&lt;=$AN$2,INDEX($G$3:$G$3000,_xlfn.AGGREGATE(15,3,($B$3:$B$3000=$AM$2)/($B$3:$B$3000=$AM$2)*(ROW($B$3:$B$3000)-ROW($B$2)),ROWS($AN$2:$AN319))),"")</f>
        <v/>
      </c>
      <c r="AP320" s="121"/>
      <c r="AT320" s="111"/>
      <c r="AW320" s="134"/>
      <c r="AX320" s="136"/>
      <c r="AY320" s="134"/>
    </row>
    <row r="321" spans="1:51" s="110" customFormat="1" ht="20" customHeight="1">
      <c r="A321" s="125" t="s">
        <v>237</v>
      </c>
      <c r="B321" s="126" t="s">
        <v>60</v>
      </c>
      <c r="C321" s="127">
        <v>15661</v>
      </c>
      <c r="D321" s="145">
        <v>110323</v>
      </c>
      <c r="E321" s="146" t="s">
        <v>2582</v>
      </c>
      <c r="F321" s="146" t="s">
        <v>2583</v>
      </c>
      <c r="G321" s="147">
        <v>1600</v>
      </c>
      <c r="H321" s="147">
        <v>4</v>
      </c>
      <c r="I321" s="146" t="s">
        <v>209</v>
      </c>
      <c r="J321" s="146" t="s">
        <v>2584</v>
      </c>
      <c r="K321" s="146" t="s">
        <v>2585</v>
      </c>
      <c r="L321" s="147">
        <v>1</v>
      </c>
      <c r="M321" s="147">
        <v>1</v>
      </c>
      <c r="N321" s="146" t="s">
        <v>1544</v>
      </c>
      <c r="O321" s="147">
        <v>75</v>
      </c>
      <c r="P321" s="147">
        <v>6</v>
      </c>
      <c r="Q321" s="147">
        <v>17</v>
      </c>
      <c r="R321" s="146" t="s">
        <v>190</v>
      </c>
      <c r="S321" s="146" t="s">
        <v>191</v>
      </c>
      <c r="T321" s="147">
        <v>155</v>
      </c>
      <c r="U321" s="146" t="s">
        <v>192</v>
      </c>
      <c r="V321" s="146" t="s">
        <v>193</v>
      </c>
      <c r="W321" s="147">
        <v>1</v>
      </c>
      <c r="X321" s="147">
        <v>2</v>
      </c>
      <c r="Y321" s="146" t="s">
        <v>194</v>
      </c>
      <c r="Z321" s="146" t="s">
        <v>195</v>
      </c>
      <c r="AA321" s="146" t="s">
        <v>196</v>
      </c>
      <c r="AB321" s="146" t="s">
        <v>187</v>
      </c>
      <c r="AC321" s="146" t="s">
        <v>187</v>
      </c>
      <c r="AD321" s="148"/>
      <c r="AE321" s="146" t="s">
        <v>209</v>
      </c>
      <c r="AF321" s="147">
        <v>3.8641700000000001</v>
      </c>
      <c r="AG321" s="149">
        <v>114.63079999999999</v>
      </c>
      <c r="AM321" s="133" t="str" cm="1">
        <f t="array" ref="AM321">IF(ROWS($AN$2:$AN320)&lt;=$AN$2,INDEX($V$3:$V$3000,_xlfn.AGGREGATE(15,3,($B$3:$B$3000=$AM$2)/($B$3:$B$3000=$AM$2)*(ROW($B$3:$B$3000)-ROW($B$2)),ROWS($AN$2:$AN320))),"")</f>
        <v/>
      </c>
      <c r="AN321" s="134" t="str" cm="1">
        <f t="array" ref="AN321">IF(ROWS($AN$2:$AN320)&lt;=$AN$2,INDEX($F$3:$F$3000,_xlfn.AGGREGATE(15,3,($B$3:$B$3000=$AM$2)/($B$3:$B$3000=$AM$2)*(ROW($B$3:$B$3000)-ROW($B$2)),ROWS($AN$2:$AN320))),"")</f>
        <v/>
      </c>
      <c r="AO321" s="135" t="str" cm="1">
        <f t="array" ref="AO321">IF(ROWS($AN$2:$AN320)&lt;=$AN$2,INDEX($G$3:$G$3000,_xlfn.AGGREGATE(15,3,($B$3:$B$3000=$AM$2)/($B$3:$B$3000=$AM$2)*(ROW($B$3:$B$3000)-ROW($B$2)),ROWS($AN$2:$AN320))),"")</f>
        <v/>
      </c>
      <c r="AP321" s="121"/>
      <c r="AT321" s="111"/>
      <c r="AW321" s="134"/>
      <c r="AX321" s="136"/>
      <c r="AY321" s="134"/>
    </row>
    <row r="322" spans="1:51" s="110" customFormat="1" ht="20" customHeight="1">
      <c r="A322" s="125" t="s">
        <v>237</v>
      </c>
      <c r="B322" s="126" t="s">
        <v>60</v>
      </c>
      <c r="C322" s="127">
        <v>12626</v>
      </c>
      <c r="D322" s="145">
        <v>104841</v>
      </c>
      <c r="E322" s="146" t="s">
        <v>2428</v>
      </c>
      <c r="F322" s="146" t="s">
        <v>2428</v>
      </c>
      <c r="G322" s="147">
        <v>1200</v>
      </c>
      <c r="H322" s="147">
        <v>4</v>
      </c>
      <c r="I322" s="146" t="s">
        <v>209</v>
      </c>
      <c r="J322" s="146" t="s">
        <v>2429</v>
      </c>
      <c r="K322" s="146" t="s">
        <v>2428</v>
      </c>
      <c r="L322" s="147">
        <v>4</v>
      </c>
      <c r="M322" s="147">
        <v>1</v>
      </c>
      <c r="N322" s="146" t="s">
        <v>1544</v>
      </c>
      <c r="O322" s="147">
        <v>72</v>
      </c>
      <c r="P322" s="147">
        <v>4</v>
      </c>
      <c r="Q322" s="147">
        <v>17</v>
      </c>
      <c r="R322" s="146" t="s">
        <v>190</v>
      </c>
      <c r="S322" s="146" t="s">
        <v>191</v>
      </c>
      <c r="T322" s="147">
        <v>155</v>
      </c>
      <c r="U322" s="146" t="s">
        <v>192</v>
      </c>
      <c r="V322" s="146" t="s">
        <v>193</v>
      </c>
      <c r="W322" s="147">
        <v>2</v>
      </c>
      <c r="X322" s="147">
        <v>2</v>
      </c>
      <c r="Y322" s="146" t="s">
        <v>194</v>
      </c>
      <c r="Z322" s="146" t="s">
        <v>195</v>
      </c>
      <c r="AA322" s="146" t="s">
        <v>196</v>
      </c>
      <c r="AB322" s="146" t="s">
        <v>187</v>
      </c>
      <c r="AC322" s="146" t="s">
        <v>209</v>
      </c>
      <c r="AD322" s="148"/>
      <c r="AE322" s="146" t="s">
        <v>209</v>
      </c>
      <c r="AF322" s="147">
        <v>2.7837619999999998</v>
      </c>
      <c r="AG322" s="149">
        <v>113.425864</v>
      </c>
      <c r="AM322" s="133" t="str" cm="1">
        <f t="array" ref="AM322">IF(ROWS($AN$2:$AN321)&lt;=$AN$2,INDEX($V$3:$V$3000,_xlfn.AGGREGATE(15,3,($B$3:$B$3000=$AM$2)/($B$3:$B$3000=$AM$2)*(ROW($B$3:$B$3000)-ROW($B$2)),ROWS($AN$2:$AN321))),"")</f>
        <v/>
      </c>
      <c r="AN322" s="134" t="str" cm="1">
        <f t="array" ref="AN322">IF(ROWS($AN$2:$AN321)&lt;=$AN$2,INDEX($F$3:$F$3000,_xlfn.AGGREGATE(15,3,($B$3:$B$3000=$AM$2)/($B$3:$B$3000=$AM$2)*(ROW($B$3:$B$3000)-ROW($B$2)),ROWS($AN$2:$AN321))),"")</f>
        <v/>
      </c>
      <c r="AO322" s="135" t="str" cm="1">
        <f t="array" ref="AO322">IF(ROWS($AN$2:$AN321)&lt;=$AN$2,INDEX($G$3:$G$3000,_xlfn.AGGREGATE(15,3,($B$3:$B$3000=$AM$2)/($B$3:$B$3000=$AM$2)*(ROW($B$3:$B$3000)-ROW($B$2)),ROWS($AN$2:$AN321))),"")</f>
        <v/>
      </c>
      <c r="AP322" s="121"/>
      <c r="AT322" s="111"/>
      <c r="AW322" s="134"/>
      <c r="AX322" s="136"/>
      <c r="AY322" s="134"/>
    </row>
    <row r="323" spans="1:51" s="110" customFormat="1" ht="20" customHeight="1">
      <c r="A323" s="125" t="s">
        <v>237</v>
      </c>
      <c r="B323" s="126" t="s">
        <v>60</v>
      </c>
      <c r="C323" s="127">
        <v>14186</v>
      </c>
      <c r="D323" s="145">
        <v>109021</v>
      </c>
      <c r="E323" s="146" t="s">
        <v>2280</v>
      </c>
      <c r="F323" s="146" t="s">
        <v>2280</v>
      </c>
      <c r="G323" s="147">
        <v>900</v>
      </c>
      <c r="H323" s="147">
        <v>4</v>
      </c>
      <c r="I323" s="146" t="s">
        <v>209</v>
      </c>
      <c r="J323" s="146" t="s">
        <v>2208</v>
      </c>
      <c r="K323" s="146" t="s">
        <v>2209</v>
      </c>
      <c r="L323" s="147">
        <v>3</v>
      </c>
      <c r="M323" s="147">
        <v>1</v>
      </c>
      <c r="N323" s="146" t="s">
        <v>1544</v>
      </c>
      <c r="O323" s="147">
        <v>42</v>
      </c>
      <c r="P323" s="147">
        <v>6</v>
      </c>
      <c r="Q323" s="147">
        <v>17</v>
      </c>
      <c r="R323" s="146" t="s">
        <v>190</v>
      </c>
      <c r="S323" s="146" t="s">
        <v>191</v>
      </c>
      <c r="T323" s="147">
        <v>155</v>
      </c>
      <c r="U323" s="146" t="s">
        <v>192</v>
      </c>
      <c r="V323" s="146" t="s">
        <v>193</v>
      </c>
      <c r="W323" s="147">
        <v>1</v>
      </c>
      <c r="X323" s="147">
        <v>2</v>
      </c>
      <c r="Y323" s="146" t="s">
        <v>194</v>
      </c>
      <c r="Z323" s="146" t="s">
        <v>195</v>
      </c>
      <c r="AA323" s="146" t="s">
        <v>196</v>
      </c>
      <c r="AB323" s="146" t="s">
        <v>187</v>
      </c>
      <c r="AC323" s="146" t="s">
        <v>187</v>
      </c>
      <c r="AD323" s="148"/>
      <c r="AE323" s="146" t="s">
        <v>209</v>
      </c>
      <c r="AF323" s="147">
        <v>5.0312226906746096</v>
      </c>
      <c r="AG323" s="149">
        <v>118.316284504726</v>
      </c>
      <c r="AM323" s="133" t="str" cm="1">
        <f t="array" ref="AM323">IF(ROWS($AN$2:$AN322)&lt;=$AN$2,INDEX($V$3:$V$3000,_xlfn.AGGREGATE(15,3,($B$3:$B$3000=$AM$2)/($B$3:$B$3000=$AM$2)*(ROW($B$3:$B$3000)-ROW($B$2)),ROWS($AN$2:$AN322))),"")</f>
        <v/>
      </c>
      <c r="AN323" s="134" t="str" cm="1">
        <f t="array" ref="AN323">IF(ROWS($AN$2:$AN322)&lt;=$AN$2,INDEX($F$3:$F$3000,_xlfn.AGGREGATE(15,3,($B$3:$B$3000=$AM$2)/($B$3:$B$3000=$AM$2)*(ROW($B$3:$B$3000)-ROW($B$2)),ROWS($AN$2:$AN322))),"")</f>
        <v/>
      </c>
      <c r="AO323" s="135" t="str" cm="1">
        <f t="array" ref="AO323">IF(ROWS($AN$2:$AN322)&lt;=$AN$2,INDEX($G$3:$G$3000,_xlfn.AGGREGATE(15,3,($B$3:$B$3000=$AM$2)/($B$3:$B$3000=$AM$2)*(ROW($B$3:$B$3000)-ROW($B$2)),ROWS($AN$2:$AN322))),"")</f>
        <v/>
      </c>
      <c r="AP323" s="121"/>
      <c r="AT323" s="111"/>
      <c r="AW323" s="134"/>
      <c r="AX323" s="136"/>
      <c r="AY323" s="134"/>
    </row>
    <row r="324" spans="1:51" s="110" customFormat="1" ht="20" customHeight="1">
      <c r="A324" s="125" t="s">
        <v>237</v>
      </c>
      <c r="B324" s="126" t="s">
        <v>60</v>
      </c>
      <c r="C324" s="127">
        <v>11651</v>
      </c>
      <c r="D324" s="145">
        <v>102779</v>
      </c>
      <c r="E324" s="146" t="s">
        <v>2207</v>
      </c>
      <c r="F324" s="146" t="s">
        <v>2207</v>
      </c>
      <c r="G324" s="147">
        <v>800</v>
      </c>
      <c r="H324" s="147">
        <v>4</v>
      </c>
      <c r="I324" s="146" t="s">
        <v>209</v>
      </c>
      <c r="J324" s="146" t="s">
        <v>2208</v>
      </c>
      <c r="K324" s="146" t="s">
        <v>2209</v>
      </c>
      <c r="L324" s="147">
        <v>3</v>
      </c>
      <c r="M324" s="147">
        <v>1</v>
      </c>
      <c r="N324" s="146" t="s">
        <v>1544</v>
      </c>
      <c r="O324" s="147">
        <v>70</v>
      </c>
      <c r="P324" s="147">
        <v>4</v>
      </c>
      <c r="Q324" s="147">
        <v>17</v>
      </c>
      <c r="R324" s="146" t="s">
        <v>190</v>
      </c>
      <c r="S324" s="146" t="s">
        <v>191</v>
      </c>
      <c r="T324" s="147">
        <v>155</v>
      </c>
      <c r="U324" s="146" t="s">
        <v>192</v>
      </c>
      <c r="V324" s="146" t="s">
        <v>193</v>
      </c>
      <c r="W324" s="147">
        <v>1</v>
      </c>
      <c r="X324" s="147">
        <v>2</v>
      </c>
      <c r="Y324" s="146" t="s">
        <v>194</v>
      </c>
      <c r="Z324" s="146" t="s">
        <v>195</v>
      </c>
      <c r="AA324" s="146" t="s">
        <v>196</v>
      </c>
      <c r="AB324" s="146" t="s">
        <v>187</v>
      </c>
      <c r="AC324" s="146" t="s">
        <v>187</v>
      </c>
      <c r="AD324" s="148"/>
      <c r="AE324" s="146" t="s">
        <v>209</v>
      </c>
      <c r="AF324" s="147">
        <v>5.3132610632474702</v>
      </c>
      <c r="AG324" s="149">
        <v>116.935649005697</v>
      </c>
      <c r="AM324" s="133" t="str" cm="1">
        <f t="array" ref="AM324">IF(ROWS($AN$2:$AN323)&lt;=$AN$2,INDEX($V$3:$V$3000,_xlfn.AGGREGATE(15,3,($B$3:$B$3000=$AM$2)/($B$3:$B$3000=$AM$2)*(ROW($B$3:$B$3000)-ROW($B$2)),ROWS($AN$2:$AN323))),"")</f>
        <v/>
      </c>
      <c r="AN324" s="134" t="str" cm="1">
        <f t="array" ref="AN324">IF(ROWS($AN$2:$AN323)&lt;=$AN$2,INDEX($F$3:$F$3000,_xlfn.AGGREGATE(15,3,($B$3:$B$3000=$AM$2)/($B$3:$B$3000=$AM$2)*(ROW($B$3:$B$3000)-ROW($B$2)),ROWS($AN$2:$AN323))),"")</f>
        <v/>
      </c>
      <c r="AO324" s="135" t="str" cm="1">
        <f t="array" ref="AO324">IF(ROWS($AN$2:$AN323)&lt;=$AN$2,INDEX($G$3:$G$3000,_xlfn.AGGREGATE(15,3,($B$3:$B$3000=$AM$2)/($B$3:$B$3000=$AM$2)*(ROW($B$3:$B$3000)-ROW($B$2)),ROWS($AN$2:$AN323))),"")</f>
        <v/>
      </c>
      <c r="AP324" s="121"/>
      <c r="AT324" s="111"/>
      <c r="AW324" s="134"/>
      <c r="AX324" s="136"/>
      <c r="AY324" s="134"/>
    </row>
    <row r="325" spans="1:51" s="110" customFormat="1" ht="20" customHeight="1">
      <c r="A325" s="125" t="s">
        <v>237</v>
      </c>
      <c r="B325" s="126" t="s">
        <v>60</v>
      </c>
      <c r="C325" s="127">
        <v>10768</v>
      </c>
      <c r="D325" s="145">
        <v>101213</v>
      </c>
      <c r="E325" s="146" t="s">
        <v>1889</v>
      </c>
      <c r="F325" s="146" t="s">
        <v>1890</v>
      </c>
      <c r="G325" s="147">
        <v>400</v>
      </c>
      <c r="H325" s="147">
        <v>4</v>
      </c>
      <c r="I325" s="146" t="s">
        <v>209</v>
      </c>
      <c r="J325" s="146" t="s">
        <v>1891</v>
      </c>
      <c r="K325" s="146" t="s">
        <v>1892</v>
      </c>
      <c r="L325" s="147">
        <v>0</v>
      </c>
      <c r="M325" s="147">
        <v>1</v>
      </c>
      <c r="N325" s="146" t="s">
        <v>1544</v>
      </c>
      <c r="O325" s="147">
        <v>70</v>
      </c>
      <c r="P325" s="147">
        <v>6</v>
      </c>
      <c r="Q325" s="147">
        <v>17</v>
      </c>
      <c r="R325" s="146" t="s">
        <v>190</v>
      </c>
      <c r="S325" s="146" t="s">
        <v>191</v>
      </c>
      <c r="T325" s="147">
        <v>155</v>
      </c>
      <c r="U325" s="146" t="s">
        <v>192</v>
      </c>
      <c r="V325" s="146" t="s">
        <v>193</v>
      </c>
      <c r="W325" s="147">
        <v>2</v>
      </c>
      <c r="X325" s="147">
        <v>2</v>
      </c>
      <c r="Y325" s="146" t="s">
        <v>194</v>
      </c>
      <c r="Z325" s="146" t="s">
        <v>195</v>
      </c>
      <c r="AA325" s="146" t="s">
        <v>196</v>
      </c>
      <c r="AB325" s="146" t="s">
        <v>187</v>
      </c>
      <c r="AC325" s="146" t="s">
        <v>187</v>
      </c>
      <c r="AD325" s="148"/>
      <c r="AE325" s="146" t="s">
        <v>209</v>
      </c>
      <c r="AF325" s="147">
        <v>2.2889900000000001</v>
      </c>
      <c r="AG325" s="149">
        <v>114.62833000000001</v>
      </c>
      <c r="AM325" s="133" t="str" cm="1">
        <f t="array" ref="AM325">IF(ROWS($AN$2:$AN324)&lt;=$AN$2,INDEX($V$3:$V$3000,_xlfn.AGGREGATE(15,3,($B$3:$B$3000=$AM$2)/($B$3:$B$3000=$AM$2)*(ROW($B$3:$B$3000)-ROW($B$2)),ROWS($AN$2:$AN324))),"")</f>
        <v/>
      </c>
      <c r="AN325" s="134" t="str" cm="1">
        <f t="array" ref="AN325">IF(ROWS($AN$2:$AN324)&lt;=$AN$2,INDEX($F$3:$F$3000,_xlfn.AGGREGATE(15,3,($B$3:$B$3000=$AM$2)/($B$3:$B$3000=$AM$2)*(ROW($B$3:$B$3000)-ROW($B$2)),ROWS($AN$2:$AN324))),"")</f>
        <v/>
      </c>
      <c r="AO325" s="135" t="str" cm="1">
        <f t="array" ref="AO325">IF(ROWS($AN$2:$AN324)&lt;=$AN$2,INDEX($G$3:$G$3000,_xlfn.AGGREGATE(15,3,($B$3:$B$3000=$AM$2)/($B$3:$B$3000=$AM$2)*(ROW($B$3:$B$3000)-ROW($B$2)),ROWS($AN$2:$AN324))),"")</f>
        <v/>
      </c>
      <c r="AP325" s="121"/>
      <c r="AT325" s="111"/>
      <c r="AW325" s="134"/>
      <c r="AX325" s="136"/>
      <c r="AY325" s="134"/>
    </row>
    <row r="326" spans="1:51" s="110" customFormat="1" ht="20" customHeight="1">
      <c r="A326" s="125" t="s">
        <v>237</v>
      </c>
      <c r="B326" s="126" t="s">
        <v>60</v>
      </c>
      <c r="C326" s="127">
        <v>11256</v>
      </c>
      <c r="D326" s="145">
        <v>105328</v>
      </c>
      <c r="E326" s="146" t="s">
        <v>1801</v>
      </c>
      <c r="F326" s="146" t="s">
        <v>1801</v>
      </c>
      <c r="G326" s="147">
        <v>300</v>
      </c>
      <c r="H326" s="147">
        <v>4</v>
      </c>
      <c r="I326" s="146" t="s">
        <v>209</v>
      </c>
      <c r="J326" s="146" t="s">
        <v>1802</v>
      </c>
      <c r="K326" s="146" t="s">
        <v>1803</v>
      </c>
      <c r="L326" s="147">
        <v>5</v>
      </c>
      <c r="M326" s="147">
        <v>1</v>
      </c>
      <c r="N326" s="146" t="s">
        <v>1544</v>
      </c>
      <c r="O326" s="147">
        <v>70</v>
      </c>
      <c r="P326" s="147">
        <v>4</v>
      </c>
      <c r="Q326" s="147">
        <v>17</v>
      </c>
      <c r="R326" s="146" t="s">
        <v>190</v>
      </c>
      <c r="S326" s="146" t="s">
        <v>191</v>
      </c>
      <c r="T326" s="147">
        <v>155</v>
      </c>
      <c r="U326" s="146" t="s">
        <v>192</v>
      </c>
      <c r="V326" s="146" t="s">
        <v>193</v>
      </c>
      <c r="W326" s="147">
        <v>1</v>
      </c>
      <c r="X326" s="147">
        <v>2</v>
      </c>
      <c r="Y326" s="146" t="s">
        <v>194</v>
      </c>
      <c r="Z326" s="146" t="s">
        <v>195</v>
      </c>
      <c r="AA326" s="146" t="s">
        <v>196</v>
      </c>
      <c r="AB326" s="146" t="s">
        <v>187</v>
      </c>
      <c r="AC326" s="146" t="s">
        <v>187</v>
      </c>
      <c r="AD326" s="148"/>
      <c r="AE326" s="146" t="s">
        <v>209</v>
      </c>
      <c r="AF326" s="147">
        <v>6.0299800000000001</v>
      </c>
      <c r="AG326" s="149">
        <v>116.68089000000001</v>
      </c>
      <c r="AM326" s="133" t="str" cm="1">
        <f t="array" ref="AM326">IF(ROWS($AN$2:$AN325)&lt;=$AN$2,INDEX($V$3:$V$3000,_xlfn.AGGREGATE(15,3,($B$3:$B$3000=$AM$2)/($B$3:$B$3000=$AM$2)*(ROW($B$3:$B$3000)-ROW($B$2)),ROWS($AN$2:$AN325))),"")</f>
        <v/>
      </c>
      <c r="AN326" s="134" t="str" cm="1">
        <f t="array" ref="AN326">IF(ROWS($AN$2:$AN325)&lt;=$AN$2,INDEX($F$3:$F$3000,_xlfn.AGGREGATE(15,3,($B$3:$B$3000=$AM$2)/($B$3:$B$3000=$AM$2)*(ROW($B$3:$B$3000)-ROW($B$2)),ROWS($AN$2:$AN325))),"")</f>
        <v/>
      </c>
      <c r="AO326" s="135" t="str" cm="1">
        <f t="array" ref="AO326">IF(ROWS($AN$2:$AN325)&lt;=$AN$2,INDEX($G$3:$G$3000,_xlfn.AGGREGATE(15,3,($B$3:$B$3000=$AM$2)/($B$3:$B$3000=$AM$2)*(ROW($B$3:$B$3000)-ROW($B$2)),ROWS($AN$2:$AN325))),"")</f>
        <v/>
      </c>
      <c r="AP326" s="121"/>
      <c r="AT326" s="111"/>
      <c r="AW326" s="134"/>
      <c r="AX326" s="136"/>
      <c r="AY326" s="134"/>
    </row>
    <row r="327" spans="1:51" s="110" customFormat="1" ht="20" customHeight="1">
      <c r="A327" s="125" t="s">
        <v>237</v>
      </c>
      <c r="B327" s="126" t="s">
        <v>60</v>
      </c>
      <c r="C327" s="127">
        <v>15174</v>
      </c>
      <c r="D327" s="128">
        <v>109691</v>
      </c>
      <c r="E327" s="129" t="s">
        <v>2716</v>
      </c>
      <c r="F327" s="129" t="s">
        <v>2716</v>
      </c>
      <c r="G327" s="130">
        <v>52000</v>
      </c>
      <c r="H327" s="130">
        <v>5</v>
      </c>
      <c r="I327" s="129" t="s">
        <v>209</v>
      </c>
      <c r="J327" s="129" t="s">
        <v>2717</v>
      </c>
      <c r="K327" s="129" t="s">
        <v>2718</v>
      </c>
      <c r="L327" s="130">
        <v>5</v>
      </c>
      <c r="M327" s="130">
        <v>1</v>
      </c>
      <c r="N327" s="129" t="s">
        <v>1544</v>
      </c>
      <c r="O327" s="130">
        <v>70</v>
      </c>
      <c r="P327" s="130">
        <v>12</v>
      </c>
      <c r="Q327" s="130">
        <v>17</v>
      </c>
      <c r="R327" s="129" t="s">
        <v>190</v>
      </c>
      <c r="S327" s="129" t="s">
        <v>191</v>
      </c>
      <c r="T327" s="130">
        <v>155</v>
      </c>
      <c r="U327" s="129" t="s">
        <v>192</v>
      </c>
      <c r="V327" s="129" t="s">
        <v>193</v>
      </c>
      <c r="W327" s="130">
        <v>2</v>
      </c>
      <c r="X327" s="130">
        <v>2</v>
      </c>
      <c r="Y327" s="129" t="s">
        <v>194</v>
      </c>
      <c r="Z327" s="129" t="s">
        <v>195</v>
      </c>
      <c r="AA327" s="129" t="s">
        <v>196</v>
      </c>
      <c r="AB327" s="129" t="s">
        <v>187</v>
      </c>
      <c r="AC327" s="129" t="s">
        <v>187</v>
      </c>
      <c r="AD327" s="131"/>
      <c r="AE327" s="129" t="s">
        <v>209</v>
      </c>
      <c r="AF327" s="130">
        <v>4.6672399999999996</v>
      </c>
      <c r="AG327" s="132">
        <v>116.13955</v>
      </c>
      <c r="AM327" s="133" t="str" cm="1">
        <f t="array" ref="AM327">IF(ROWS($AN$2:$AN326)&lt;=$AN$2,INDEX($V$3:$V$3000,_xlfn.AGGREGATE(15,3,($B$3:$B$3000=$AM$2)/($B$3:$B$3000=$AM$2)*(ROW($B$3:$B$3000)-ROW($B$2)),ROWS($AN$2:$AN326))),"")</f>
        <v/>
      </c>
      <c r="AN327" s="134" t="str" cm="1">
        <f t="array" ref="AN327">IF(ROWS($AN$2:$AN326)&lt;=$AN$2,INDEX($F$3:$F$3000,_xlfn.AGGREGATE(15,3,($B$3:$B$3000=$AM$2)/($B$3:$B$3000=$AM$2)*(ROW($B$3:$B$3000)-ROW($B$2)),ROWS($AN$2:$AN326))),"")</f>
        <v/>
      </c>
      <c r="AO327" s="135" t="str" cm="1">
        <f t="array" ref="AO327">IF(ROWS($AN$2:$AN326)&lt;=$AN$2,INDEX($G$3:$G$3000,_xlfn.AGGREGATE(15,3,($B$3:$B$3000=$AM$2)/($B$3:$B$3000=$AM$2)*(ROW($B$3:$B$3000)-ROW($B$2)),ROWS($AN$2:$AN326))),"")</f>
        <v/>
      </c>
      <c r="AP327" s="121"/>
      <c r="AT327" s="111"/>
      <c r="AW327" s="134"/>
      <c r="AX327" s="136"/>
      <c r="AY327" s="134"/>
    </row>
    <row r="328" spans="1:51" s="110" customFormat="1" ht="20" customHeight="1">
      <c r="A328" s="125" t="s">
        <v>237</v>
      </c>
      <c r="B328" s="126" t="s">
        <v>60</v>
      </c>
      <c r="C328" s="127">
        <v>11694</v>
      </c>
      <c r="D328" s="128">
        <v>102844</v>
      </c>
      <c r="E328" s="129" t="s">
        <v>4221</v>
      </c>
      <c r="F328" s="129" t="s">
        <v>4221</v>
      </c>
      <c r="G328" s="130">
        <v>30000</v>
      </c>
      <c r="H328" s="130">
        <v>5</v>
      </c>
      <c r="I328" s="129" t="s">
        <v>209</v>
      </c>
      <c r="J328" s="129" t="s">
        <v>4222</v>
      </c>
      <c r="K328" s="129" t="s">
        <v>4223</v>
      </c>
      <c r="L328" s="130">
        <v>4</v>
      </c>
      <c r="M328" s="130">
        <v>1</v>
      </c>
      <c r="N328" s="129" t="s">
        <v>1544</v>
      </c>
      <c r="O328" s="130">
        <v>60</v>
      </c>
      <c r="P328" s="130">
        <v>25.399000000000001</v>
      </c>
      <c r="Q328" s="130">
        <v>17</v>
      </c>
      <c r="R328" s="129" t="s">
        <v>190</v>
      </c>
      <c r="S328" s="129" t="s">
        <v>191</v>
      </c>
      <c r="T328" s="130">
        <v>155</v>
      </c>
      <c r="U328" s="129" t="s">
        <v>192</v>
      </c>
      <c r="V328" s="129" t="s">
        <v>193</v>
      </c>
      <c r="W328" s="130">
        <v>1</v>
      </c>
      <c r="X328" s="130">
        <v>2</v>
      </c>
      <c r="Y328" s="129" t="s">
        <v>194</v>
      </c>
      <c r="Z328" s="129" t="s">
        <v>195</v>
      </c>
      <c r="AA328" s="129" t="s">
        <v>196</v>
      </c>
      <c r="AB328" s="129" t="s">
        <v>187</v>
      </c>
      <c r="AC328" s="129" t="s">
        <v>187</v>
      </c>
      <c r="AD328" s="131"/>
      <c r="AE328" s="129" t="s">
        <v>209</v>
      </c>
      <c r="AF328" s="130">
        <v>5.5528399999999998</v>
      </c>
      <c r="AG328" s="132">
        <v>117.49447000000001</v>
      </c>
      <c r="AM328" s="133" t="str" cm="1">
        <f t="array" ref="AM328">IF(ROWS($AN$2:$AN327)&lt;=$AN$2,INDEX($V$3:$V$3000,_xlfn.AGGREGATE(15,3,($B$3:$B$3000=$AM$2)/($B$3:$B$3000=$AM$2)*(ROW($B$3:$B$3000)-ROW($B$2)),ROWS($AN$2:$AN327))),"")</f>
        <v/>
      </c>
      <c r="AN328" s="134" t="str" cm="1">
        <f t="array" ref="AN328">IF(ROWS($AN$2:$AN327)&lt;=$AN$2,INDEX($F$3:$F$3000,_xlfn.AGGREGATE(15,3,($B$3:$B$3000=$AM$2)/($B$3:$B$3000=$AM$2)*(ROW($B$3:$B$3000)-ROW($B$2)),ROWS($AN$2:$AN327))),"")</f>
        <v/>
      </c>
      <c r="AO328" s="135" t="str" cm="1">
        <f t="array" ref="AO328">IF(ROWS($AN$2:$AN327)&lt;=$AN$2,INDEX($G$3:$G$3000,_xlfn.AGGREGATE(15,3,($B$3:$B$3000=$AM$2)/($B$3:$B$3000=$AM$2)*(ROW($B$3:$B$3000)-ROW($B$2)),ROWS($AN$2:$AN327))),"")</f>
        <v/>
      </c>
      <c r="AP328" s="121"/>
      <c r="AT328" s="111"/>
      <c r="AW328" s="134"/>
      <c r="AX328" s="136"/>
      <c r="AY328" s="134"/>
    </row>
    <row r="329" spans="1:51" s="110" customFormat="1" ht="20" customHeight="1">
      <c r="A329" s="125" t="s">
        <v>237</v>
      </c>
      <c r="B329" s="126" t="s">
        <v>60</v>
      </c>
      <c r="C329" s="127">
        <v>15053</v>
      </c>
      <c r="D329" s="128">
        <v>109497</v>
      </c>
      <c r="E329" s="129" t="s">
        <v>2014</v>
      </c>
      <c r="F329" s="129" t="s">
        <v>2014</v>
      </c>
      <c r="G329" s="130">
        <v>28000</v>
      </c>
      <c r="H329" s="130">
        <v>5</v>
      </c>
      <c r="I329" s="129" t="s">
        <v>209</v>
      </c>
      <c r="J329" s="129" t="s">
        <v>2015</v>
      </c>
      <c r="K329" s="129" t="s">
        <v>2016</v>
      </c>
      <c r="L329" s="130">
        <v>5</v>
      </c>
      <c r="M329" s="130">
        <v>1</v>
      </c>
      <c r="N329" s="129" t="s">
        <v>1544</v>
      </c>
      <c r="O329" s="130">
        <v>80</v>
      </c>
      <c r="P329" s="130">
        <v>16</v>
      </c>
      <c r="Q329" s="130">
        <v>17</v>
      </c>
      <c r="R329" s="129" t="s">
        <v>190</v>
      </c>
      <c r="S329" s="129" t="s">
        <v>191</v>
      </c>
      <c r="T329" s="130">
        <v>155</v>
      </c>
      <c r="U329" s="129" t="s">
        <v>192</v>
      </c>
      <c r="V329" s="129" t="s">
        <v>193</v>
      </c>
      <c r="W329" s="130">
        <v>3</v>
      </c>
      <c r="X329" s="130">
        <v>2</v>
      </c>
      <c r="Y329" s="129" t="s">
        <v>194</v>
      </c>
      <c r="Z329" s="129" t="s">
        <v>195</v>
      </c>
      <c r="AA329" s="129" t="s">
        <v>196</v>
      </c>
      <c r="AB329" s="129" t="s">
        <v>187</v>
      </c>
      <c r="AC329" s="129" t="s">
        <v>187</v>
      </c>
      <c r="AD329" s="131"/>
      <c r="AE329" s="129" t="s">
        <v>209</v>
      </c>
      <c r="AF329" s="130">
        <v>4.4073700000000002</v>
      </c>
      <c r="AG329" s="132">
        <v>115.51616</v>
      </c>
      <c r="AM329" s="133" t="str" cm="1">
        <f t="array" ref="AM329">IF(ROWS($AN$2:$AN328)&lt;=$AN$2,INDEX($V$3:$V$3000,_xlfn.AGGREGATE(15,3,($B$3:$B$3000=$AM$2)/($B$3:$B$3000=$AM$2)*(ROW($B$3:$B$3000)-ROW($B$2)),ROWS($AN$2:$AN328))),"")</f>
        <v/>
      </c>
      <c r="AN329" s="134" t="str" cm="1">
        <f t="array" ref="AN329">IF(ROWS($AN$2:$AN328)&lt;=$AN$2,INDEX($F$3:$F$3000,_xlfn.AGGREGATE(15,3,($B$3:$B$3000=$AM$2)/($B$3:$B$3000=$AM$2)*(ROW($B$3:$B$3000)-ROW($B$2)),ROWS($AN$2:$AN328))),"")</f>
        <v/>
      </c>
      <c r="AO329" s="135" t="str" cm="1">
        <f t="array" ref="AO329">IF(ROWS($AN$2:$AN328)&lt;=$AN$2,INDEX($G$3:$G$3000,_xlfn.AGGREGATE(15,3,($B$3:$B$3000=$AM$2)/($B$3:$B$3000=$AM$2)*(ROW($B$3:$B$3000)-ROW($B$2)),ROWS($AN$2:$AN328))),"")</f>
        <v/>
      </c>
      <c r="AP329" s="121"/>
      <c r="AT329" s="111"/>
      <c r="AW329" s="134"/>
      <c r="AX329" s="136"/>
      <c r="AY329" s="134"/>
    </row>
    <row r="330" spans="1:51" s="110" customFormat="1" ht="20" customHeight="1">
      <c r="A330" s="125" t="s">
        <v>237</v>
      </c>
      <c r="B330" s="126" t="s">
        <v>60</v>
      </c>
      <c r="C330" s="127">
        <v>10603</v>
      </c>
      <c r="D330" s="128">
        <v>100841</v>
      </c>
      <c r="E330" s="129" t="s">
        <v>3688</v>
      </c>
      <c r="F330" s="129" t="s">
        <v>3688</v>
      </c>
      <c r="G330" s="130">
        <v>11000</v>
      </c>
      <c r="H330" s="130">
        <v>5</v>
      </c>
      <c r="I330" s="129" t="s">
        <v>209</v>
      </c>
      <c r="J330" s="129" t="s">
        <v>3689</v>
      </c>
      <c r="K330" s="129" t="s">
        <v>3690</v>
      </c>
      <c r="L330" s="130">
        <v>5</v>
      </c>
      <c r="M330" s="130">
        <v>1</v>
      </c>
      <c r="N330" s="129" t="s">
        <v>1544</v>
      </c>
      <c r="O330" s="130">
        <v>90</v>
      </c>
      <c r="P330" s="130">
        <v>15</v>
      </c>
      <c r="Q330" s="130">
        <v>17</v>
      </c>
      <c r="R330" s="129" t="s">
        <v>190</v>
      </c>
      <c r="S330" s="129" t="s">
        <v>191</v>
      </c>
      <c r="T330" s="130">
        <v>155</v>
      </c>
      <c r="U330" s="129" t="s">
        <v>192</v>
      </c>
      <c r="V330" s="129" t="s">
        <v>193</v>
      </c>
      <c r="W330" s="130">
        <v>1</v>
      </c>
      <c r="X330" s="130">
        <v>2</v>
      </c>
      <c r="Y330" s="129" t="s">
        <v>194</v>
      </c>
      <c r="Z330" s="129" t="s">
        <v>195</v>
      </c>
      <c r="AA330" s="129" t="s">
        <v>196</v>
      </c>
      <c r="AB330" s="129" t="s">
        <v>187</v>
      </c>
      <c r="AC330" s="129" t="s">
        <v>187</v>
      </c>
      <c r="AD330" s="131"/>
      <c r="AE330" s="129" t="s">
        <v>209</v>
      </c>
      <c r="AF330" s="130">
        <v>1.3453200000000001</v>
      </c>
      <c r="AG330" s="132">
        <v>110.87439999999999</v>
      </c>
      <c r="AM330" s="133" t="str" cm="1">
        <f t="array" ref="AM330">IF(ROWS($AN$2:$AN329)&lt;=$AN$2,INDEX($V$3:$V$3000,_xlfn.AGGREGATE(15,3,($B$3:$B$3000=$AM$2)/($B$3:$B$3000=$AM$2)*(ROW($B$3:$B$3000)-ROW($B$2)),ROWS($AN$2:$AN329))),"")</f>
        <v/>
      </c>
      <c r="AN330" s="134" t="str" cm="1">
        <f t="array" ref="AN330">IF(ROWS($AN$2:$AN329)&lt;=$AN$2,INDEX($F$3:$F$3000,_xlfn.AGGREGATE(15,3,($B$3:$B$3000=$AM$2)/($B$3:$B$3000=$AM$2)*(ROW($B$3:$B$3000)-ROW($B$2)),ROWS($AN$2:$AN329))),"")</f>
        <v/>
      </c>
      <c r="AO330" s="135" t="str" cm="1">
        <f t="array" ref="AO330">IF(ROWS($AN$2:$AN329)&lt;=$AN$2,INDEX($G$3:$G$3000,_xlfn.AGGREGATE(15,3,($B$3:$B$3000=$AM$2)/($B$3:$B$3000=$AM$2)*(ROW($B$3:$B$3000)-ROW($B$2)),ROWS($AN$2:$AN329))),"")</f>
        <v/>
      </c>
      <c r="AP330" s="121"/>
      <c r="AT330" s="111"/>
      <c r="AW330" s="134"/>
      <c r="AX330" s="136"/>
      <c r="AY330" s="134"/>
    </row>
    <row r="331" spans="1:51" s="110" customFormat="1" ht="20" customHeight="1">
      <c r="A331" s="125" t="s">
        <v>237</v>
      </c>
      <c r="B331" s="126" t="s">
        <v>60</v>
      </c>
      <c r="C331" s="127">
        <v>10677</v>
      </c>
      <c r="D331" s="128">
        <v>101040</v>
      </c>
      <c r="E331" s="129" t="s">
        <v>3693</v>
      </c>
      <c r="F331" s="129" t="s">
        <v>3693</v>
      </c>
      <c r="G331" s="130">
        <v>11000</v>
      </c>
      <c r="H331" s="130">
        <v>5</v>
      </c>
      <c r="I331" s="129" t="s">
        <v>209</v>
      </c>
      <c r="J331" s="129" t="s">
        <v>3694</v>
      </c>
      <c r="K331" s="129" t="s">
        <v>3693</v>
      </c>
      <c r="L331" s="130">
        <v>5</v>
      </c>
      <c r="M331" s="130">
        <v>1</v>
      </c>
      <c r="N331" s="129" t="s">
        <v>1544</v>
      </c>
      <c r="O331" s="130">
        <v>80</v>
      </c>
      <c r="P331" s="130">
        <v>55</v>
      </c>
      <c r="Q331" s="130">
        <v>17</v>
      </c>
      <c r="R331" s="129" t="s">
        <v>190</v>
      </c>
      <c r="S331" s="129" t="s">
        <v>191</v>
      </c>
      <c r="T331" s="130">
        <v>155</v>
      </c>
      <c r="U331" s="129" t="s">
        <v>192</v>
      </c>
      <c r="V331" s="129" t="s">
        <v>193</v>
      </c>
      <c r="W331" s="130">
        <v>1</v>
      </c>
      <c r="X331" s="130">
        <v>2</v>
      </c>
      <c r="Y331" s="129" t="s">
        <v>194</v>
      </c>
      <c r="Z331" s="129" t="s">
        <v>195</v>
      </c>
      <c r="AA331" s="129" t="s">
        <v>196</v>
      </c>
      <c r="AB331" s="129" t="s">
        <v>187</v>
      </c>
      <c r="AC331" s="129" t="s">
        <v>187</v>
      </c>
      <c r="AD331" s="131"/>
      <c r="AE331" s="129" t="s">
        <v>209</v>
      </c>
      <c r="AF331" s="130">
        <v>3.4814600000000002</v>
      </c>
      <c r="AG331" s="132">
        <v>114.55047999999999</v>
      </c>
      <c r="AM331" s="133" t="str" cm="1">
        <f t="array" ref="AM331">IF(ROWS($AN$2:$AN330)&lt;=$AN$2,INDEX($V$3:$V$3000,_xlfn.AGGREGATE(15,3,($B$3:$B$3000=$AM$2)/($B$3:$B$3000=$AM$2)*(ROW($B$3:$B$3000)-ROW($B$2)),ROWS($AN$2:$AN330))),"")</f>
        <v/>
      </c>
      <c r="AN331" s="134" t="str" cm="1">
        <f t="array" ref="AN331">IF(ROWS($AN$2:$AN330)&lt;=$AN$2,INDEX($F$3:$F$3000,_xlfn.AGGREGATE(15,3,($B$3:$B$3000=$AM$2)/($B$3:$B$3000=$AM$2)*(ROW($B$3:$B$3000)-ROW($B$2)),ROWS($AN$2:$AN330))),"")</f>
        <v/>
      </c>
      <c r="AO331" s="135" t="str" cm="1">
        <f t="array" ref="AO331">IF(ROWS($AN$2:$AN330)&lt;=$AN$2,INDEX($G$3:$G$3000,_xlfn.AGGREGATE(15,3,($B$3:$B$3000=$AM$2)/($B$3:$B$3000=$AM$2)*(ROW($B$3:$B$3000)-ROW($B$2)),ROWS($AN$2:$AN330))),"")</f>
        <v/>
      </c>
      <c r="AP331" s="121"/>
      <c r="AT331" s="111"/>
      <c r="AW331" s="134"/>
      <c r="AX331" s="136"/>
      <c r="AY331" s="134"/>
    </row>
    <row r="332" spans="1:51" s="110" customFormat="1" ht="20" customHeight="1">
      <c r="A332" s="125" t="s">
        <v>237</v>
      </c>
      <c r="B332" s="126" t="s">
        <v>60</v>
      </c>
      <c r="C332" s="127">
        <v>19084</v>
      </c>
      <c r="D332" s="128">
        <v>115103</v>
      </c>
      <c r="E332" s="129" t="s">
        <v>2832</v>
      </c>
      <c r="F332" s="129" t="s">
        <v>2832</v>
      </c>
      <c r="G332" s="130">
        <v>2600</v>
      </c>
      <c r="H332" s="130">
        <v>5</v>
      </c>
      <c r="I332" s="129" t="s">
        <v>209</v>
      </c>
      <c r="J332" s="129" t="s">
        <v>2833</v>
      </c>
      <c r="K332" s="129" t="s">
        <v>2834</v>
      </c>
      <c r="L332" s="130">
        <v>1</v>
      </c>
      <c r="M332" s="130">
        <v>1</v>
      </c>
      <c r="N332" s="129" t="s">
        <v>1544</v>
      </c>
      <c r="O332" s="130">
        <v>70</v>
      </c>
      <c r="P332" s="130">
        <v>21.434000000000001</v>
      </c>
      <c r="Q332" s="130">
        <v>17</v>
      </c>
      <c r="R332" s="129" t="s">
        <v>190</v>
      </c>
      <c r="S332" s="129" t="s">
        <v>191</v>
      </c>
      <c r="T332" s="130">
        <v>155</v>
      </c>
      <c r="U332" s="129" t="s">
        <v>192</v>
      </c>
      <c r="V332" s="129" t="s">
        <v>193</v>
      </c>
      <c r="W332" s="130">
        <v>1</v>
      </c>
      <c r="X332" s="130">
        <v>2</v>
      </c>
      <c r="Y332" s="129" t="s">
        <v>194</v>
      </c>
      <c r="Z332" s="129" t="s">
        <v>195</v>
      </c>
      <c r="AA332" s="129" t="s">
        <v>196</v>
      </c>
      <c r="AB332" s="129" t="s">
        <v>187</v>
      </c>
      <c r="AC332" s="129" t="s">
        <v>187</v>
      </c>
      <c r="AD332" s="131"/>
      <c r="AE332" s="129" t="s">
        <v>209</v>
      </c>
      <c r="AF332" s="130">
        <v>6.4575300000000002</v>
      </c>
      <c r="AG332" s="132">
        <v>116.82719</v>
      </c>
      <c r="AM332" s="133" t="str" cm="1">
        <f t="array" ref="AM332">IF(ROWS($AN$2:$AN331)&lt;=$AN$2,INDEX($V$3:$V$3000,_xlfn.AGGREGATE(15,3,($B$3:$B$3000=$AM$2)/($B$3:$B$3000=$AM$2)*(ROW($B$3:$B$3000)-ROW($B$2)),ROWS($AN$2:$AN331))),"")</f>
        <v/>
      </c>
      <c r="AN332" s="134" t="str" cm="1">
        <f t="array" ref="AN332">IF(ROWS($AN$2:$AN331)&lt;=$AN$2,INDEX($F$3:$F$3000,_xlfn.AGGREGATE(15,3,($B$3:$B$3000=$AM$2)/($B$3:$B$3000=$AM$2)*(ROW($B$3:$B$3000)-ROW($B$2)),ROWS($AN$2:$AN331))),"")</f>
        <v/>
      </c>
      <c r="AO332" s="135" t="str" cm="1">
        <f t="array" ref="AO332">IF(ROWS($AN$2:$AN331)&lt;=$AN$2,INDEX($G$3:$G$3000,_xlfn.AGGREGATE(15,3,($B$3:$B$3000=$AM$2)/($B$3:$B$3000=$AM$2)*(ROW($B$3:$B$3000)-ROW($B$2)),ROWS($AN$2:$AN331))),"")</f>
        <v/>
      </c>
      <c r="AP332" s="121"/>
      <c r="AT332" s="111"/>
      <c r="AW332" s="134"/>
      <c r="AX332" s="136"/>
      <c r="AY332" s="134"/>
    </row>
    <row r="333" spans="1:51" s="110" customFormat="1" ht="20" customHeight="1">
      <c r="A333" s="125" t="s">
        <v>237</v>
      </c>
      <c r="B333" s="126" t="s">
        <v>60</v>
      </c>
      <c r="C333" s="127">
        <v>14621</v>
      </c>
      <c r="D333" s="128">
        <v>108485</v>
      </c>
      <c r="E333" s="129" t="s">
        <v>2358</v>
      </c>
      <c r="F333" s="129" t="s">
        <v>2358</v>
      </c>
      <c r="G333" s="130">
        <v>1600</v>
      </c>
      <c r="H333" s="130">
        <v>5</v>
      </c>
      <c r="I333" s="129" t="s">
        <v>209</v>
      </c>
      <c r="J333" s="129" t="s">
        <v>2359</v>
      </c>
      <c r="K333" s="129" t="s">
        <v>2358</v>
      </c>
      <c r="L333" s="130">
        <v>3</v>
      </c>
      <c r="M333" s="130">
        <v>1</v>
      </c>
      <c r="N333" s="129" t="s">
        <v>1544</v>
      </c>
      <c r="O333" s="130">
        <v>70</v>
      </c>
      <c r="P333" s="130">
        <v>15.016999999999999</v>
      </c>
      <c r="Q333" s="130">
        <v>17</v>
      </c>
      <c r="R333" s="129" t="s">
        <v>190</v>
      </c>
      <c r="S333" s="129" t="s">
        <v>191</v>
      </c>
      <c r="T333" s="130">
        <v>155</v>
      </c>
      <c r="U333" s="129" t="s">
        <v>192</v>
      </c>
      <c r="V333" s="129" t="s">
        <v>193</v>
      </c>
      <c r="W333" s="130">
        <v>2</v>
      </c>
      <c r="X333" s="130">
        <v>2</v>
      </c>
      <c r="Y333" s="129" t="s">
        <v>194</v>
      </c>
      <c r="Z333" s="129" t="s">
        <v>195</v>
      </c>
      <c r="AA333" s="129" t="s">
        <v>196</v>
      </c>
      <c r="AB333" s="129" t="s">
        <v>187</v>
      </c>
      <c r="AC333" s="129" t="s">
        <v>187</v>
      </c>
      <c r="AD333" s="131"/>
      <c r="AE333" s="129" t="s">
        <v>209</v>
      </c>
      <c r="AF333" s="130">
        <v>3.2090200000000002</v>
      </c>
      <c r="AG333" s="132">
        <v>115.41459999999999</v>
      </c>
      <c r="AM333" s="133" t="str" cm="1">
        <f t="array" ref="AM333">IF(ROWS($AN$2:$AN332)&lt;=$AN$2,INDEX($V$3:$V$3000,_xlfn.AGGREGATE(15,3,($B$3:$B$3000=$AM$2)/($B$3:$B$3000=$AM$2)*(ROW($B$3:$B$3000)-ROW($B$2)),ROWS($AN$2:$AN332))),"")</f>
        <v/>
      </c>
      <c r="AN333" s="134" t="str" cm="1">
        <f t="array" ref="AN333">IF(ROWS($AN$2:$AN332)&lt;=$AN$2,INDEX($F$3:$F$3000,_xlfn.AGGREGATE(15,3,($B$3:$B$3000=$AM$2)/($B$3:$B$3000=$AM$2)*(ROW($B$3:$B$3000)-ROW($B$2)),ROWS($AN$2:$AN332))),"")</f>
        <v/>
      </c>
      <c r="AO333" s="135" t="str" cm="1">
        <f t="array" ref="AO333">IF(ROWS($AN$2:$AN332)&lt;=$AN$2,INDEX($G$3:$G$3000,_xlfn.AGGREGATE(15,3,($B$3:$B$3000=$AM$2)/($B$3:$B$3000=$AM$2)*(ROW($B$3:$B$3000)-ROW($B$2)),ROWS($AN$2:$AN332))),"")</f>
        <v/>
      </c>
      <c r="AP333" s="121"/>
      <c r="AT333" s="111"/>
      <c r="AW333" s="134"/>
      <c r="AX333" s="136"/>
      <c r="AY333" s="134"/>
    </row>
    <row r="334" spans="1:51" s="110" customFormat="1" ht="20" customHeight="1">
      <c r="A334" s="125" t="s">
        <v>237</v>
      </c>
      <c r="B334" s="126" t="s">
        <v>60</v>
      </c>
      <c r="C334" s="127">
        <v>12946</v>
      </c>
      <c r="D334" s="128">
        <v>105570</v>
      </c>
      <c r="E334" s="129" t="s">
        <v>2210</v>
      </c>
      <c r="F334" s="129" t="s">
        <v>2210</v>
      </c>
      <c r="G334" s="130">
        <v>800</v>
      </c>
      <c r="H334" s="130">
        <v>5</v>
      </c>
      <c r="I334" s="129" t="s">
        <v>209</v>
      </c>
      <c r="J334" s="129" t="s">
        <v>2211</v>
      </c>
      <c r="K334" s="129" t="s">
        <v>2210</v>
      </c>
      <c r="L334" s="130">
        <v>1</v>
      </c>
      <c r="M334" s="130">
        <v>1</v>
      </c>
      <c r="N334" s="129" t="s">
        <v>1544</v>
      </c>
      <c r="O334" s="130">
        <v>90</v>
      </c>
      <c r="P334" s="130">
        <v>15</v>
      </c>
      <c r="Q334" s="130">
        <v>17</v>
      </c>
      <c r="R334" s="129" t="s">
        <v>190</v>
      </c>
      <c r="S334" s="129" t="s">
        <v>191</v>
      </c>
      <c r="T334" s="130">
        <v>155</v>
      </c>
      <c r="U334" s="129" t="s">
        <v>192</v>
      </c>
      <c r="V334" s="129" t="s">
        <v>193</v>
      </c>
      <c r="W334" s="130">
        <v>1</v>
      </c>
      <c r="X334" s="130">
        <v>2</v>
      </c>
      <c r="Y334" s="129" t="s">
        <v>194</v>
      </c>
      <c r="Z334" s="129" t="s">
        <v>195</v>
      </c>
      <c r="AA334" s="129" t="s">
        <v>196</v>
      </c>
      <c r="AB334" s="129" t="s">
        <v>187</v>
      </c>
      <c r="AC334" s="129" t="s">
        <v>187</v>
      </c>
      <c r="AD334" s="131"/>
      <c r="AE334" s="129" t="s">
        <v>209</v>
      </c>
      <c r="AF334" s="130">
        <v>2.7846299999999999</v>
      </c>
      <c r="AG334" s="132">
        <v>113.88571</v>
      </c>
      <c r="AM334" s="133" t="str" cm="1">
        <f t="array" ref="AM334">IF(ROWS($AN$2:$AN333)&lt;=$AN$2,INDEX($V$3:$V$3000,_xlfn.AGGREGATE(15,3,($B$3:$B$3000=$AM$2)/($B$3:$B$3000=$AM$2)*(ROW($B$3:$B$3000)-ROW($B$2)),ROWS($AN$2:$AN333))),"")</f>
        <v/>
      </c>
      <c r="AN334" s="134" t="str" cm="1">
        <f t="array" ref="AN334">IF(ROWS($AN$2:$AN333)&lt;=$AN$2,INDEX($F$3:$F$3000,_xlfn.AGGREGATE(15,3,($B$3:$B$3000=$AM$2)/($B$3:$B$3000=$AM$2)*(ROW($B$3:$B$3000)-ROW($B$2)),ROWS($AN$2:$AN333))),"")</f>
        <v/>
      </c>
      <c r="AO334" s="135" t="str" cm="1">
        <f t="array" ref="AO334">IF(ROWS($AN$2:$AN333)&lt;=$AN$2,INDEX($G$3:$G$3000,_xlfn.AGGREGATE(15,3,($B$3:$B$3000=$AM$2)/($B$3:$B$3000=$AM$2)*(ROW($B$3:$B$3000)-ROW($B$2)),ROWS($AN$2:$AN333))),"")</f>
        <v/>
      </c>
      <c r="AP334" s="121"/>
      <c r="AT334" s="111"/>
      <c r="AW334" s="134"/>
      <c r="AX334" s="136"/>
      <c r="AY334" s="134"/>
    </row>
    <row r="335" spans="1:51" s="110" customFormat="1" ht="20" customHeight="1">
      <c r="A335" s="125" t="s">
        <v>185</v>
      </c>
      <c r="B335" s="126" t="s">
        <v>59</v>
      </c>
      <c r="C335" s="127">
        <v>15170</v>
      </c>
      <c r="D335" s="145">
        <v>109685</v>
      </c>
      <c r="E335" s="146" t="s">
        <v>4421</v>
      </c>
      <c r="F335" s="146" t="s">
        <v>4421</v>
      </c>
      <c r="G335" s="147">
        <v>49000</v>
      </c>
      <c r="H335" s="147">
        <v>4</v>
      </c>
      <c r="I335" s="146" t="s">
        <v>209</v>
      </c>
      <c r="J335" s="146" t="s">
        <v>1031</v>
      </c>
      <c r="K335" s="146" t="s">
        <v>1032</v>
      </c>
      <c r="L335" s="147">
        <v>3</v>
      </c>
      <c r="M335" s="147">
        <v>1</v>
      </c>
      <c r="N335" s="146" t="s">
        <v>1544</v>
      </c>
      <c r="O335" s="147">
        <v>60</v>
      </c>
      <c r="P335" s="147">
        <v>5</v>
      </c>
      <c r="Q335" s="147">
        <v>17</v>
      </c>
      <c r="R335" s="146" t="s">
        <v>190</v>
      </c>
      <c r="S335" s="146" t="s">
        <v>191</v>
      </c>
      <c r="T335" s="147">
        <v>152</v>
      </c>
      <c r="U335" s="146" t="s">
        <v>246</v>
      </c>
      <c r="V335" s="146" t="s">
        <v>247</v>
      </c>
      <c r="W335" s="147">
        <v>1</v>
      </c>
      <c r="X335" s="147">
        <v>2</v>
      </c>
      <c r="Y335" s="146" t="s">
        <v>194</v>
      </c>
      <c r="Z335" s="146" t="s">
        <v>195</v>
      </c>
      <c r="AA335" s="146" t="s">
        <v>196</v>
      </c>
      <c r="AB335" s="146" t="s">
        <v>187</v>
      </c>
      <c r="AC335" s="146" t="s">
        <v>187</v>
      </c>
      <c r="AD335" s="148"/>
      <c r="AE335" s="146" t="s">
        <v>209</v>
      </c>
      <c r="AF335" s="147">
        <v>-2.58204999970775</v>
      </c>
      <c r="AG335" s="149">
        <v>120.139140000211</v>
      </c>
      <c r="AM335" s="133" t="str" cm="1">
        <f t="array" ref="AM335">IF(ROWS($AN$2:$AN334)&lt;=$AN$2,INDEX($V$3:$V$3000,_xlfn.AGGREGATE(15,3,($B$3:$B$3000=$AM$2)/($B$3:$B$3000=$AM$2)*(ROW($B$3:$B$3000)-ROW($B$2)),ROWS($AN$2:$AN334))),"")</f>
        <v/>
      </c>
      <c r="AN335" s="134" t="str" cm="1">
        <f t="array" ref="AN335">IF(ROWS($AN$2:$AN334)&lt;=$AN$2,INDEX($F$3:$F$3000,_xlfn.AGGREGATE(15,3,($B$3:$B$3000=$AM$2)/($B$3:$B$3000=$AM$2)*(ROW($B$3:$B$3000)-ROW($B$2)),ROWS($AN$2:$AN334))),"")</f>
        <v/>
      </c>
      <c r="AO335" s="135" t="str" cm="1">
        <f t="array" ref="AO335">IF(ROWS($AN$2:$AN334)&lt;=$AN$2,INDEX($G$3:$G$3000,_xlfn.AGGREGATE(15,3,($B$3:$B$3000=$AM$2)/($B$3:$B$3000=$AM$2)*(ROW($B$3:$B$3000)-ROW($B$2)),ROWS($AN$2:$AN334))),"")</f>
        <v/>
      </c>
      <c r="AP335" s="121"/>
      <c r="AT335" s="111"/>
      <c r="AW335" s="134"/>
      <c r="AX335" s="136"/>
      <c r="AY335" s="134"/>
    </row>
    <row r="336" spans="1:51" s="110" customFormat="1" ht="20" customHeight="1">
      <c r="A336" s="125" t="s">
        <v>185</v>
      </c>
      <c r="B336" s="126" t="s">
        <v>59</v>
      </c>
      <c r="C336" s="127">
        <v>10399</v>
      </c>
      <c r="D336" s="145">
        <v>118335</v>
      </c>
      <c r="E336" s="146" t="s">
        <v>3627</v>
      </c>
      <c r="F336" s="146" t="s">
        <v>3627</v>
      </c>
      <c r="G336" s="147">
        <v>10000</v>
      </c>
      <c r="H336" s="147">
        <v>4</v>
      </c>
      <c r="I336" s="146" t="s">
        <v>209</v>
      </c>
      <c r="J336" s="146" t="s">
        <v>290</v>
      </c>
      <c r="K336" s="146" t="s">
        <v>291</v>
      </c>
      <c r="L336" s="147">
        <v>4</v>
      </c>
      <c r="M336" s="147">
        <v>1</v>
      </c>
      <c r="N336" s="146" t="s">
        <v>1544</v>
      </c>
      <c r="O336" s="147">
        <v>65</v>
      </c>
      <c r="P336" s="147">
        <v>3</v>
      </c>
      <c r="Q336" s="147">
        <v>17</v>
      </c>
      <c r="R336" s="146" t="s">
        <v>190</v>
      </c>
      <c r="S336" s="146" t="s">
        <v>191</v>
      </c>
      <c r="T336" s="147">
        <v>152</v>
      </c>
      <c r="U336" s="146" t="s">
        <v>246</v>
      </c>
      <c r="V336" s="146" t="s">
        <v>247</v>
      </c>
      <c r="W336" s="147">
        <v>1</v>
      </c>
      <c r="X336" s="147">
        <v>2</v>
      </c>
      <c r="Y336" s="146" t="s">
        <v>194</v>
      </c>
      <c r="Z336" s="146" t="s">
        <v>195</v>
      </c>
      <c r="AA336" s="146" t="s">
        <v>196</v>
      </c>
      <c r="AB336" s="146" t="s">
        <v>187</v>
      </c>
      <c r="AC336" s="146" t="s">
        <v>187</v>
      </c>
      <c r="AD336" s="148"/>
      <c r="AE336" s="146" t="s">
        <v>209</v>
      </c>
      <c r="AF336" s="147">
        <v>-2.7999200000000002</v>
      </c>
      <c r="AG336" s="149">
        <v>119.25189</v>
      </c>
      <c r="AM336" s="133" t="str" cm="1">
        <f t="array" ref="AM336">IF(ROWS($AN$2:$AN335)&lt;=$AN$2,INDEX($V$3:$V$3000,_xlfn.AGGREGATE(15,3,($B$3:$B$3000=$AM$2)/($B$3:$B$3000=$AM$2)*(ROW($B$3:$B$3000)-ROW($B$2)),ROWS($AN$2:$AN335))),"")</f>
        <v/>
      </c>
      <c r="AN336" s="134" t="str" cm="1">
        <f t="array" ref="AN336">IF(ROWS($AN$2:$AN335)&lt;=$AN$2,INDEX($F$3:$F$3000,_xlfn.AGGREGATE(15,3,($B$3:$B$3000=$AM$2)/($B$3:$B$3000=$AM$2)*(ROW($B$3:$B$3000)-ROW($B$2)),ROWS($AN$2:$AN335))),"")</f>
        <v/>
      </c>
      <c r="AO336" s="135" t="str" cm="1">
        <f t="array" ref="AO336">IF(ROWS($AN$2:$AN335)&lt;=$AN$2,INDEX($G$3:$G$3000,_xlfn.AGGREGATE(15,3,($B$3:$B$3000=$AM$2)/($B$3:$B$3000=$AM$2)*(ROW($B$3:$B$3000)-ROW($B$2)),ROWS($AN$2:$AN335))),"")</f>
        <v/>
      </c>
      <c r="AP336" s="121"/>
      <c r="AT336" s="111"/>
      <c r="AW336" s="134"/>
      <c r="AX336" s="136"/>
      <c r="AY336" s="134"/>
    </row>
    <row r="337" spans="1:51" s="110" customFormat="1" ht="20" customHeight="1">
      <c r="A337" s="125" t="s">
        <v>185</v>
      </c>
      <c r="B337" s="126" t="s">
        <v>59</v>
      </c>
      <c r="C337" s="127">
        <v>14826</v>
      </c>
      <c r="D337" s="145">
        <v>108803</v>
      </c>
      <c r="E337" s="146" t="s">
        <v>2967</v>
      </c>
      <c r="F337" s="146" t="s">
        <v>2968</v>
      </c>
      <c r="G337" s="147">
        <v>3500</v>
      </c>
      <c r="H337" s="147">
        <v>4</v>
      </c>
      <c r="I337" s="146" t="s">
        <v>209</v>
      </c>
      <c r="J337" s="146" t="s">
        <v>2969</v>
      </c>
      <c r="K337" s="146" t="s">
        <v>2967</v>
      </c>
      <c r="L337" s="147">
        <v>1</v>
      </c>
      <c r="M337" s="147">
        <v>1</v>
      </c>
      <c r="N337" s="146" t="s">
        <v>1544</v>
      </c>
      <c r="O337" s="147">
        <v>80</v>
      </c>
      <c r="P337" s="147">
        <v>3</v>
      </c>
      <c r="Q337" s="147">
        <v>17</v>
      </c>
      <c r="R337" s="146" t="s">
        <v>190</v>
      </c>
      <c r="S337" s="146" t="s">
        <v>191</v>
      </c>
      <c r="T337" s="147">
        <v>152</v>
      </c>
      <c r="U337" s="146" t="s">
        <v>246</v>
      </c>
      <c r="V337" s="146" t="s">
        <v>247</v>
      </c>
      <c r="W337" s="147">
        <v>1</v>
      </c>
      <c r="X337" s="147">
        <v>2</v>
      </c>
      <c r="Y337" s="146" t="s">
        <v>194</v>
      </c>
      <c r="Z337" s="146" t="s">
        <v>195</v>
      </c>
      <c r="AA337" s="146" t="s">
        <v>196</v>
      </c>
      <c r="AB337" s="146" t="s">
        <v>187</v>
      </c>
      <c r="AC337" s="146" t="s">
        <v>187</v>
      </c>
      <c r="AD337" s="148"/>
      <c r="AE337" s="146" t="s">
        <v>209</v>
      </c>
      <c r="AF337" s="147">
        <v>-2.2208899999999998</v>
      </c>
      <c r="AG337" s="149">
        <v>119.82168</v>
      </c>
      <c r="AM337" s="133" t="str" cm="1">
        <f t="array" ref="AM337">IF(ROWS($AN$2:$AN336)&lt;=$AN$2,INDEX($V$3:$V$3000,_xlfn.AGGREGATE(15,3,($B$3:$B$3000=$AM$2)/($B$3:$B$3000=$AM$2)*(ROW($B$3:$B$3000)-ROW($B$2)),ROWS($AN$2:$AN336))),"")</f>
        <v/>
      </c>
      <c r="AN337" s="134" t="str" cm="1">
        <f t="array" ref="AN337">IF(ROWS($AN$2:$AN336)&lt;=$AN$2,INDEX($F$3:$F$3000,_xlfn.AGGREGATE(15,3,($B$3:$B$3000=$AM$2)/($B$3:$B$3000=$AM$2)*(ROW($B$3:$B$3000)-ROW($B$2)),ROWS($AN$2:$AN336))),"")</f>
        <v/>
      </c>
      <c r="AO337" s="135" t="str" cm="1">
        <f t="array" ref="AO337">IF(ROWS($AN$2:$AN336)&lt;=$AN$2,INDEX($G$3:$G$3000,_xlfn.AGGREGATE(15,3,($B$3:$B$3000=$AM$2)/($B$3:$B$3000=$AM$2)*(ROW($B$3:$B$3000)-ROW($B$2)),ROWS($AN$2:$AN336))),"")</f>
        <v/>
      </c>
      <c r="AP337" s="121"/>
      <c r="AT337" s="111"/>
      <c r="AW337" s="134"/>
      <c r="AX337" s="136"/>
      <c r="AY337" s="134"/>
    </row>
    <row r="338" spans="1:51" s="110" customFormat="1" ht="20" customHeight="1">
      <c r="A338" s="125" t="s">
        <v>185</v>
      </c>
      <c r="B338" s="126" t="s">
        <v>59</v>
      </c>
      <c r="C338" s="127">
        <v>14290</v>
      </c>
      <c r="D338" s="145">
        <v>107822</v>
      </c>
      <c r="E338" s="146" t="s">
        <v>2267</v>
      </c>
      <c r="F338" s="146" t="s">
        <v>2267</v>
      </c>
      <c r="G338" s="147">
        <v>900</v>
      </c>
      <c r="H338" s="147">
        <v>4</v>
      </c>
      <c r="I338" s="146" t="s">
        <v>209</v>
      </c>
      <c r="J338" s="146" t="s">
        <v>2268</v>
      </c>
      <c r="K338" s="146" t="s">
        <v>2267</v>
      </c>
      <c r="L338" s="147">
        <v>1</v>
      </c>
      <c r="M338" s="147">
        <v>1</v>
      </c>
      <c r="N338" s="146" t="s">
        <v>1544</v>
      </c>
      <c r="O338" s="147">
        <v>70</v>
      </c>
      <c r="P338" s="147">
        <v>4</v>
      </c>
      <c r="Q338" s="147">
        <v>17</v>
      </c>
      <c r="R338" s="146" t="s">
        <v>190</v>
      </c>
      <c r="S338" s="146" t="s">
        <v>191</v>
      </c>
      <c r="T338" s="147">
        <v>152</v>
      </c>
      <c r="U338" s="146" t="s">
        <v>246</v>
      </c>
      <c r="V338" s="146" t="s">
        <v>247</v>
      </c>
      <c r="W338" s="147">
        <v>1</v>
      </c>
      <c r="X338" s="147">
        <v>2</v>
      </c>
      <c r="Y338" s="146" t="s">
        <v>194</v>
      </c>
      <c r="Z338" s="146" t="s">
        <v>195</v>
      </c>
      <c r="AA338" s="146" t="s">
        <v>196</v>
      </c>
      <c r="AB338" s="146" t="s">
        <v>187</v>
      </c>
      <c r="AC338" s="146" t="s">
        <v>187</v>
      </c>
      <c r="AD338" s="148"/>
      <c r="AE338" s="146" t="s">
        <v>209</v>
      </c>
      <c r="AF338" s="147">
        <v>-2.2454299999999998</v>
      </c>
      <c r="AG338" s="149">
        <v>119.64982999999999</v>
      </c>
      <c r="AM338" s="133" t="str" cm="1">
        <f t="array" ref="AM338">IF(ROWS($AN$2:$AN337)&lt;=$AN$2,INDEX($V$3:$V$3000,_xlfn.AGGREGATE(15,3,($B$3:$B$3000=$AM$2)/($B$3:$B$3000=$AM$2)*(ROW($B$3:$B$3000)-ROW($B$2)),ROWS($AN$2:$AN337))),"")</f>
        <v/>
      </c>
      <c r="AN338" s="134" t="str" cm="1">
        <f t="array" ref="AN338">IF(ROWS($AN$2:$AN337)&lt;=$AN$2,INDEX($F$3:$F$3000,_xlfn.AGGREGATE(15,3,($B$3:$B$3000=$AM$2)/($B$3:$B$3000=$AM$2)*(ROW($B$3:$B$3000)-ROW($B$2)),ROWS($AN$2:$AN337))),"")</f>
        <v/>
      </c>
      <c r="AO338" s="135" t="str" cm="1">
        <f t="array" ref="AO338">IF(ROWS($AN$2:$AN337)&lt;=$AN$2,INDEX($G$3:$G$3000,_xlfn.AGGREGATE(15,3,($B$3:$B$3000=$AM$2)/($B$3:$B$3000=$AM$2)*(ROW($B$3:$B$3000)-ROW($B$2)),ROWS($AN$2:$AN337))),"")</f>
        <v/>
      </c>
      <c r="AP338" s="121"/>
      <c r="AT338" s="111"/>
      <c r="AW338" s="134"/>
      <c r="AX338" s="136"/>
      <c r="AY338" s="134"/>
    </row>
    <row r="339" spans="1:51" s="110" customFormat="1" ht="20" customHeight="1">
      <c r="A339" s="125" t="s">
        <v>185</v>
      </c>
      <c r="B339" s="126" t="s">
        <v>59</v>
      </c>
      <c r="C339" s="127">
        <v>13813</v>
      </c>
      <c r="D339" s="145">
        <v>106797</v>
      </c>
      <c r="E339" s="146" t="s">
        <v>4054</v>
      </c>
      <c r="F339" s="146" t="s">
        <v>4054</v>
      </c>
      <c r="G339" s="147">
        <v>21000</v>
      </c>
      <c r="H339" s="147">
        <v>4</v>
      </c>
      <c r="I339" s="146" t="s">
        <v>209</v>
      </c>
      <c r="J339" s="146" t="s">
        <v>4055</v>
      </c>
      <c r="K339" s="146" t="s">
        <v>4054</v>
      </c>
      <c r="L339" s="147">
        <v>4</v>
      </c>
      <c r="M339" s="147">
        <v>1</v>
      </c>
      <c r="N339" s="146" t="s">
        <v>1544</v>
      </c>
      <c r="O339" s="147">
        <v>95</v>
      </c>
      <c r="P339" s="147">
        <v>7</v>
      </c>
      <c r="Q339" s="147">
        <v>17</v>
      </c>
      <c r="R339" s="146" t="s">
        <v>190</v>
      </c>
      <c r="S339" s="146" t="s">
        <v>191</v>
      </c>
      <c r="T339" s="147">
        <v>153</v>
      </c>
      <c r="U339" s="146" t="s">
        <v>324</v>
      </c>
      <c r="V339" s="146" t="s">
        <v>325</v>
      </c>
      <c r="W339" s="147">
        <v>1</v>
      </c>
      <c r="X339" s="147">
        <v>2</v>
      </c>
      <c r="Y339" s="146" t="s">
        <v>194</v>
      </c>
      <c r="Z339" s="146" t="s">
        <v>195</v>
      </c>
      <c r="AA339" s="146" t="s">
        <v>196</v>
      </c>
      <c r="AB339" s="146" t="s">
        <v>187</v>
      </c>
      <c r="AC339" s="146" t="s">
        <v>187</v>
      </c>
      <c r="AD339" s="148"/>
      <c r="AE339" s="146" t="s">
        <v>209</v>
      </c>
      <c r="AF339" s="147">
        <v>-2.2552300000000001</v>
      </c>
      <c r="AG339" s="149">
        <v>121.03764</v>
      </c>
      <c r="AM339" s="133" t="str" cm="1">
        <f t="array" ref="AM339">IF(ROWS($AN$2:$AN338)&lt;=$AN$2,INDEX($V$3:$V$3000,_xlfn.AGGREGATE(15,3,($B$3:$B$3000=$AM$2)/($B$3:$B$3000=$AM$2)*(ROW($B$3:$B$3000)-ROW($B$2)),ROWS($AN$2:$AN338))),"")</f>
        <v/>
      </c>
      <c r="AN339" s="134" t="str" cm="1">
        <f t="array" ref="AN339">IF(ROWS($AN$2:$AN338)&lt;=$AN$2,INDEX($F$3:$F$3000,_xlfn.AGGREGATE(15,3,($B$3:$B$3000=$AM$2)/($B$3:$B$3000=$AM$2)*(ROW($B$3:$B$3000)-ROW($B$2)),ROWS($AN$2:$AN338))),"")</f>
        <v/>
      </c>
      <c r="AO339" s="135" t="str" cm="1">
        <f t="array" ref="AO339">IF(ROWS($AN$2:$AN338)&lt;=$AN$2,INDEX($G$3:$G$3000,_xlfn.AGGREGATE(15,3,($B$3:$B$3000=$AM$2)/($B$3:$B$3000=$AM$2)*(ROW($B$3:$B$3000)-ROW($B$2)),ROWS($AN$2:$AN338))),"")</f>
        <v/>
      </c>
      <c r="AP339" s="121"/>
      <c r="AT339" s="111"/>
      <c r="AW339" s="134"/>
      <c r="AX339" s="136"/>
      <c r="AY339" s="134"/>
    </row>
    <row r="340" spans="1:51" s="110" customFormat="1" ht="20" customHeight="1">
      <c r="A340" s="125" t="s">
        <v>185</v>
      </c>
      <c r="B340" s="126" t="s">
        <v>59</v>
      </c>
      <c r="C340" s="127">
        <v>13814</v>
      </c>
      <c r="D340" s="145">
        <v>106798</v>
      </c>
      <c r="E340" s="146" t="s">
        <v>4056</v>
      </c>
      <c r="F340" s="146" t="s">
        <v>4056</v>
      </c>
      <c r="G340" s="147">
        <v>21000</v>
      </c>
      <c r="H340" s="147">
        <v>4</v>
      </c>
      <c r="I340" s="146" t="s">
        <v>209</v>
      </c>
      <c r="J340" s="146" t="s">
        <v>4057</v>
      </c>
      <c r="K340" s="146" t="s">
        <v>4056</v>
      </c>
      <c r="L340" s="147">
        <v>4</v>
      </c>
      <c r="M340" s="147">
        <v>1</v>
      </c>
      <c r="N340" s="146" t="s">
        <v>1544</v>
      </c>
      <c r="O340" s="147">
        <v>95</v>
      </c>
      <c r="P340" s="147">
        <v>7</v>
      </c>
      <c r="Q340" s="147">
        <v>17</v>
      </c>
      <c r="R340" s="146" t="s">
        <v>190</v>
      </c>
      <c r="S340" s="146" t="s">
        <v>191</v>
      </c>
      <c r="T340" s="147">
        <v>153</v>
      </c>
      <c r="U340" s="146" t="s">
        <v>324</v>
      </c>
      <c r="V340" s="146" t="s">
        <v>325</v>
      </c>
      <c r="W340" s="147">
        <v>1</v>
      </c>
      <c r="X340" s="147">
        <v>2</v>
      </c>
      <c r="Y340" s="146" t="s">
        <v>194</v>
      </c>
      <c r="Z340" s="146" t="s">
        <v>195</v>
      </c>
      <c r="AA340" s="146" t="s">
        <v>196</v>
      </c>
      <c r="AB340" s="146" t="s">
        <v>187</v>
      </c>
      <c r="AC340" s="146" t="s">
        <v>187</v>
      </c>
      <c r="AD340" s="148"/>
      <c r="AE340" s="146" t="s">
        <v>209</v>
      </c>
      <c r="AF340" s="147">
        <v>-2.19672</v>
      </c>
      <c r="AG340" s="149">
        <v>121.31446</v>
      </c>
      <c r="AM340" s="133" t="str" cm="1">
        <f t="array" ref="AM340">IF(ROWS($AN$2:$AN339)&lt;=$AN$2,INDEX($V$3:$V$3000,_xlfn.AGGREGATE(15,3,($B$3:$B$3000=$AM$2)/($B$3:$B$3000=$AM$2)*(ROW($B$3:$B$3000)-ROW($B$2)),ROWS($AN$2:$AN339))),"")</f>
        <v/>
      </c>
      <c r="AN340" s="134" t="str" cm="1">
        <f t="array" ref="AN340">IF(ROWS($AN$2:$AN339)&lt;=$AN$2,INDEX($F$3:$F$3000,_xlfn.AGGREGATE(15,3,($B$3:$B$3000=$AM$2)/($B$3:$B$3000=$AM$2)*(ROW($B$3:$B$3000)-ROW($B$2)),ROWS($AN$2:$AN339))),"")</f>
        <v/>
      </c>
      <c r="AO340" s="135" t="str" cm="1">
        <f t="array" ref="AO340">IF(ROWS($AN$2:$AN339)&lt;=$AN$2,INDEX($G$3:$G$3000,_xlfn.AGGREGATE(15,3,($B$3:$B$3000=$AM$2)/($B$3:$B$3000=$AM$2)*(ROW($B$3:$B$3000)-ROW($B$2)),ROWS($AN$2:$AN339))),"")</f>
        <v/>
      </c>
      <c r="AP340" s="121"/>
      <c r="AT340" s="111"/>
      <c r="AW340" s="134"/>
      <c r="AX340" s="136"/>
      <c r="AY340" s="134"/>
    </row>
    <row r="341" spans="1:51" s="110" customFormat="1" ht="20" customHeight="1">
      <c r="A341" s="125" t="s">
        <v>185</v>
      </c>
      <c r="B341" s="126" t="s">
        <v>59</v>
      </c>
      <c r="C341" s="127">
        <v>14252</v>
      </c>
      <c r="D341" s="145">
        <v>107739</v>
      </c>
      <c r="E341" s="146" t="s">
        <v>3510</v>
      </c>
      <c r="F341" s="146" t="s">
        <v>3510</v>
      </c>
      <c r="G341" s="147">
        <v>8400</v>
      </c>
      <c r="H341" s="147">
        <v>4</v>
      </c>
      <c r="I341" s="146" t="s">
        <v>209</v>
      </c>
      <c r="J341" s="146" t="s">
        <v>3511</v>
      </c>
      <c r="K341" s="146" t="s">
        <v>3512</v>
      </c>
      <c r="L341" s="147">
        <v>2</v>
      </c>
      <c r="M341" s="147">
        <v>1</v>
      </c>
      <c r="N341" s="146" t="s">
        <v>1544</v>
      </c>
      <c r="O341" s="147">
        <v>75</v>
      </c>
      <c r="P341" s="147">
        <v>6</v>
      </c>
      <c r="Q341" s="147">
        <v>17</v>
      </c>
      <c r="R341" s="146" t="s">
        <v>190</v>
      </c>
      <c r="S341" s="146" t="s">
        <v>191</v>
      </c>
      <c r="T341" s="147">
        <v>153</v>
      </c>
      <c r="U341" s="146" t="s">
        <v>324</v>
      </c>
      <c r="V341" s="146" t="s">
        <v>325</v>
      </c>
      <c r="W341" s="147">
        <v>1</v>
      </c>
      <c r="X341" s="147">
        <v>2</v>
      </c>
      <c r="Y341" s="146" t="s">
        <v>194</v>
      </c>
      <c r="Z341" s="146" t="s">
        <v>195</v>
      </c>
      <c r="AA341" s="146" t="s">
        <v>196</v>
      </c>
      <c r="AB341" s="146" t="s">
        <v>187</v>
      </c>
      <c r="AC341" s="146" t="s">
        <v>187</v>
      </c>
      <c r="AD341" s="148"/>
      <c r="AE341" s="146" t="s">
        <v>209</v>
      </c>
      <c r="AF341" s="147">
        <v>-2.6004499999999999</v>
      </c>
      <c r="AG341" s="149">
        <v>121.21888</v>
      </c>
      <c r="AM341" s="133" t="str" cm="1">
        <f t="array" ref="AM341">IF(ROWS($AN$2:$AN340)&lt;=$AN$2,INDEX($V$3:$V$3000,_xlfn.AGGREGATE(15,3,($B$3:$B$3000=$AM$2)/($B$3:$B$3000=$AM$2)*(ROW($B$3:$B$3000)-ROW($B$2)),ROWS($AN$2:$AN340))),"")</f>
        <v/>
      </c>
      <c r="AN341" s="134" t="str" cm="1">
        <f t="array" ref="AN341">IF(ROWS($AN$2:$AN340)&lt;=$AN$2,INDEX($F$3:$F$3000,_xlfn.AGGREGATE(15,3,($B$3:$B$3000=$AM$2)/($B$3:$B$3000=$AM$2)*(ROW($B$3:$B$3000)-ROW($B$2)),ROWS($AN$2:$AN340))),"")</f>
        <v/>
      </c>
      <c r="AO341" s="135" t="str" cm="1">
        <f t="array" ref="AO341">IF(ROWS($AN$2:$AN340)&lt;=$AN$2,INDEX($G$3:$G$3000,_xlfn.AGGREGATE(15,3,($B$3:$B$3000=$AM$2)/($B$3:$B$3000=$AM$2)*(ROW($B$3:$B$3000)-ROW($B$2)),ROWS($AN$2:$AN340))),"")</f>
        <v/>
      </c>
      <c r="AP341" s="121"/>
      <c r="AT341" s="111"/>
      <c r="AW341" s="134"/>
      <c r="AX341" s="136"/>
      <c r="AY341" s="134"/>
    </row>
    <row r="342" spans="1:51" s="110" customFormat="1" ht="20" customHeight="1">
      <c r="A342" s="125" t="s">
        <v>483</v>
      </c>
      <c r="B342" s="126" t="s">
        <v>55</v>
      </c>
      <c r="C342" s="127">
        <v>19208</v>
      </c>
      <c r="D342" s="128">
        <v>101861</v>
      </c>
      <c r="E342" s="129" t="s">
        <v>2767</v>
      </c>
      <c r="F342" s="129" t="s">
        <v>2767</v>
      </c>
      <c r="G342" s="130">
        <v>2300</v>
      </c>
      <c r="H342" s="130">
        <v>5</v>
      </c>
      <c r="I342" s="129" t="s">
        <v>209</v>
      </c>
      <c r="J342" s="129" t="s">
        <v>1058</v>
      </c>
      <c r="K342" s="129" t="s">
        <v>1059</v>
      </c>
      <c r="L342" s="130">
        <v>5</v>
      </c>
      <c r="M342" s="130">
        <v>1</v>
      </c>
      <c r="N342" s="129" t="s">
        <v>1544</v>
      </c>
      <c r="O342" s="130">
        <v>84</v>
      </c>
      <c r="P342" s="130">
        <v>25</v>
      </c>
      <c r="Q342" s="130">
        <v>12</v>
      </c>
      <c r="R342" s="129" t="s">
        <v>1309</v>
      </c>
      <c r="S342" s="129" t="s">
        <v>1310</v>
      </c>
      <c r="T342" s="130">
        <v>325</v>
      </c>
      <c r="U342" s="129" t="s">
        <v>2768</v>
      </c>
      <c r="V342" s="129" t="s">
        <v>2769</v>
      </c>
      <c r="W342" s="130">
        <v>8</v>
      </c>
      <c r="X342" s="130">
        <v>2</v>
      </c>
      <c r="Y342" s="129" t="s">
        <v>194</v>
      </c>
      <c r="Z342" s="129" t="s">
        <v>195</v>
      </c>
      <c r="AA342" s="129" t="s">
        <v>196</v>
      </c>
      <c r="AB342" s="129" t="s">
        <v>187</v>
      </c>
      <c r="AC342" s="129" t="s">
        <v>209</v>
      </c>
      <c r="AD342" s="131"/>
      <c r="AE342" s="129" t="s">
        <v>209</v>
      </c>
      <c r="AF342" s="130">
        <v>11.552</v>
      </c>
      <c r="AG342" s="132">
        <v>104.916</v>
      </c>
      <c r="AM342" s="133" t="str" cm="1">
        <f t="array" ref="AM342">IF(ROWS($AN$2:$AN341)&lt;=$AN$2,INDEX($V$3:$V$3000,_xlfn.AGGREGATE(15,3,($B$3:$B$3000=$AM$2)/($B$3:$B$3000=$AM$2)*(ROW($B$3:$B$3000)-ROW($B$2)),ROWS($AN$2:$AN341))),"")</f>
        <v/>
      </c>
      <c r="AN342" s="134" t="str" cm="1">
        <f t="array" ref="AN342">IF(ROWS($AN$2:$AN341)&lt;=$AN$2,INDEX($F$3:$F$3000,_xlfn.AGGREGATE(15,3,($B$3:$B$3000=$AM$2)/($B$3:$B$3000=$AM$2)*(ROW($B$3:$B$3000)-ROW($B$2)),ROWS($AN$2:$AN341))),"")</f>
        <v/>
      </c>
      <c r="AO342" s="135" t="str" cm="1">
        <f t="array" ref="AO342">IF(ROWS($AN$2:$AN341)&lt;=$AN$2,INDEX($G$3:$G$3000,_xlfn.AGGREGATE(15,3,($B$3:$B$3000=$AM$2)/($B$3:$B$3000=$AM$2)*(ROW($B$3:$B$3000)-ROW($B$2)),ROWS($AN$2:$AN341))),"")</f>
        <v/>
      </c>
      <c r="AP342" s="121"/>
      <c r="AT342" s="111"/>
      <c r="AW342" s="134"/>
      <c r="AX342" s="136"/>
      <c r="AY342" s="134"/>
    </row>
    <row r="343" spans="1:51" s="110" customFormat="1" ht="20" customHeight="1">
      <c r="A343" s="125" t="s">
        <v>480</v>
      </c>
      <c r="B343" s="126" t="s">
        <v>63</v>
      </c>
      <c r="C343" s="127">
        <v>19119</v>
      </c>
      <c r="D343" s="128">
        <v>108368</v>
      </c>
      <c r="E343" s="129" t="s">
        <v>2895</v>
      </c>
      <c r="F343" s="129" t="s">
        <v>2895</v>
      </c>
      <c r="G343" s="130">
        <v>366000</v>
      </c>
      <c r="H343" s="130">
        <v>5</v>
      </c>
      <c r="I343" s="129" t="s">
        <v>209</v>
      </c>
      <c r="J343" s="129" t="s">
        <v>2002</v>
      </c>
      <c r="K343" s="129" t="s">
        <v>2003</v>
      </c>
      <c r="L343" s="130">
        <v>5</v>
      </c>
      <c r="M343" s="130">
        <v>1</v>
      </c>
      <c r="N343" s="129" t="s">
        <v>1544</v>
      </c>
      <c r="O343" s="130">
        <v>80</v>
      </c>
      <c r="P343" s="130">
        <v>49</v>
      </c>
      <c r="Q343" s="130">
        <v>20</v>
      </c>
      <c r="R343" s="129" t="s">
        <v>574</v>
      </c>
      <c r="S343" s="129" t="s">
        <v>575</v>
      </c>
      <c r="T343" s="130">
        <v>160</v>
      </c>
      <c r="U343" s="129" t="s">
        <v>576</v>
      </c>
      <c r="V343" s="129" t="s">
        <v>577</v>
      </c>
      <c r="W343" s="130">
        <v>2</v>
      </c>
      <c r="X343" s="130">
        <v>2</v>
      </c>
      <c r="Y343" s="129" t="s">
        <v>194</v>
      </c>
      <c r="Z343" s="129" t="s">
        <v>195</v>
      </c>
      <c r="AA343" s="129" t="s">
        <v>196</v>
      </c>
      <c r="AB343" s="129" t="s">
        <v>187</v>
      </c>
      <c r="AC343" s="129" t="s">
        <v>187</v>
      </c>
      <c r="AD343" s="131"/>
      <c r="AE343" s="129" t="s">
        <v>209</v>
      </c>
      <c r="AF343" s="130">
        <v>12.96472</v>
      </c>
      <c r="AG343" s="132">
        <v>108.3317</v>
      </c>
      <c r="AM343" s="133" t="str" cm="1">
        <f t="array" ref="AM343">IF(ROWS($AN$2:$AN342)&lt;=$AN$2,INDEX($V$3:$V$3000,_xlfn.AGGREGATE(15,3,($B$3:$B$3000=$AM$2)/($B$3:$B$3000=$AM$2)*(ROW($B$3:$B$3000)-ROW($B$2)),ROWS($AN$2:$AN342))),"")</f>
        <v/>
      </c>
      <c r="AN343" s="134" t="str" cm="1">
        <f t="array" ref="AN343">IF(ROWS($AN$2:$AN342)&lt;=$AN$2,INDEX($F$3:$F$3000,_xlfn.AGGREGATE(15,3,($B$3:$B$3000=$AM$2)/($B$3:$B$3000=$AM$2)*(ROW($B$3:$B$3000)-ROW($B$2)),ROWS($AN$2:$AN342))),"")</f>
        <v/>
      </c>
      <c r="AO343" s="135" t="str" cm="1">
        <f t="array" ref="AO343">IF(ROWS($AN$2:$AN342)&lt;=$AN$2,INDEX($G$3:$G$3000,_xlfn.AGGREGATE(15,3,($B$3:$B$3000=$AM$2)/($B$3:$B$3000=$AM$2)*(ROW($B$3:$B$3000)-ROW($B$2)),ROWS($AN$2:$AN342))),"")</f>
        <v/>
      </c>
      <c r="AP343" s="121"/>
      <c r="AT343" s="111"/>
      <c r="AW343" s="134"/>
      <c r="AX343" s="136"/>
      <c r="AY343" s="134"/>
    </row>
    <row r="344" spans="1:51" s="110" customFormat="1" ht="20" customHeight="1">
      <c r="A344" s="125" t="s">
        <v>239</v>
      </c>
      <c r="B344" s="126" t="s">
        <v>67</v>
      </c>
      <c r="C344" s="127">
        <v>11344</v>
      </c>
      <c r="D344" s="145">
        <v>102140</v>
      </c>
      <c r="E344" s="146" t="s">
        <v>3229</v>
      </c>
      <c r="F344" s="146" t="s">
        <v>3229</v>
      </c>
      <c r="G344" s="147">
        <v>1161000</v>
      </c>
      <c r="H344" s="147">
        <v>4</v>
      </c>
      <c r="I344" s="146" t="s">
        <v>209</v>
      </c>
      <c r="J344" s="146" t="s">
        <v>3230</v>
      </c>
      <c r="K344" s="146" t="s">
        <v>3231</v>
      </c>
      <c r="L344" s="147">
        <v>5</v>
      </c>
      <c r="M344" s="147">
        <v>1</v>
      </c>
      <c r="N344" s="146" t="s">
        <v>1544</v>
      </c>
      <c r="O344" s="147">
        <v>83</v>
      </c>
      <c r="P344" s="147">
        <v>6</v>
      </c>
      <c r="Q344" s="147">
        <v>11</v>
      </c>
      <c r="R344" s="146" t="s">
        <v>740</v>
      </c>
      <c r="S344" s="146" t="s">
        <v>741</v>
      </c>
      <c r="T344" s="147">
        <v>161</v>
      </c>
      <c r="U344" s="146" t="s">
        <v>2134</v>
      </c>
      <c r="V344" s="146" t="s">
        <v>2135</v>
      </c>
      <c r="W344" s="147">
        <v>18</v>
      </c>
      <c r="X344" s="147">
        <v>2</v>
      </c>
      <c r="Y344" s="146" t="s">
        <v>194</v>
      </c>
      <c r="Z344" s="146" t="s">
        <v>195</v>
      </c>
      <c r="AA344" s="146" t="s">
        <v>196</v>
      </c>
      <c r="AB344" s="146" t="s">
        <v>209</v>
      </c>
      <c r="AC344" s="146" t="s">
        <v>209</v>
      </c>
      <c r="AD344" s="148"/>
      <c r="AE344" s="146" t="s">
        <v>209</v>
      </c>
      <c r="AF344" s="147">
        <v>15.99588</v>
      </c>
      <c r="AG344" s="149">
        <v>121.18092</v>
      </c>
      <c r="AM344" s="133" t="str" cm="1">
        <f t="array" ref="AM344">IF(ROWS($AN$2:$AN343)&lt;=$AN$2,INDEX($V$3:$V$3000,_xlfn.AGGREGATE(15,3,($B$3:$B$3000=$AM$2)/($B$3:$B$3000=$AM$2)*(ROW($B$3:$B$3000)-ROW($B$2)),ROWS($AN$2:$AN343))),"")</f>
        <v/>
      </c>
      <c r="AN344" s="134" t="str" cm="1">
        <f t="array" ref="AN344">IF(ROWS($AN$2:$AN343)&lt;=$AN$2,INDEX($F$3:$F$3000,_xlfn.AGGREGATE(15,3,($B$3:$B$3000=$AM$2)/($B$3:$B$3000=$AM$2)*(ROW($B$3:$B$3000)-ROW($B$2)),ROWS($AN$2:$AN343))),"")</f>
        <v/>
      </c>
      <c r="AO344" s="135" t="str" cm="1">
        <f t="array" ref="AO344">IF(ROWS($AN$2:$AN343)&lt;=$AN$2,INDEX($G$3:$G$3000,_xlfn.AGGREGATE(15,3,($B$3:$B$3000=$AM$2)/($B$3:$B$3000=$AM$2)*(ROW($B$3:$B$3000)-ROW($B$2)),ROWS($AN$2:$AN343))),"")</f>
        <v/>
      </c>
      <c r="AP344" s="121"/>
      <c r="AT344" s="111"/>
      <c r="AW344" s="134"/>
      <c r="AX344" s="136"/>
      <c r="AY344" s="134"/>
    </row>
    <row r="345" spans="1:51" s="110" customFormat="1" ht="20" customHeight="1">
      <c r="A345" s="125" t="s">
        <v>239</v>
      </c>
      <c r="B345" s="126" t="s">
        <v>67</v>
      </c>
      <c r="C345" s="127">
        <v>12057</v>
      </c>
      <c r="D345" s="145">
        <v>103701</v>
      </c>
      <c r="E345" s="146" t="s">
        <v>3433</v>
      </c>
      <c r="F345" s="146" t="s">
        <v>3433</v>
      </c>
      <c r="G345" s="147">
        <v>14000</v>
      </c>
      <c r="H345" s="147">
        <v>4</v>
      </c>
      <c r="I345" s="146" t="s">
        <v>209</v>
      </c>
      <c r="J345" s="146" t="s">
        <v>2606</v>
      </c>
      <c r="K345" s="146" t="s">
        <v>2607</v>
      </c>
      <c r="L345" s="147">
        <v>5</v>
      </c>
      <c r="M345" s="147">
        <v>1</v>
      </c>
      <c r="N345" s="146" t="s">
        <v>1544</v>
      </c>
      <c r="O345" s="147">
        <v>82</v>
      </c>
      <c r="P345" s="147">
        <v>6</v>
      </c>
      <c r="Q345" s="147">
        <v>11</v>
      </c>
      <c r="R345" s="146" t="s">
        <v>740</v>
      </c>
      <c r="S345" s="146" t="s">
        <v>741</v>
      </c>
      <c r="T345" s="147">
        <v>161</v>
      </c>
      <c r="U345" s="146" t="s">
        <v>2134</v>
      </c>
      <c r="V345" s="146" t="s">
        <v>2135</v>
      </c>
      <c r="W345" s="147">
        <v>36</v>
      </c>
      <c r="X345" s="147">
        <v>2</v>
      </c>
      <c r="Y345" s="146" t="s">
        <v>194</v>
      </c>
      <c r="Z345" s="146" t="s">
        <v>195</v>
      </c>
      <c r="AA345" s="146" t="s">
        <v>196</v>
      </c>
      <c r="AB345" s="146" t="s">
        <v>209</v>
      </c>
      <c r="AC345" s="146" t="s">
        <v>209</v>
      </c>
      <c r="AD345" s="148"/>
      <c r="AE345" s="146" t="s">
        <v>209</v>
      </c>
      <c r="AF345" s="147">
        <v>16.062850000000001</v>
      </c>
      <c r="AG345" s="149">
        <v>121.32352</v>
      </c>
      <c r="AM345" s="133" t="str" cm="1">
        <f t="array" ref="AM345">IF(ROWS($AN$2:$AN344)&lt;=$AN$2,INDEX($V$3:$V$3000,_xlfn.AGGREGATE(15,3,($B$3:$B$3000=$AM$2)/($B$3:$B$3000=$AM$2)*(ROW($B$3:$B$3000)-ROW($B$2)),ROWS($AN$2:$AN344))),"")</f>
        <v/>
      </c>
      <c r="AN345" s="134" t="str" cm="1">
        <f t="array" ref="AN345">IF(ROWS($AN$2:$AN344)&lt;=$AN$2,INDEX($F$3:$F$3000,_xlfn.AGGREGATE(15,3,($B$3:$B$3000=$AM$2)/($B$3:$B$3000=$AM$2)*(ROW($B$3:$B$3000)-ROW($B$2)),ROWS($AN$2:$AN344))),"")</f>
        <v/>
      </c>
      <c r="AO345" s="135" t="str" cm="1">
        <f t="array" ref="AO345">IF(ROWS($AN$2:$AN344)&lt;=$AN$2,INDEX($G$3:$G$3000,_xlfn.AGGREGATE(15,3,($B$3:$B$3000=$AM$2)/($B$3:$B$3000=$AM$2)*(ROW($B$3:$B$3000)-ROW($B$2)),ROWS($AN$2:$AN344))),"")</f>
        <v/>
      </c>
      <c r="AP345" s="121"/>
      <c r="AT345" s="111"/>
      <c r="AW345" s="134"/>
      <c r="AX345" s="136"/>
      <c r="AY345" s="134"/>
    </row>
    <row r="346" spans="1:51" s="110" customFormat="1" ht="20" customHeight="1">
      <c r="A346" s="125" t="s">
        <v>239</v>
      </c>
      <c r="B346" s="126" t="s">
        <v>67</v>
      </c>
      <c r="C346" s="127">
        <v>11203</v>
      </c>
      <c r="D346" s="128">
        <v>103019</v>
      </c>
      <c r="E346" s="129" t="s">
        <v>4822</v>
      </c>
      <c r="F346" s="129" t="s">
        <v>4822</v>
      </c>
      <c r="G346" s="130">
        <v>540000</v>
      </c>
      <c r="H346" s="130">
        <v>5</v>
      </c>
      <c r="I346" s="129" t="s">
        <v>209</v>
      </c>
      <c r="J346" s="129" t="s">
        <v>1567</v>
      </c>
      <c r="K346" s="129" t="s">
        <v>1568</v>
      </c>
      <c r="L346" s="130">
        <v>5</v>
      </c>
      <c r="M346" s="130">
        <v>1</v>
      </c>
      <c r="N346" s="129" t="s">
        <v>1544</v>
      </c>
      <c r="O346" s="130">
        <v>96</v>
      </c>
      <c r="P346" s="130">
        <v>11</v>
      </c>
      <c r="Q346" s="130">
        <v>11</v>
      </c>
      <c r="R346" s="129" t="s">
        <v>740</v>
      </c>
      <c r="S346" s="129" t="s">
        <v>741</v>
      </c>
      <c r="T346" s="130">
        <v>161</v>
      </c>
      <c r="U346" s="129" t="s">
        <v>2134</v>
      </c>
      <c r="V346" s="129" t="s">
        <v>2135</v>
      </c>
      <c r="W346" s="130">
        <v>1</v>
      </c>
      <c r="X346" s="130">
        <v>2</v>
      </c>
      <c r="Y346" s="129" t="s">
        <v>194</v>
      </c>
      <c r="Z346" s="129" t="s">
        <v>195</v>
      </c>
      <c r="AA346" s="129" t="s">
        <v>196</v>
      </c>
      <c r="AB346" s="129" t="s">
        <v>209</v>
      </c>
      <c r="AC346" s="129" t="s">
        <v>187</v>
      </c>
      <c r="AD346" s="131"/>
      <c r="AE346" s="129" t="s">
        <v>209</v>
      </c>
      <c r="AF346" s="130">
        <v>14.0689064025365</v>
      </c>
      <c r="AG346" s="132">
        <v>121.747962258386</v>
      </c>
      <c r="AM346" s="133" t="str" cm="1">
        <f t="array" ref="AM346">IF(ROWS($AN$2:$AN345)&lt;=$AN$2,INDEX($V$3:$V$3000,_xlfn.AGGREGATE(15,3,($B$3:$B$3000=$AM$2)/($B$3:$B$3000=$AM$2)*(ROW($B$3:$B$3000)-ROW($B$2)),ROWS($AN$2:$AN345))),"")</f>
        <v/>
      </c>
      <c r="AN346" s="134" t="str" cm="1">
        <f t="array" ref="AN346">IF(ROWS($AN$2:$AN345)&lt;=$AN$2,INDEX($F$3:$F$3000,_xlfn.AGGREGATE(15,3,($B$3:$B$3000=$AM$2)/($B$3:$B$3000=$AM$2)*(ROW($B$3:$B$3000)-ROW($B$2)),ROWS($AN$2:$AN345))),"")</f>
        <v/>
      </c>
      <c r="AO346" s="135" t="str" cm="1">
        <f t="array" ref="AO346">IF(ROWS($AN$2:$AN345)&lt;=$AN$2,INDEX($G$3:$G$3000,_xlfn.AGGREGATE(15,3,($B$3:$B$3000=$AM$2)/($B$3:$B$3000=$AM$2)*(ROW($B$3:$B$3000)-ROW($B$2)),ROWS($AN$2:$AN345))),"")</f>
        <v/>
      </c>
      <c r="AP346" s="121"/>
      <c r="AT346" s="111"/>
      <c r="AW346" s="134"/>
      <c r="AX346" s="136"/>
      <c r="AY346" s="134"/>
    </row>
    <row r="347" spans="1:51" s="110" customFormat="1" ht="20" customHeight="1">
      <c r="A347" s="125" t="s">
        <v>239</v>
      </c>
      <c r="B347" s="126" t="s">
        <v>67</v>
      </c>
      <c r="C347" s="127">
        <v>19007</v>
      </c>
      <c r="D347" s="151">
        <v>114916</v>
      </c>
      <c r="E347" s="152" t="s">
        <v>627</v>
      </c>
      <c r="F347" s="152" t="s">
        <v>627</v>
      </c>
      <c r="G347" s="153">
        <v>811000</v>
      </c>
      <c r="H347" s="153">
        <v>3</v>
      </c>
      <c r="I347" s="152" t="s">
        <v>209</v>
      </c>
      <c r="J347" s="152" t="s">
        <v>4845</v>
      </c>
      <c r="K347" s="152" t="s">
        <v>4846</v>
      </c>
      <c r="L347" s="153">
        <v>2</v>
      </c>
      <c r="M347" s="153">
        <v>1</v>
      </c>
      <c r="N347" s="152" t="s">
        <v>1544</v>
      </c>
      <c r="O347" s="153">
        <v>92.25</v>
      </c>
      <c r="P347" s="154"/>
      <c r="Q347" s="153">
        <v>26</v>
      </c>
      <c r="R347" s="152" t="s">
        <v>630</v>
      </c>
      <c r="S347" s="152" t="s">
        <v>627</v>
      </c>
      <c r="T347" s="153">
        <v>328</v>
      </c>
      <c r="U347" s="152" t="s">
        <v>631</v>
      </c>
      <c r="V347" s="152" t="s">
        <v>627</v>
      </c>
      <c r="W347" s="153">
        <v>216</v>
      </c>
      <c r="X347" s="153">
        <v>2</v>
      </c>
      <c r="Y347" s="152" t="s">
        <v>194</v>
      </c>
      <c r="Z347" s="152" t="s">
        <v>195</v>
      </c>
      <c r="AA347" s="152" t="s">
        <v>196</v>
      </c>
      <c r="AB347" s="152" t="s">
        <v>209</v>
      </c>
      <c r="AC347" s="152" t="s">
        <v>187</v>
      </c>
      <c r="AD347" s="154"/>
      <c r="AE347" s="152" t="s">
        <v>209</v>
      </c>
      <c r="AF347" s="153">
        <v>16.915980000000001</v>
      </c>
      <c r="AG347" s="155">
        <v>121.51221</v>
      </c>
      <c r="AM347" s="133" t="str" cm="1">
        <f t="array" ref="AM347">IF(ROWS($AN$2:$AN346)&lt;=$AN$2,INDEX($V$3:$V$3000,_xlfn.AGGREGATE(15,3,($B$3:$B$3000=$AM$2)/($B$3:$B$3000=$AM$2)*(ROW($B$3:$B$3000)-ROW($B$2)),ROWS($AN$2:$AN346))),"")</f>
        <v/>
      </c>
      <c r="AN347" s="134" t="str" cm="1">
        <f t="array" ref="AN347">IF(ROWS($AN$2:$AN346)&lt;=$AN$2,INDEX($F$3:$F$3000,_xlfn.AGGREGATE(15,3,($B$3:$B$3000=$AM$2)/($B$3:$B$3000=$AM$2)*(ROW($B$3:$B$3000)-ROW($B$2)),ROWS($AN$2:$AN346))),"")</f>
        <v/>
      </c>
      <c r="AO347" s="135" t="str" cm="1">
        <f t="array" ref="AO347">IF(ROWS($AN$2:$AN346)&lt;=$AN$2,INDEX($G$3:$G$3000,_xlfn.AGGREGATE(15,3,($B$3:$B$3000=$AM$2)/($B$3:$B$3000=$AM$2)*(ROW($B$3:$B$3000)-ROW($B$2)),ROWS($AN$2:$AN346))),"")</f>
        <v/>
      </c>
      <c r="AP347" s="121"/>
      <c r="AT347" s="111"/>
      <c r="AW347" s="134"/>
      <c r="AX347" s="136"/>
      <c r="AY347" s="134"/>
    </row>
    <row r="348" spans="1:51" s="110" customFormat="1" ht="20" customHeight="1">
      <c r="A348" s="125" t="s">
        <v>1549</v>
      </c>
      <c r="B348" s="126" t="s">
        <v>62</v>
      </c>
      <c r="C348" s="127">
        <v>19007</v>
      </c>
      <c r="D348" s="151">
        <v>114916</v>
      </c>
      <c r="E348" s="152" t="s">
        <v>627</v>
      </c>
      <c r="F348" s="152" t="s">
        <v>627</v>
      </c>
      <c r="G348" s="153">
        <v>9700</v>
      </c>
      <c r="H348" s="153">
        <v>3</v>
      </c>
      <c r="I348" s="152" t="s">
        <v>209</v>
      </c>
      <c r="J348" s="152" t="s">
        <v>634</v>
      </c>
      <c r="K348" s="152" t="s">
        <v>635</v>
      </c>
      <c r="L348" s="153">
        <v>0</v>
      </c>
      <c r="M348" s="153">
        <v>1</v>
      </c>
      <c r="N348" s="152" t="s">
        <v>1544</v>
      </c>
      <c r="O348" s="153">
        <v>87.39</v>
      </c>
      <c r="P348" s="154"/>
      <c r="Q348" s="153">
        <v>26</v>
      </c>
      <c r="R348" s="152" t="s">
        <v>630</v>
      </c>
      <c r="S348" s="152" t="s">
        <v>627</v>
      </c>
      <c r="T348" s="153">
        <v>328</v>
      </c>
      <c r="U348" s="152" t="s">
        <v>631</v>
      </c>
      <c r="V348" s="152" t="s">
        <v>627</v>
      </c>
      <c r="W348" s="153">
        <v>216</v>
      </c>
      <c r="X348" s="153">
        <v>2</v>
      </c>
      <c r="Y348" s="152" t="s">
        <v>194</v>
      </c>
      <c r="Z348" s="152" t="s">
        <v>195</v>
      </c>
      <c r="AA348" s="152" t="s">
        <v>196</v>
      </c>
      <c r="AB348" s="152" t="s">
        <v>187</v>
      </c>
      <c r="AC348" s="152" t="s">
        <v>187</v>
      </c>
      <c r="AD348" s="154"/>
      <c r="AE348" s="152" t="s">
        <v>209</v>
      </c>
      <c r="AF348" s="153">
        <v>-8.8742169999999998</v>
      </c>
      <c r="AG348" s="155">
        <v>125.72753899999999</v>
      </c>
      <c r="AM348" s="133" t="str" cm="1">
        <f t="array" ref="AM348">IF(ROWS($AN$2:$AN347)&lt;=$AN$2,INDEX($V$3:$V$3000,_xlfn.AGGREGATE(15,3,($B$3:$B$3000=$AM$2)/($B$3:$B$3000=$AM$2)*(ROW($B$3:$B$3000)-ROW($B$2)),ROWS($AN$2:$AN347))),"")</f>
        <v/>
      </c>
      <c r="AN348" s="134" t="str" cm="1">
        <f t="array" ref="AN348">IF(ROWS($AN$2:$AN347)&lt;=$AN$2,INDEX($F$3:$F$3000,_xlfn.AGGREGATE(15,3,($B$3:$B$3000=$AM$2)/($B$3:$B$3000=$AM$2)*(ROW($B$3:$B$3000)-ROW($B$2)),ROWS($AN$2:$AN347))),"")</f>
        <v/>
      </c>
      <c r="AO348" s="135" t="str" cm="1">
        <f t="array" ref="AO348">IF(ROWS($AN$2:$AN347)&lt;=$AN$2,INDEX($G$3:$G$3000,_xlfn.AGGREGATE(15,3,($B$3:$B$3000=$AM$2)/($B$3:$B$3000=$AM$2)*(ROW($B$3:$B$3000)-ROW($B$2)),ROWS($AN$2:$AN347))),"")</f>
        <v/>
      </c>
      <c r="AP348" s="121"/>
      <c r="AT348" s="111"/>
      <c r="AW348" s="134"/>
      <c r="AX348" s="136"/>
      <c r="AY348" s="134"/>
    </row>
    <row r="349" spans="1:51" s="110" customFormat="1" ht="20" customHeight="1">
      <c r="A349" s="125" t="s">
        <v>370</v>
      </c>
      <c r="B349" s="126" t="s">
        <v>58</v>
      </c>
      <c r="C349" s="127">
        <v>15175</v>
      </c>
      <c r="D349" s="128">
        <v>109692</v>
      </c>
      <c r="E349" s="129" t="s">
        <v>4270</v>
      </c>
      <c r="F349" s="129" t="s">
        <v>4270</v>
      </c>
      <c r="G349" s="130">
        <v>34000</v>
      </c>
      <c r="H349" s="130">
        <v>5</v>
      </c>
      <c r="I349" s="129" t="s">
        <v>209</v>
      </c>
      <c r="J349" s="129" t="s">
        <v>1567</v>
      </c>
      <c r="K349" s="129" t="s">
        <v>1568</v>
      </c>
      <c r="L349" s="130">
        <v>5</v>
      </c>
      <c r="M349" s="130">
        <v>1</v>
      </c>
      <c r="N349" s="129" t="s">
        <v>1544</v>
      </c>
      <c r="O349" s="130">
        <v>80</v>
      </c>
      <c r="P349" s="130">
        <v>22</v>
      </c>
      <c r="Q349" s="130">
        <v>17</v>
      </c>
      <c r="R349" s="129" t="s">
        <v>190</v>
      </c>
      <c r="S349" s="129" t="s">
        <v>191</v>
      </c>
      <c r="T349" s="130">
        <v>166</v>
      </c>
      <c r="U349" s="129" t="s">
        <v>1390</v>
      </c>
      <c r="V349" s="129" t="s">
        <v>1391</v>
      </c>
      <c r="W349" s="130">
        <v>54</v>
      </c>
      <c r="X349" s="130">
        <v>2</v>
      </c>
      <c r="Y349" s="129" t="s">
        <v>194</v>
      </c>
      <c r="Z349" s="129" t="s">
        <v>195</v>
      </c>
      <c r="AA349" s="129" t="s">
        <v>196</v>
      </c>
      <c r="AB349" s="129" t="s">
        <v>187</v>
      </c>
      <c r="AC349" s="129" t="s">
        <v>209</v>
      </c>
      <c r="AD349" s="131"/>
      <c r="AE349" s="129" t="s">
        <v>209</v>
      </c>
      <c r="AF349" s="130">
        <v>4.8985469999999998</v>
      </c>
      <c r="AG349" s="132">
        <v>114.84916800000001</v>
      </c>
      <c r="AM349" s="133" t="str" cm="1">
        <f t="array" ref="AM349">IF(ROWS($AN$2:$AN348)&lt;=$AN$2,INDEX($V$3:$V$3000,_xlfn.AGGREGATE(15,3,($B$3:$B$3000=$AM$2)/($B$3:$B$3000=$AM$2)*(ROW($B$3:$B$3000)-ROW($B$2)),ROWS($AN$2:$AN348))),"")</f>
        <v/>
      </c>
      <c r="AN349" s="134" t="str" cm="1">
        <f t="array" ref="AN349">IF(ROWS($AN$2:$AN348)&lt;=$AN$2,INDEX($F$3:$F$3000,_xlfn.AGGREGATE(15,3,($B$3:$B$3000=$AM$2)/($B$3:$B$3000=$AM$2)*(ROW($B$3:$B$3000)-ROW($B$2)),ROWS($AN$2:$AN348))),"")</f>
        <v/>
      </c>
      <c r="AO349" s="135" t="str" cm="1">
        <f t="array" ref="AO349">IF(ROWS($AN$2:$AN348)&lt;=$AN$2,INDEX($G$3:$G$3000,_xlfn.AGGREGATE(15,3,($B$3:$B$3000=$AM$2)/($B$3:$B$3000=$AM$2)*(ROW($B$3:$B$3000)-ROW($B$2)),ROWS($AN$2:$AN348))),"")</f>
        <v/>
      </c>
      <c r="AP349" s="121"/>
      <c r="AT349" s="111"/>
      <c r="AW349" s="134"/>
      <c r="AX349" s="136"/>
      <c r="AY349" s="134"/>
    </row>
    <row r="350" spans="1:51" s="110" customFormat="1" ht="20" customHeight="1">
      <c r="A350" s="125" t="s">
        <v>185</v>
      </c>
      <c r="B350" s="126" t="s">
        <v>59</v>
      </c>
      <c r="C350" s="127">
        <v>15175</v>
      </c>
      <c r="D350" s="145">
        <v>109692</v>
      </c>
      <c r="E350" s="146" t="s">
        <v>4270</v>
      </c>
      <c r="F350" s="146" t="s">
        <v>4270</v>
      </c>
      <c r="G350" s="147">
        <v>83000</v>
      </c>
      <c r="H350" s="147">
        <v>4</v>
      </c>
      <c r="I350" s="146" t="s">
        <v>209</v>
      </c>
      <c r="J350" s="146" t="s">
        <v>1567</v>
      </c>
      <c r="K350" s="146" t="s">
        <v>1568</v>
      </c>
      <c r="L350" s="147">
        <v>5</v>
      </c>
      <c r="M350" s="147">
        <v>1</v>
      </c>
      <c r="N350" s="146" t="s">
        <v>1544</v>
      </c>
      <c r="O350" s="147">
        <v>99</v>
      </c>
      <c r="P350" s="147">
        <v>8</v>
      </c>
      <c r="Q350" s="147">
        <v>17</v>
      </c>
      <c r="R350" s="146" t="s">
        <v>190</v>
      </c>
      <c r="S350" s="146" t="s">
        <v>191</v>
      </c>
      <c r="T350" s="147">
        <v>166</v>
      </c>
      <c r="U350" s="146" t="s">
        <v>1390</v>
      </c>
      <c r="V350" s="146" t="s">
        <v>1391</v>
      </c>
      <c r="W350" s="147">
        <v>54</v>
      </c>
      <c r="X350" s="147">
        <v>2</v>
      </c>
      <c r="Y350" s="146" t="s">
        <v>194</v>
      </c>
      <c r="Z350" s="146" t="s">
        <v>195</v>
      </c>
      <c r="AA350" s="146" t="s">
        <v>196</v>
      </c>
      <c r="AB350" s="146" t="s">
        <v>187</v>
      </c>
      <c r="AC350" s="146" t="s">
        <v>209</v>
      </c>
      <c r="AD350" s="148"/>
      <c r="AE350" s="146" t="s">
        <v>209</v>
      </c>
      <c r="AF350" s="147">
        <v>-6.1593460000000002</v>
      </c>
      <c r="AG350" s="149">
        <v>106.78685900000001</v>
      </c>
      <c r="AM350" s="133" t="str" cm="1">
        <f t="array" ref="AM350">IF(ROWS($AN$2:$AN349)&lt;=$AN$2,INDEX($V$3:$V$3000,_xlfn.AGGREGATE(15,3,($B$3:$B$3000=$AM$2)/($B$3:$B$3000=$AM$2)*(ROW($B$3:$B$3000)-ROW($B$2)),ROWS($AN$2:$AN349))),"")</f>
        <v/>
      </c>
      <c r="AN350" s="134" t="str" cm="1">
        <f t="array" ref="AN350">IF(ROWS($AN$2:$AN349)&lt;=$AN$2,INDEX($F$3:$F$3000,_xlfn.AGGREGATE(15,3,($B$3:$B$3000=$AM$2)/($B$3:$B$3000=$AM$2)*(ROW($B$3:$B$3000)-ROW($B$2)),ROWS($AN$2:$AN349))),"")</f>
        <v/>
      </c>
      <c r="AO350" s="135" t="str" cm="1">
        <f t="array" ref="AO350">IF(ROWS($AN$2:$AN349)&lt;=$AN$2,INDEX($G$3:$G$3000,_xlfn.AGGREGATE(15,3,($B$3:$B$3000=$AM$2)/($B$3:$B$3000=$AM$2)*(ROW($B$3:$B$3000)-ROW($B$2)),ROWS($AN$2:$AN349))),"")</f>
        <v/>
      </c>
      <c r="AP350" s="121"/>
      <c r="AT350" s="111"/>
      <c r="AW350" s="134"/>
      <c r="AX350" s="136"/>
      <c r="AY350" s="134"/>
    </row>
    <row r="351" spans="1:51" s="110" customFormat="1" ht="20" customHeight="1">
      <c r="A351" s="125" t="s">
        <v>237</v>
      </c>
      <c r="B351" s="126" t="s">
        <v>60</v>
      </c>
      <c r="C351" s="127">
        <v>15175</v>
      </c>
      <c r="D351" s="128">
        <v>109692</v>
      </c>
      <c r="E351" s="129" t="s">
        <v>4270</v>
      </c>
      <c r="F351" s="129" t="s">
        <v>4270</v>
      </c>
      <c r="G351" s="130">
        <v>471000</v>
      </c>
      <c r="H351" s="130">
        <v>5</v>
      </c>
      <c r="I351" s="129" t="s">
        <v>209</v>
      </c>
      <c r="J351" s="129" t="s">
        <v>1567</v>
      </c>
      <c r="K351" s="129" t="s">
        <v>1568</v>
      </c>
      <c r="L351" s="130">
        <v>5</v>
      </c>
      <c r="M351" s="130">
        <v>1</v>
      </c>
      <c r="N351" s="129" t="s">
        <v>1544</v>
      </c>
      <c r="O351" s="130">
        <v>92</v>
      </c>
      <c r="P351" s="130">
        <v>12</v>
      </c>
      <c r="Q351" s="130">
        <v>17</v>
      </c>
      <c r="R351" s="129" t="s">
        <v>190</v>
      </c>
      <c r="S351" s="129" t="s">
        <v>191</v>
      </c>
      <c r="T351" s="130">
        <v>166</v>
      </c>
      <c r="U351" s="129" t="s">
        <v>1390</v>
      </c>
      <c r="V351" s="129" t="s">
        <v>1391</v>
      </c>
      <c r="W351" s="130">
        <v>54</v>
      </c>
      <c r="X351" s="130">
        <v>2</v>
      </c>
      <c r="Y351" s="129" t="s">
        <v>194</v>
      </c>
      <c r="Z351" s="129" t="s">
        <v>195</v>
      </c>
      <c r="AA351" s="129" t="s">
        <v>196</v>
      </c>
      <c r="AB351" s="129" t="s">
        <v>187</v>
      </c>
      <c r="AC351" s="129" t="s">
        <v>209</v>
      </c>
      <c r="AD351" s="131"/>
      <c r="AE351" s="129" t="s">
        <v>209</v>
      </c>
      <c r="AF351" s="130">
        <v>2.9913947438723199</v>
      </c>
      <c r="AG351" s="132">
        <v>101.798993661228</v>
      </c>
      <c r="AM351" s="133" t="str" cm="1">
        <f t="array" ref="AM351">IF(ROWS($AN$2:$AN350)&lt;=$AN$2,INDEX($V$3:$V$3000,_xlfn.AGGREGATE(15,3,($B$3:$B$3000=$AM$2)/($B$3:$B$3000=$AM$2)*(ROW($B$3:$B$3000)-ROW($B$2)),ROWS($AN$2:$AN350))),"")</f>
        <v/>
      </c>
      <c r="AN351" s="134" t="str" cm="1">
        <f t="array" ref="AN351">IF(ROWS($AN$2:$AN350)&lt;=$AN$2,INDEX($F$3:$F$3000,_xlfn.AGGREGATE(15,3,($B$3:$B$3000=$AM$2)/($B$3:$B$3000=$AM$2)*(ROW($B$3:$B$3000)-ROW($B$2)),ROWS($AN$2:$AN350))),"")</f>
        <v/>
      </c>
      <c r="AO351" s="135" t="str" cm="1">
        <f t="array" ref="AO351">IF(ROWS($AN$2:$AN350)&lt;=$AN$2,INDEX($G$3:$G$3000,_xlfn.AGGREGATE(15,3,($B$3:$B$3000=$AM$2)/($B$3:$B$3000=$AM$2)*(ROW($B$3:$B$3000)-ROW($B$2)),ROWS($AN$2:$AN350))),"")</f>
        <v/>
      </c>
      <c r="AP351" s="121"/>
      <c r="AT351" s="111"/>
      <c r="AW351" s="134"/>
      <c r="AX351" s="136"/>
      <c r="AY351" s="134"/>
    </row>
    <row r="352" spans="1:51" s="110" customFormat="1" ht="20" customHeight="1">
      <c r="A352" s="125" t="s">
        <v>239</v>
      </c>
      <c r="B352" s="126" t="s">
        <v>67</v>
      </c>
      <c r="C352" s="127">
        <v>20554</v>
      </c>
      <c r="D352" s="151">
        <v>116835</v>
      </c>
      <c r="E352" s="152" t="s">
        <v>3762</v>
      </c>
      <c r="F352" s="152" t="s">
        <v>3762</v>
      </c>
      <c r="G352" s="153">
        <v>12000</v>
      </c>
      <c r="H352" s="153">
        <v>3</v>
      </c>
      <c r="I352" s="152" t="s">
        <v>209</v>
      </c>
      <c r="J352" s="152" t="s">
        <v>3763</v>
      </c>
      <c r="K352" s="152" t="s">
        <v>3762</v>
      </c>
      <c r="L352" s="153">
        <v>1</v>
      </c>
      <c r="M352" s="153">
        <v>1</v>
      </c>
      <c r="N352" s="152" t="s">
        <v>1544</v>
      </c>
      <c r="O352" s="153">
        <v>75</v>
      </c>
      <c r="P352" s="153">
        <v>2</v>
      </c>
      <c r="Q352" s="153">
        <v>17</v>
      </c>
      <c r="R352" s="152" t="s">
        <v>190</v>
      </c>
      <c r="S352" s="152" t="s">
        <v>191</v>
      </c>
      <c r="T352" s="153">
        <v>166</v>
      </c>
      <c r="U352" s="152" t="s">
        <v>1390</v>
      </c>
      <c r="V352" s="152" t="s">
        <v>1391</v>
      </c>
      <c r="W352" s="153">
        <v>1</v>
      </c>
      <c r="X352" s="153">
        <v>2</v>
      </c>
      <c r="Y352" s="152" t="s">
        <v>194</v>
      </c>
      <c r="Z352" s="152" t="s">
        <v>195</v>
      </c>
      <c r="AA352" s="152" t="s">
        <v>196</v>
      </c>
      <c r="AB352" s="152" t="s">
        <v>209</v>
      </c>
      <c r="AC352" s="152" t="s">
        <v>187</v>
      </c>
      <c r="AD352" s="154"/>
      <c r="AE352" s="152" t="s">
        <v>209</v>
      </c>
      <c r="AF352" s="153">
        <v>11.027441</v>
      </c>
      <c r="AG352" s="155">
        <v>124.908817</v>
      </c>
      <c r="AM352" s="133" t="str" cm="1">
        <f t="array" ref="AM352">IF(ROWS($AN$2:$AN351)&lt;=$AN$2,INDEX($V$3:$V$3000,_xlfn.AGGREGATE(15,3,($B$3:$B$3000=$AM$2)/($B$3:$B$3000=$AM$2)*(ROW($B$3:$B$3000)-ROW($B$2)),ROWS($AN$2:$AN351))),"")</f>
        <v/>
      </c>
      <c r="AN352" s="134" t="str" cm="1">
        <f t="array" ref="AN352">IF(ROWS($AN$2:$AN351)&lt;=$AN$2,INDEX($F$3:$F$3000,_xlfn.AGGREGATE(15,3,($B$3:$B$3000=$AM$2)/($B$3:$B$3000=$AM$2)*(ROW($B$3:$B$3000)-ROW($B$2)),ROWS($AN$2:$AN351))),"")</f>
        <v/>
      </c>
      <c r="AO352" s="135" t="str" cm="1">
        <f t="array" ref="AO352">IF(ROWS($AN$2:$AN351)&lt;=$AN$2,INDEX($G$3:$G$3000,_xlfn.AGGREGATE(15,3,($B$3:$B$3000=$AM$2)/($B$3:$B$3000=$AM$2)*(ROW($B$3:$B$3000)-ROW($B$2)),ROWS($AN$2:$AN351))),"")</f>
        <v/>
      </c>
      <c r="AP352" s="121"/>
      <c r="AT352" s="111"/>
      <c r="AW352" s="134"/>
      <c r="AX352" s="136"/>
      <c r="AY352" s="134"/>
    </row>
    <row r="353" spans="1:51" s="110" customFormat="1" ht="20" customHeight="1">
      <c r="A353" s="125" t="s">
        <v>239</v>
      </c>
      <c r="B353" s="126" t="s">
        <v>67</v>
      </c>
      <c r="C353" s="127">
        <v>15864</v>
      </c>
      <c r="D353" s="145">
        <v>110687</v>
      </c>
      <c r="E353" s="146" t="s">
        <v>4896</v>
      </c>
      <c r="F353" s="146" t="s">
        <v>4897</v>
      </c>
      <c r="G353" s="147">
        <v>3611000</v>
      </c>
      <c r="H353" s="147">
        <v>4</v>
      </c>
      <c r="I353" s="146" t="s">
        <v>209</v>
      </c>
      <c r="J353" s="146" t="s">
        <v>4898</v>
      </c>
      <c r="K353" s="146" t="s">
        <v>4896</v>
      </c>
      <c r="L353" s="147">
        <v>5</v>
      </c>
      <c r="M353" s="147">
        <v>1</v>
      </c>
      <c r="N353" s="146" t="s">
        <v>1544</v>
      </c>
      <c r="O353" s="147">
        <v>99</v>
      </c>
      <c r="P353" s="147">
        <v>4.694</v>
      </c>
      <c r="Q353" s="147">
        <v>17</v>
      </c>
      <c r="R353" s="146" t="s">
        <v>190</v>
      </c>
      <c r="S353" s="146" t="s">
        <v>191</v>
      </c>
      <c r="T353" s="147">
        <v>166</v>
      </c>
      <c r="U353" s="146" t="s">
        <v>1390</v>
      </c>
      <c r="V353" s="146" t="s">
        <v>1391</v>
      </c>
      <c r="W353" s="147">
        <v>1</v>
      </c>
      <c r="X353" s="147">
        <v>2</v>
      </c>
      <c r="Y353" s="146" t="s">
        <v>194</v>
      </c>
      <c r="Z353" s="146" t="s">
        <v>195</v>
      </c>
      <c r="AA353" s="146" t="s">
        <v>196</v>
      </c>
      <c r="AB353" s="146" t="s">
        <v>209</v>
      </c>
      <c r="AC353" s="146" t="s">
        <v>187</v>
      </c>
      <c r="AD353" s="148"/>
      <c r="AE353" s="146" t="s">
        <v>209</v>
      </c>
      <c r="AF353" s="147">
        <v>11.491149999772601</v>
      </c>
      <c r="AG353" s="149">
        <v>125.012030000184</v>
      </c>
      <c r="AM353" s="133" t="str" cm="1">
        <f t="array" ref="AM353">IF(ROWS($AN$2:$AN352)&lt;=$AN$2,INDEX($V$3:$V$3000,_xlfn.AGGREGATE(15,3,($B$3:$B$3000=$AM$2)/($B$3:$B$3000=$AM$2)*(ROW($B$3:$B$3000)-ROW($B$2)),ROWS($AN$2:$AN352))),"")</f>
        <v/>
      </c>
      <c r="AN353" s="134" t="str" cm="1">
        <f t="array" ref="AN353">IF(ROWS($AN$2:$AN352)&lt;=$AN$2,INDEX($F$3:$F$3000,_xlfn.AGGREGATE(15,3,($B$3:$B$3000=$AM$2)/($B$3:$B$3000=$AM$2)*(ROW($B$3:$B$3000)-ROW($B$2)),ROWS($AN$2:$AN352))),"")</f>
        <v/>
      </c>
      <c r="AO353" s="135" t="str" cm="1">
        <f t="array" ref="AO353">IF(ROWS($AN$2:$AN352)&lt;=$AN$2,INDEX($G$3:$G$3000,_xlfn.AGGREGATE(15,3,($B$3:$B$3000=$AM$2)/($B$3:$B$3000=$AM$2)*(ROW($B$3:$B$3000)-ROW($B$2)),ROWS($AN$2:$AN352))),"")</f>
        <v/>
      </c>
      <c r="AP353" s="121"/>
      <c r="AT353" s="111"/>
      <c r="AW353" s="134"/>
      <c r="AX353" s="136"/>
      <c r="AY353" s="134"/>
    </row>
    <row r="354" spans="1:51" s="110" customFormat="1" ht="20" customHeight="1">
      <c r="A354" s="125" t="s">
        <v>239</v>
      </c>
      <c r="B354" s="126" t="s">
        <v>67</v>
      </c>
      <c r="C354" s="127">
        <v>11285</v>
      </c>
      <c r="D354" s="145">
        <v>101951</v>
      </c>
      <c r="E354" s="146" t="s">
        <v>4865</v>
      </c>
      <c r="F354" s="146" t="s">
        <v>4865</v>
      </c>
      <c r="G354" s="147">
        <v>1081000</v>
      </c>
      <c r="H354" s="147">
        <v>4</v>
      </c>
      <c r="I354" s="146" t="s">
        <v>209</v>
      </c>
      <c r="J354" s="146" t="s">
        <v>4866</v>
      </c>
      <c r="K354" s="146" t="s">
        <v>4867</v>
      </c>
      <c r="L354" s="147">
        <v>4</v>
      </c>
      <c r="M354" s="147">
        <v>1</v>
      </c>
      <c r="N354" s="146" t="s">
        <v>1544</v>
      </c>
      <c r="O354" s="147">
        <v>95</v>
      </c>
      <c r="P354" s="147">
        <v>9.3879999999999999</v>
      </c>
      <c r="Q354" s="147">
        <v>17</v>
      </c>
      <c r="R354" s="146" t="s">
        <v>190</v>
      </c>
      <c r="S354" s="146" t="s">
        <v>191</v>
      </c>
      <c r="T354" s="147">
        <v>166</v>
      </c>
      <c r="U354" s="146" t="s">
        <v>1390</v>
      </c>
      <c r="V354" s="146" t="s">
        <v>1391</v>
      </c>
      <c r="W354" s="147">
        <v>1</v>
      </c>
      <c r="X354" s="147">
        <v>2</v>
      </c>
      <c r="Y354" s="146" t="s">
        <v>194</v>
      </c>
      <c r="Z354" s="146" t="s">
        <v>195</v>
      </c>
      <c r="AA354" s="146" t="s">
        <v>196</v>
      </c>
      <c r="AB354" s="146" t="s">
        <v>209</v>
      </c>
      <c r="AC354" s="146" t="s">
        <v>187</v>
      </c>
      <c r="AD354" s="148"/>
      <c r="AE354" s="146" t="s">
        <v>209</v>
      </c>
      <c r="AF354" s="147">
        <v>7.1166</v>
      </c>
      <c r="AG354" s="149">
        <v>122.13145</v>
      </c>
      <c r="AM354" s="133" t="str" cm="1">
        <f t="array" ref="AM354">IF(ROWS($AN$2:$AN353)&lt;=$AN$2,INDEX($V$3:$V$3000,_xlfn.AGGREGATE(15,3,($B$3:$B$3000=$AM$2)/($B$3:$B$3000=$AM$2)*(ROW($B$3:$B$3000)-ROW($B$2)),ROWS($AN$2:$AN353))),"")</f>
        <v/>
      </c>
      <c r="AN354" s="134" t="str" cm="1">
        <f t="array" ref="AN354">IF(ROWS($AN$2:$AN353)&lt;=$AN$2,INDEX($F$3:$F$3000,_xlfn.AGGREGATE(15,3,($B$3:$B$3000=$AM$2)/($B$3:$B$3000=$AM$2)*(ROW($B$3:$B$3000)-ROW($B$2)),ROWS($AN$2:$AN353))),"")</f>
        <v/>
      </c>
      <c r="AO354" s="135" t="str" cm="1">
        <f t="array" ref="AO354">IF(ROWS($AN$2:$AN353)&lt;=$AN$2,INDEX($G$3:$G$3000,_xlfn.AGGREGATE(15,3,($B$3:$B$3000=$AM$2)/($B$3:$B$3000=$AM$2)*(ROW($B$3:$B$3000)-ROW($B$2)),ROWS($AN$2:$AN353))),"")</f>
        <v/>
      </c>
      <c r="AP354" s="121"/>
      <c r="AT354" s="111"/>
      <c r="AW354" s="134"/>
      <c r="AX354" s="136"/>
      <c r="AY354" s="134"/>
    </row>
    <row r="355" spans="1:51" s="110" customFormat="1" ht="20" customHeight="1">
      <c r="A355" s="125" t="s">
        <v>239</v>
      </c>
      <c r="B355" s="126" t="s">
        <v>67</v>
      </c>
      <c r="C355" s="127">
        <v>10225</v>
      </c>
      <c r="D355" s="145">
        <v>100189</v>
      </c>
      <c r="E355" s="146" t="s">
        <v>4831</v>
      </c>
      <c r="F355" s="146" t="s">
        <v>4831</v>
      </c>
      <c r="G355" s="147">
        <v>635000</v>
      </c>
      <c r="H355" s="147">
        <v>4</v>
      </c>
      <c r="I355" s="146" t="s">
        <v>209</v>
      </c>
      <c r="J355" s="146" t="s">
        <v>4832</v>
      </c>
      <c r="K355" s="146" t="s">
        <v>4833</v>
      </c>
      <c r="L355" s="147">
        <v>3</v>
      </c>
      <c r="M355" s="147">
        <v>1</v>
      </c>
      <c r="N355" s="146" t="s">
        <v>1544</v>
      </c>
      <c r="O355" s="147">
        <v>97</v>
      </c>
      <c r="P355" s="147">
        <v>10</v>
      </c>
      <c r="Q355" s="147">
        <v>17</v>
      </c>
      <c r="R355" s="146" t="s">
        <v>190</v>
      </c>
      <c r="S355" s="146" t="s">
        <v>191</v>
      </c>
      <c r="T355" s="147">
        <v>166</v>
      </c>
      <c r="U355" s="146" t="s">
        <v>1390</v>
      </c>
      <c r="V355" s="146" t="s">
        <v>1391</v>
      </c>
      <c r="W355" s="147">
        <v>2</v>
      </c>
      <c r="X355" s="147">
        <v>2</v>
      </c>
      <c r="Y355" s="146" t="s">
        <v>194</v>
      </c>
      <c r="Z355" s="146" t="s">
        <v>195</v>
      </c>
      <c r="AA355" s="146" t="s">
        <v>196</v>
      </c>
      <c r="AB355" s="146" t="s">
        <v>209</v>
      </c>
      <c r="AC355" s="146" t="s">
        <v>187</v>
      </c>
      <c r="AD355" s="148"/>
      <c r="AE355" s="146" t="s">
        <v>209</v>
      </c>
      <c r="AF355" s="147">
        <v>11.554319999968</v>
      </c>
      <c r="AG355" s="149">
        <v>122.354129999999</v>
      </c>
      <c r="AM355" s="133" t="str" cm="1">
        <f t="array" ref="AM355">IF(ROWS($AN$2:$AN354)&lt;=$AN$2,INDEX($V$3:$V$3000,_xlfn.AGGREGATE(15,3,($B$3:$B$3000=$AM$2)/($B$3:$B$3000=$AM$2)*(ROW($B$3:$B$3000)-ROW($B$2)),ROWS($AN$2:$AN354))),"")</f>
        <v/>
      </c>
      <c r="AN355" s="134" t="str" cm="1">
        <f t="array" ref="AN355">IF(ROWS($AN$2:$AN354)&lt;=$AN$2,INDEX($F$3:$F$3000,_xlfn.AGGREGATE(15,3,($B$3:$B$3000=$AM$2)/($B$3:$B$3000=$AM$2)*(ROW($B$3:$B$3000)-ROW($B$2)),ROWS($AN$2:$AN354))),"")</f>
        <v/>
      </c>
      <c r="AO355" s="135" t="str" cm="1">
        <f t="array" ref="AO355">IF(ROWS($AN$2:$AN354)&lt;=$AN$2,INDEX($G$3:$G$3000,_xlfn.AGGREGATE(15,3,($B$3:$B$3000=$AM$2)/($B$3:$B$3000=$AM$2)*(ROW($B$3:$B$3000)-ROW($B$2)),ROWS($AN$2:$AN354))),"")</f>
        <v/>
      </c>
      <c r="AP355" s="121"/>
      <c r="AT355" s="111"/>
      <c r="AW355" s="134"/>
      <c r="AX355" s="136"/>
      <c r="AY355" s="134"/>
    </row>
    <row r="356" spans="1:51" s="110" customFormat="1" ht="20" customHeight="1">
      <c r="A356" s="125" t="s">
        <v>239</v>
      </c>
      <c r="B356" s="126" t="s">
        <v>67</v>
      </c>
      <c r="C356" s="127">
        <v>12252</v>
      </c>
      <c r="D356" s="145">
        <v>104062</v>
      </c>
      <c r="E356" s="146" t="s">
        <v>4810</v>
      </c>
      <c r="F356" s="146" t="s">
        <v>4810</v>
      </c>
      <c r="G356" s="147">
        <v>451000</v>
      </c>
      <c r="H356" s="147">
        <v>4</v>
      </c>
      <c r="I356" s="146" t="s">
        <v>209</v>
      </c>
      <c r="J356" s="146" t="s">
        <v>4811</v>
      </c>
      <c r="K356" s="146" t="s">
        <v>4812</v>
      </c>
      <c r="L356" s="147">
        <v>4</v>
      </c>
      <c r="M356" s="147">
        <v>1</v>
      </c>
      <c r="N356" s="146" t="s">
        <v>1544</v>
      </c>
      <c r="O356" s="147">
        <v>96</v>
      </c>
      <c r="P356" s="147">
        <v>10</v>
      </c>
      <c r="Q356" s="147">
        <v>17</v>
      </c>
      <c r="R356" s="146" t="s">
        <v>190</v>
      </c>
      <c r="S356" s="146" t="s">
        <v>191</v>
      </c>
      <c r="T356" s="147">
        <v>166</v>
      </c>
      <c r="U356" s="146" t="s">
        <v>1390</v>
      </c>
      <c r="V356" s="146" t="s">
        <v>1391</v>
      </c>
      <c r="W356" s="147">
        <v>1</v>
      </c>
      <c r="X356" s="147">
        <v>2</v>
      </c>
      <c r="Y356" s="146" t="s">
        <v>194</v>
      </c>
      <c r="Z356" s="146" t="s">
        <v>195</v>
      </c>
      <c r="AA356" s="146" t="s">
        <v>196</v>
      </c>
      <c r="AB356" s="146" t="s">
        <v>209</v>
      </c>
      <c r="AC356" s="146" t="s">
        <v>187</v>
      </c>
      <c r="AD356" s="148"/>
      <c r="AE356" s="146" t="s">
        <v>209</v>
      </c>
      <c r="AF356" s="147">
        <v>13.39438</v>
      </c>
      <c r="AG356" s="149">
        <v>123.3177</v>
      </c>
      <c r="AM356" s="133" t="str" cm="1">
        <f t="array" ref="AM356">IF(ROWS($AN$2:$AN355)&lt;=$AN$2,INDEX($V$3:$V$3000,_xlfn.AGGREGATE(15,3,($B$3:$B$3000=$AM$2)/($B$3:$B$3000=$AM$2)*(ROW($B$3:$B$3000)-ROW($B$2)),ROWS($AN$2:$AN355))),"")</f>
        <v/>
      </c>
      <c r="AN356" s="134" t="str" cm="1">
        <f t="array" ref="AN356">IF(ROWS($AN$2:$AN355)&lt;=$AN$2,INDEX($F$3:$F$3000,_xlfn.AGGREGATE(15,3,($B$3:$B$3000=$AM$2)/($B$3:$B$3000=$AM$2)*(ROW($B$3:$B$3000)-ROW($B$2)),ROWS($AN$2:$AN355))),"")</f>
        <v/>
      </c>
      <c r="AO356" s="135" t="str" cm="1">
        <f t="array" ref="AO356">IF(ROWS($AN$2:$AN355)&lt;=$AN$2,INDEX($G$3:$G$3000,_xlfn.AGGREGATE(15,3,($B$3:$B$3000=$AM$2)/($B$3:$B$3000=$AM$2)*(ROW($B$3:$B$3000)-ROW($B$2)),ROWS($AN$2:$AN355))),"")</f>
        <v/>
      </c>
      <c r="AP356" s="121"/>
      <c r="AT356" s="111"/>
      <c r="AW356" s="134"/>
      <c r="AX356" s="136"/>
      <c r="AY356" s="134"/>
    </row>
    <row r="357" spans="1:51" s="110" customFormat="1" ht="20" customHeight="1">
      <c r="A357" s="125" t="s">
        <v>239</v>
      </c>
      <c r="B357" s="126" t="s">
        <v>67</v>
      </c>
      <c r="C357" s="127">
        <v>20544</v>
      </c>
      <c r="D357" s="145">
        <v>116916</v>
      </c>
      <c r="E357" s="146" t="s">
        <v>4641</v>
      </c>
      <c r="F357" s="146" t="s">
        <v>4641</v>
      </c>
      <c r="G357" s="147">
        <v>117000</v>
      </c>
      <c r="H357" s="147">
        <v>4</v>
      </c>
      <c r="I357" s="146" t="s">
        <v>209</v>
      </c>
      <c r="J357" s="146" t="s">
        <v>4642</v>
      </c>
      <c r="K357" s="146" t="s">
        <v>4641</v>
      </c>
      <c r="L357" s="147">
        <v>1</v>
      </c>
      <c r="M357" s="147">
        <v>1</v>
      </c>
      <c r="N357" s="146" t="s">
        <v>1544</v>
      </c>
      <c r="O357" s="147">
        <v>95</v>
      </c>
      <c r="P357" s="147">
        <v>10</v>
      </c>
      <c r="Q357" s="147">
        <v>17</v>
      </c>
      <c r="R357" s="146" t="s">
        <v>190</v>
      </c>
      <c r="S357" s="146" t="s">
        <v>191</v>
      </c>
      <c r="T357" s="147">
        <v>166</v>
      </c>
      <c r="U357" s="146" t="s">
        <v>1390</v>
      </c>
      <c r="V357" s="146" t="s">
        <v>1391</v>
      </c>
      <c r="W357" s="147">
        <v>1</v>
      </c>
      <c r="X357" s="147">
        <v>2</v>
      </c>
      <c r="Y357" s="146" t="s">
        <v>194</v>
      </c>
      <c r="Z357" s="146" t="s">
        <v>195</v>
      </c>
      <c r="AA357" s="146" t="s">
        <v>196</v>
      </c>
      <c r="AB357" s="146" t="s">
        <v>209</v>
      </c>
      <c r="AC357" s="146" t="s">
        <v>187</v>
      </c>
      <c r="AD357" s="148"/>
      <c r="AE357" s="146" t="s">
        <v>209</v>
      </c>
      <c r="AF357" s="147">
        <v>8.9464970000000008</v>
      </c>
      <c r="AG357" s="149">
        <v>126.115155</v>
      </c>
      <c r="AM357" s="133" t="str" cm="1">
        <f t="array" ref="AM357">IF(ROWS($AN$2:$AN356)&lt;=$AN$2,INDEX($V$3:$V$3000,_xlfn.AGGREGATE(15,3,($B$3:$B$3000=$AM$2)/($B$3:$B$3000=$AM$2)*(ROW($B$3:$B$3000)-ROW($B$2)),ROWS($AN$2:$AN356))),"")</f>
        <v/>
      </c>
      <c r="AN357" s="134" t="str" cm="1">
        <f t="array" ref="AN357">IF(ROWS($AN$2:$AN356)&lt;=$AN$2,INDEX($F$3:$F$3000,_xlfn.AGGREGATE(15,3,($B$3:$B$3000=$AM$2)/($B$3:$B$3000=$AM$2)*(ROW($B$3:$B$3000)-ROW($B$2)),ROWS($AN$2:$AN356))),"")</f>
        <v/>
      </c>
      <c r="AO357" s="135" t="str" cm="1">
        <f t="array" ref="AO357">IF(ROWS($AN$2:$AN356)&lt;=$AN$2,INDEX($G$3:$G$3000,_xlfn.AGGREGATE(15,3,($B$3:$B$3000=$AM$2)/($B$3:$B$3000=$AM$2)*(ROW($B$3:$B$3000)-ROW($B$2)),ROWS($AN$2:$AN356))),"")</f>
        <v/>
      </c>
      <c r="AP357" s="121"/>
      <c r="AT357" s="111"/>
      <c r="AW357" s="134"/>
      <c r="AX357" s="136"/>
      <c r="AY357" s="134"/>
    </row>
    <row r="358" spans="1:51" s="110" customFormat="1" ht="20" customHeight="1">
      <c r="A358" s="125" t="s">
        <v>239</v>
      </c>
      <c r="B358" s="126" t="s">
        <v>67</v>
      </c>
      <c r="C358" s="127">
        <v>20552</v>
      </c>
      <c r="D358" s="145">
        <v>116834</v>
      </c>
      <c r="E358" s="146" t="s">
        <v>4574</v>
      </c>
      <c r="F358" s="146" t="s">
        <v>4574</v>
      </c>
      <c r="G358" s="147">
        <v>88000</v>
      </c>
      <c r="H358" s="147">
        <v>4</v>
      </c>
      <c r="I358" s="146" t="s">
        <v>209</v>
      </c>
      <c r="J358" s="146" t="s">
        <v>4575</v>
      </c>
      <c r="K358" s="146" t="s">
        <v>4574</v>
      </c>
      <c r="L358" s="147">
        <v>1</v>
      </c>
      <c r="M358" s="147">
        <v>1</v>
      </c>
      <c r="N358" s="146" t="s">
        <v>1544</v>
      </c>
      <c r="O358" s="147">
        <v>85</v>
      </c>
      <c r="P358" s="147">
        <v>7</v>
      </c>
      <c r="Q358" s="147">
        <v>17</v>
      </c>
      <c r="R358" s="146" t="s">
        <v>190</v>
      </c>
      <c r="S358" s="146" t="s">
        <v>191</v>
      </c>
      <c r="T358" s="147">
        <v>166</v>
      </c>
      <c r="U358" s="146" t="s">
        <v>1390</v>
      </c>
      <c r="V358" s="146" t="s">
        <v>1391</v>
      </c>
      <c r="W358" s="147">
        <v>1</v>
      </c>
      <c r="X358" s="147">
        <v>2</v>
      </c>
      <c r="Y358" s="146" t="s">
        <v>194</v>
      </c>
      <c r="Z358" s="146" t="s">
        <v>195</v>
      </c>
      <c r="AA358" s="146" t="s">
        <v>196</v>
      </c>
      <c r="AB358" s="146" t="s">
        <v>209</v>
      </c>
      <c r="AC358" s="146" t="s">
        <v>187</v>
      </c>
      <c r="AD358" s="148"/>
      <c r="AE358" s="146" t="s">
        <v>209</v>
      </c>
      <c r="AF358" s="147">
        <v>11.212368</v>
      </c>
      <c r="AG358" s="149">
        <v>123.739906</v>
      </c>
      <c r="AM358" s="133" t="str" cm="1">
        <f t="array" ref="AM358">IF(ROWS($AN$2:$AN357)&lt;=$AN$2,INDEX($V$3:$V$3000,_xlfn.AGGREGATE(15,3,($B$3:$B$3000=$AM$2)/($B$3:$B$3000=$AM$2)*(ROW($B$3:$B$3000)-ROW($B$2)),ROWS($AN$2:$AN357))),"")</f>
        <v/>
      </c>
      <c r="AN358" s="134" t="str" cm="1">
        <f t="array" ref="AN358">IF(ROWS($AN$2:$AN357)&lt;=$AN$2,INDEX($F$3:$F$3000,_xlfn.AGGREGATE(15,3,($B$3:$B$3000=$AM$2)/($B$3:$B$3000=$AM$2)*(ROW($B$3:$B$3000)-ROW($B$2)),ROWS($AN$2:$AN357))),"")</f>
        <v/>
      </c>
      <c r="AO358" s="135" t="str" cm="1">
        <f t="array" ref="AO358">IF(ROWS($AN$2:$AN357)&lt;=$AN$2,INDEX($G$3:$G$3000,_xlfn.AGGREGATE(15,3,($B$3:$B$3000=$AM$2)/($B$3:$B$3000=$AM$2)*(ROW($B$3:$B$3000)-ROW($B$2)),ROWS($AN$2:$AN357))),"")</f>
        <v/>
      </c>
      <c r="AP358" s="121"/>
      <c r="AT358" s="111"/>
      <c r="AW358" s="134"/>
      <c r="AX358" s="136"/>
      <c r="AY358" s="134"/>
    </row>
    <row r="359" spans="1:51" s="110" customFormat="1" ht="20" customHeight="1">
      <c r="A359" s="125" t="s">
        <v>239</v>
      </c>
      <c r="B359" s="126" t="s">
        <v>67</v>
      </c>
      <c r="C359" s="127">
        <v>13447</v>
      </c>
      <c r="D359" s="145">
        <v>106166</v>
      </c>
      <c r="E359" s="146" t="s">
        <v>4115</v>
      </c>
      <c r="F359" s="146" t="s">
        <v>4115</v>
      </c>
      <c r="G359" s="147">
        <v>23000</v>
      </c>
      <c r="H359" s="147">
        <v>4</v>
      </c>
      <c r="I359" s="146" t="s">
        <v>209</v>
      </c>
      <c r="J359" s="146" t="s">
        <v>4116</v>
      </c>
      <c r="K359" s="146" t="s">
        <v>4115</v>
      </c>
      <c r="L359" s="147">
        <v>0</v>
      </c>
      <c r="M359" s="147">
        <v>1</v>
      </c>
      <c r="N359" s="146" t="s">
        <v>1544</v>
      </c>
      <c r="O359" s="147">
        <v>95</v>
      </c>
      <c r="P359" s="147">
        <v>6</v>
      </c>
      <c r="Q359" s="147">
        <v>17</v>
      </c>
      <c r="R359" s="146" t="s">
        <v>190</v>
      </c>
      <c r="S359" s="146" t="s">
        <v>191</v>
      </c>
      <c r="T359" s="147">
        <v>166</v>
      </c>
      <c r="U359" s="146" t="s">
        <v>1390</v>
      </c>
      <c r="V359" s="146" t="s">
        <v>1391</v>
      </c>
      <c r="W359" s="147">
        <v>1</v>
      </c>
      <c r="X359" s="147">
        <v>2</v>
      </c>
      <c r="Y359" s="146" t="s">
        <v>194</v>
      </c>
      <c r="Z359" s="146" t="s">
        <v>195</v>
      </c>
      <c r="AA359" s="146" t="s">
        <v>196</v>
      </c>
      <c r="AB359" s="146" t="s">
        <v>209</v>
      </c>
      <c r="AC359" s="146" t="s">
        <v>187</v>
      </c>
      <c r="AD359" s="148"/>
      <c r="AE359" s="146" t="s">
        <v>209</v>
      </c>
      <c r="AF359" s="147">
        <v>11.8563900003982</v>
      </c>
      <c r="AG359" s="149">
        <v>121.919239999826</v>
      </c>
      <c r="AM359" s="133" t="str" cm="1">
        <f t="array" ref="AM359">IF(ROWS($AN$2:$AN358)&lt;=$AN$2,INDEX($V$3:$V$3000,_xlfn.AGGREGATE(15,3,($B$3:$B$3000=$AM$2)/($B$3:$B$3000=$AM$2)*(ROW($B$3:$B$3000)-ROW($B$2)),ROWS($AN$2:$AN358))),"")</f>
        <v/>
      </c>
      <c r="AN359" s="134" t="str" cm="1">
        <f t="array" ref="AN359">IF(ROWS($AN$2:$AN358)&lt;=$AN$2,INDEX($F$3:$F$3000,_xlfn.AGGREGATE(15,3,($B$3:$B$3000=$AM$2)/($B$3:$B$3000=$AM$2)*(ROW($B$3:$B$3000)-ROW($B$2)),ROWS($AN$2:$AN358))),"")</f>
        <v/>
      </c>
      <c r="AO359" s="135" t="str" cm="1">
        <f t="array" ref="AO359">IF(ROWS($AN$2:$AN358)&lt;=$AN$2,INDEX($G$3:$G$3000,_xlfn.AGGREGATE(15,3,($B$3:$B$3000=$AM$2)/($B$3:$B$3000=$AM$2)*(ROW($B$3:$B$3000)-ROW($B$2)),ROWS($AN$2:$AN358))),"")</f>
        <v/>
      </c>
      <c r="AP359" s="121"/>
      <c r="AT359" s="111"/>
      <c r="AW359" s="134"/>
      <c r="AX359" s="136"/>
      <c r="AY359" s="134"/>
    </row>
    <row r="360" spans="1:51" s="110" customFormat="1" ht="20" customHeight="1">
      <c r="A360" s="125" t="s">
        <v>239</v>
      </c>
      <c r="B360" s="126" t="s">
        <v>67</v>
      </c>
      <c r="C360" s="127">
        <v>20331</v>
      </c>
      <c r="D360" s="145">
        <v>104688</v>
      </c>
      <c r="E360" s="146" t="s">
        <v>4067</v>
      </c>
      <c r="F360" s="146" t="s">
        <v>4067</v>
      </c>
      <c r="G360" s="147">
        <v>21000</v>
      </c>
      <c r="H360" s="147">
        <v>4</v>
      </c>
      <c r="I360" s="146" t="s">
        <v>209</v>
      </c>
      <c r="J360" s="146" t="s">
        <v>4068</v>
      </c>
      <c r="K360" s="146" t="s">
        <v>4069</v>
      </c>
      <c r="L360" s="147">
        <v>1</v>
      </c>
      <c r="M360" s="147">
        <v>1</v>
      </c>
      <c r="N360" s="146" t="s">
        <v>1544</v>
      </c>
      <c r="O360" s="147">
        <v>80</v>
      </c>
      <c r="P360" s="147">
        <v>4</v>
      </c>
      <c r="Q360" s="147">
        <v>17</v>
      </c>
      <c r="R360" s="146" t="s">
        <v>190</v>
      </c>
      <c r="S360" s="146" t="s">
        <v>191</v>
      </c>
      <c r="T360" s="147">
        <v>166</v>
      </c>
      <c r="U360" s="146" t="s">
        <v>1390</v>
      </c>
      <c r="V360" s="146" t="s">
        <v>1391</v>
      </c>
      <c r="W360" s="147">
        <v>1</v>
      </c>
      <c r="X360" s="147">
        <v>2</v>
      </c>
      <c r="Y360" s="146" t="s">
        <v>194</v>
      </c>
      <c r="Z360" s="146" t="s">
        <v>195</v>
      </c>
      <c r="AA360" s="146" t="s">
        <v>196</v>
      </c>
      <c r="AB360" s="146" t="s">
        <v>209</v>
      </c>
      <c r="AC360" s="146" t="s">
        <v>187</v>
      </c>
      <c r="AD360" s="148"/>
      <c r="AE360" s="146" t="s">
        <v>209</v>
      </c>
      <c r="AF360" s="147">
        <v>10.004422999999999</v>
      </c>
      <c r="AG360" s="149">
        <v>122.811809</v>
      </c>
      <c r="AM360" s="133" t="str" cm="1">
        <f t="array" ref="AM360">IF(ROWS($AN$2:$AN359)&lt;=$AN$2,INDEX($V$3:$V$3000,_xlfn.AGGREGATE(15,3,($B$3:$B$3000=$AM$2)/($B$3:$B$3000=$AM$2)*(ROW($B$3:$B$3000)-ROW($B$2)),ROWS($AN$2:$AN359))),"")</f>
        <v/>
      </c>
      <c r="AN360" s="134" t="str" cm="1">
        <f t="array" ref="AN360">IF(ROWS($AN$2:$AN359)&lt;=$AN$2,INDEX($F$3:$F$3000,_xlfn.AGGREGATE(15,3,($B$3:$B$3000=$AM$2)/($B$3:$B$3000=$AM$2)*(ROW($B$3:$B$3000)-ROW($B$2)),ROWS($AN$2:$AN359))),"")</f>
        <v/>
      </c>
      <c r="AO360" s="135" t="str" cm="1">
        <f t="array" ref="AO360">IF(ROWS($AN$2:$AN359)&lt;=$AN$2,INDEX($G$3:$G$3000,_xlfn.AGGREGATE(15,3,($B$3:$B$3000=$AM$2)/($B$3:$B$3000=$AM$2)*(ROW($B$3:$B$3000)-ROW($B$2)),ROWS($AN$2:$AN359))),"")</f>
        <v/>
      </c>
      <c r="AP360" s="121"/>
      <c r="AT360" s="111"/>
      <c r="AW360" s="134"/>
      <c r="AX360" s="136"/>
      <c r="AY360" s="134"/>
    </row>
    <row r="361" spans="1:51" s="110" customFormat="1" ht="20" customHeight="1">
      <c r="A361" s="125" t="s">
        <v>239</v>
      </c>
      <c r="B361" s="126" t="s">
        <v>67</v>
      </c>
      <c r="C361" s="127">
        <v>20555</v>
      </c>
      <c r="D361" s="145">
        <v>116872</v>
      </c>
      <c r="E361" s="146" t="s">
        <v>3933</v>
      </c>
      <c r="F361" s="146" t="s">
        <v>3933</v>
      </c>
      <c r="G361" s="147">
        <v>16000</v>
      </c>
      <c r="H361" s="147">
        <v>4</v>
      </c>
      <c r="I361" s="146" t="s">
        <v>209</v>
      </c>
      <c r="J361" s="146" t="s">
        <v>3934</v>
      </c>
      <c r="K361" s="146" t="s">
        <v>3933</v>
      </c>
      <c r="L361" s="147">
        <v>1</v>
      </c>
      <c r="M361" s="147">
        <v>1</v>
      </c>
      <c r="N361" s="146" t="s">
        <v>1544</v>
      </c>
      <c r="O361" s="147">
        <v>80</v>
      </c>
      <c r="P361" s="147">
        <v>3</v>
      </c>
      <c r="Q361" s="147">
        <v>17</v>
      </c>
      <c r="R361" s="146" t="s">
        <v>190</v>
      </c>
      <c r="S361" s="146" t="s">
        <v>191</v>
      </c>
      <c r="T361" s="147">
        <v>166</v>
      </c>
      <c r="U361" s="146" t="s">
        <v>1390</v>
      </c>
      <c r="V361" s="146" t="s">
        <v>1391</v>
      </c>
      <c r="W361" s="147">
        <v>1</v>
      </c>
      <c r="X361" s="147">
        <v>2</v>
      </c>
      <c r="Y361" s="146" t="s">
        <v>194</v>
      </c>
      <c r="Z361" s="146" t="s">
        <v>195</v>
      </c>
      <c r="AA361" s="146" t="s">
        <v>196</v>
      </c>
      <c r="AB361" s="146" t="s">
        <v>209</v>
      </c>
      <c r="AC361" s="146" t="s">
        <v>187</v>
      </c>
      <c r="AD361" s="148"/>
      <c r="AE361" s="146" t="s">
        <v>209</v>
      </c>
      <c r="AF361" s="147">
        <v>10.301439999999999</v>
      </c>
      <c r="AG361" s="149">
        <v>125.205417</v>
      </c>
      <c r="AM361" s="133" t="str" cm="1">
        <f t="array" ref="AM361">IF(ROWS($AN$2:$AN360)&lt;=$AN$2,INDEX($V$3:$V$3000,_xlfn.AGGREGATE(15,3,($B$3:$B$3000=$AM$2)/($B$3:$B$3000=$AM$2)*(ROW($B$3:$B$3000)-ROW($B$2)),ROWS($AN$2:$AN360))),"")</f>
        <v/>
      </c>
      <c r="AN361" s="134" t="str" cm="1">
        <f t="array" ref="AN361">IF(ROWS($AN$2:$AN360)&lt;=$AN$2,INDEX($F$3:$F$3000,_xlfn.AGGREGATE(15,3,($B$3:$B$3000=$AM$2)/($B$3:$B$3000=$AM$2)*(ROW($B$3:$B$3000)-ROW($B$2)),ROWS($AN$2:$AN360))),"")</f>
        <v/>
      </c>
      <c r="AO361" s="135" t="str" cm="1">
        <f t="array" ref="AO361">IF(ROWS($AN$2:$AN360)&lt;=$AN$2,INDEX($G$3:$G$3000,_xlfn.AGGREGATE(15,3,($B$3:$B$3000=$AM$2)/($B$3:$B$3000=$AM$2)*(ROW($B$3:$B$3000)-ROW($B$2)),ROWS($AN$2:$AN360))),"")</f>
        <v/>
      </c>
      <c r="AP361" s="121"/>
      <c r="AT361" s="111"/>
      <c r="AW361" s="134"/>
      <c r="AX361" s="136"/>
      <c r="AY361" s="134"/>
    </row>
    <row r="362" spans="1:51" s="110" customFormat="1" ht="20" customHeight="1">
      <c r="A362" s="125" t="s">
        <v>239</v>
      </c>
      <c r="B362" s="126" t="s">
        <v>67</v>
      </c>
      <c r="C362" s="127">
        <v>14524</v>
      </c>
      <c r="D362" s="145">
        <v>108310</v>
      </c>
      <c r="E362" s="146" t="s">
        <v>2752</v>
      </c>
      <c r="F362" s="146" t="s">
        <v>2752</v>
      </c>
      <c r="G362" s="147">
        <v>2200</v>
      </c>
      <c r="H362" s="147">
        <v>4</v>
      </c>
      <c r="I362" s="146" t="s">
        <v>209</v>
      </c>
      <c r="J362" s="146" t="s">
        <v>1567</v>
      </c>
      <c r="K362" s="146" t="s">
        <v>1568</v>
      </c>
      <c r="L362" s="147">
        <v>5</v>
      </c>
      <c r="M362" s="147">
        <v>1</v>
      </c>
      <c r="N362" s="146" t="s">
        <v>1544</v>
      </c>
      <c r="O362" s="147">
        <v>55</v>
      </c>
      <c r="P362" s="147">
        <v>3.5</v>
      </c>
      <c r="Q362" s="147">
        <v>17</v>
      </c>
      <c r="R362" s="146" t="s">
        <v>190</v>
      </c>
      <c r="S362" s="146" t="s">
        <v>191</v>
      </c>
      <c r="T362" s="147">
        <v>166</v>
      </c>
      <c r="U362" s="146" t="s">
        <v>1390</v>
      </c>
      <c r="V362" s="146" t="s">
        <v>1391</v>
      </c>
      <c r="W362" s="147">
        <v>1</v>
      </c>
      <c r="X362" s="147">
        <v>2</v>
      </c>
      <c r="Y362" s="146" t="s">
        <v>194</v>
      </c>
      <c r="Z362" s="146" t="s">
        <v>195</v>
      </c>
      <c r="AA362" s="146" t="s">
        <v>196</v>
      </c>
      <c r="AB362" s="146" t="s">
        <v>209</v>
      </c>
      <c r="AC362" s="146" t="s">
        <v>187</v>
      </c>
      <c r="AD362" s="148"/>
      <c r="AE362" s="146" t="s">
        <v>209</v>
      </c>
      <c r="AF362" s="147">
        <v>12.27848</v>
      </c>
      <c r="AG362" s="149">
        <v>121.18702999999999</v>
      </c>
      <c r="AM362" s="133" t="str" cm="1">
        <f t="array" ref="AM362">IF(ROWS($AN$2:$AN361)&lt;=$AN$2,INDEX($V$3:$V$3000,_xlfn.AGGREGATE(15,3,($B$3:$B$3000=$AM$2)/($B$3:$B$3000=$AM$2)*(ROW($B$3:$B$3000)-ROW($B$2)),ROWS($AN$2:$AN361))),"")</f>
        <v/>
      </c>
      <c r="AN362" s="134" t="str" cm="1">
        <f t="array" ref="AN362">IF(ROWS($AN$2:$AN361)&lt;=$AN$2,INDEX($F$3:$F$3000,_xlfn.AGGREGATE(15,3,($B$3:$B$3000=$AM$2)/($B$3:$B$3000=$AM$2)*(ROW($B$3:$B$3000)-ROW($B$2)),ROWS($AN$2:$AN361))),"")</f>
        <v/>
      </c>
      <c r="AO362" s="135" t="str" cm="1">
        <f t="array" ref="AO362">IF(ROWS($AN$2:$AN361)&lt;=$AN$2,INDEX($G$3:$G$3000,_xlfn.AGGREGATE(15,3,($B$3:$B$3000=$AM$2)/($B$3:$B$3000=$AM$2)*(ROW($B$3:$B$3000)-ROW($B$2)),ROWS($AN$2:$AN361))),"")</f>
        <v/>
      </c>
      <c r="AP362" s="121"/>
      <c r="AT362" s="111"/>
      <c r="AW362" s="134"/>
      <c r="AX362" s="136"/>
      <c r="AY362" s="134"/>
    </row>
    <row r="363" spans="1:51" s="110" customFormat="1" ht="20" customHeight="1">
      <c r="A363" s="125" t="s">
        <v>239</v>
      </c>
      <c r="B363" s="126" t="s">
        <v>67</v>
      </c>
      <c r="C363" s="127">
        <v>15175</v>
      </c>
      <c r="D363" s="128">
        <v>109692</v>
      </c>
      <c r="E363" s="129" t="s">
        <v>4270</v>
      </c>
      <c r="F363" s="129" t="s">
        <v>1568</v>
      </c>
      <c r="G363" s="130">
        <v>30318000</v>
      </c>
      <c r="H363" s="130">
        <v>5</v>
      </c>
      <c r="I363" s="129" t="s">
        <v>209</v>
      </c>
      <c r="J363" s="129" t="s">
        <v>1567</v>
      </c>
      <c r="K363" s="129" t="s">
        <v>1568</v>
      </c>
      <c r="L363" s="130">
        <v>5</v>
      </c>
      <c r="M363" s="130">
        <v>1</v>
      </c>
      <c r="N363" s="129" t="s">
        <v>1544</v>
      </c>
      <c r="O363" s="130">
        <v>99</v>
      </c>
      <c r="P363" s="130">
        <v>15.256</v>
      </c>
      <c r="Q363" s="130">
        <v>17</v>
      </c>
      <c r="R363" s="129" t="s">
        <v>190</v>
      </c>
      <c r="S363" s="129" t="s">
        <v>191</v>
      </c>
      <c r="T363" s="130">
        <v>166</v>
      </c>
      <c r="U363" s="129" t="s">
        <v>1390</v>
      </c>
      <c r="V363" s="129" t="s">
        <v>1391</v>
      </c>
      <c r="W363" s="130">
        <v>54</v>
      </c>
      <c r="X363" s="130">
        <v>2</v>
      </c>
      <c r="Y363" s="129" t="s">
        <v>194</v>
      </c>
      <c r="Z363" s="129" t="s">
        <v>195</v>
      </c>
      <c r="AA363" s="129" t="s">
        <v>196</v>
      </c>
      <c r="AB363" s="129" t="s">
        <v>209</v>
      </c>
      <c r="AC363" s="129" t="s">
        <v>187</v>
      </c>
      <c r="AD363" s="131"/>
      <c r="AE363" s="129" t="s">
        <v>209</v>
      </c>
      <c r="AF363" s="130">
        <v>14.059999999700199</v>
      </c>
      <c r="AG363" s="132">
        <v>121.74695000014199</v>
      </c>
      <c r="AM363" s="133" t="str" cm="1">
        <f t="array" ref="AM363">IF(ROWS($AN$2:$AN362)&lt;=$AN$2,INDEX($V$3:$V$3000,_xlfn.AGGREGATE(15,3,($B$3:$B$3000=$AM$2)/($B$3:$B$3000=$AM$2)*(ROW($B$3:$B$3000)-ROW($B$2)),ROWS($AN$2:$AN362))),"")</f>
        <v/>
      </c>
      <c r="AN363" s="134" t="str" cm="1">
        <f t="array" ref="AN363">IF(ROWS($AN$2:$AN362)&lt;=$AN$2,INDEX($F$3:$F$3000,_xlfn.AGGREGATE(15,3,($B$3:$B$3000=$AM$2)/($B$3:$B$3000=$AM$2)*(ROW($B$3:$B$3000)-ROW($B$2)),ROWS($AN$2:$AN362))),"")</f>
        <v/>
      </c>
      <c r="AO363" s="135" t="str" cm="1">
        <f t="array" ref="AO363">IF(ROWS($AN$2:$AN362)&lt;=$AN$2,INDEX($G$3:$G$3000,_xlfn.AGGREGATE(15,3,($B$3:$B$3000=$AM$2)/($B$3:$B$3000=$AM$2)*(ROW($B$3:$B$3000)-ROW($B$2)),ROWS($AN$2:$AN362))),"")</f>
        <v/>
      </c>
      <c r="AP363" s="121"/>
      <c r="AT363" s="111"/>
      <c r="AW363" s="134"/>
      <c r="AX363" s="136"/>
      <c r="AY363" s="134"/>
    </row>
    <row r="364" spans="1:51" s="110" customFormat="1" ht="20" customHeight="1">
      <c r="A364" s="125" t="s">
        <v>239</v>
      </c>
      <c r="B364" s="126" t="s">
        <v>67</v>
      </c>
      <c r="C364" s="127">
        <v>15799</v>
      </c>
      <c r="D364" s="128">
        <v>110577</v>
      </c>
      <c r="E364" s="129" t="s">
        <v>2942</v>
      </c>
      <c r="F364" s="129" t="s">
        <v>2942</v>
      </c>
      <c r="G364" s="130">
        <v>22285000</v>
      </c>
      <c r="H364" s="130">
        <v>5</v>
      </c>
      <c r="I364" s="129" t="s">
        <v>209</v>
      </c>
      <c r="J364" s="129" t="s">
        <v>2941</v>
      </c>
      <c r="K364" s="129" t="s">
        <v>2942</v>
      </c>
      <c r="L364" s="130">
        <v>5</v>
      </c>
      <c r="M364" s="130">
        <v>1</v>
      </c>
      <c r="N364" s="129" t="s">
        <v>1544</v>
      </c>
      <c r="O364" s="130">
        <v>99</v>
      </c>
      <c r="P364" s="130">
        <v>17.603000000000002</v>
      </c>
      <c r="Q364" s="130">
        <v>17</v>
      </c>
      <c r="R364" s="129" t="s">
        <v>190</v>
      </c>
      <c r="S364" s="129" t="s">
        <v>191</v>
      </c>
      <c r="T364" s="130">
        <v>166</v>
      </c>
      <c r="U364" s="129" t="s">
        <v>1390</v>
      </c>
      <c r="V364" s="129" t="s">
        <v>1391</v>
      </c>
      <c r="W364" s="130">
        <v>5</v>
      </c>
      <c r="X364" s="130">
        <v>2</v>
      </c>
      <c r="Y364" s="129" t="s">
        <v>194</v>
      </c>
      <c r="Z364" s="129" t="s">
        <v>195</v>
      </c>
      <c r="AA364" s="129" t="s">
        <v>196</v>
      </c>
      <c r="AB364" s="129" t="s">
        <v>209</v>
      </c>
      <c r="AC364" s="129" t="s">
        <v>187</v>
      </c>
      <c r="AD364" s="131"/>
      <c r="AE364" s="129" t="s">
        <v>209</v>
      </c>
      <c r="AF364" s="130">
        <v>7.07186656089306</v>
      </c>
      <c r="AG364" s="132">
        <v>125.600776024993</v>
      </c>
      <c r="AM364" s="133" t="str" cm="1">
        <f t="array" ref="AM364">IF(ROWS($AN$2:$AN363)&lt;=$AN$2,INDEX($V$3:$V$3000,_xlfn.AGGREGATE(15,3,($B$3:$B$3000=$AM$2)/($B$3:$B$3000=$AM$2)*(ROW($B$3:$B$3000)-ROW($B$2)),ROWS($AN$2:$AN363))),"")</f>
        <v/>
      </c>
      <c r="AN364" s="134" t="str" cm="1">
        <f t="array" ref="AN364">IF(ROWS($AN$2:$AN363)&lt;=$AN$2,INDEX($F$3:$F$3000,_xlfn.AGGREGATE(15,3,($B$3:$B$3000=$AM$2)/($B$3:$B$3000=$AM$2)*(ROW($B$3:$B$3000)-ROW($B$2)),ROWS($AN$2:$AN363))),"")</f>
        <v/>
      </c>
      <c r="AO364" s="135" t="str" cm="1">
        <f t="array" ref="AO364">IF(ROWS($AN$2:$AN363)&lt;=$AN$2,INDEX($G$3:$G$3000,_xlfn.AGGREGATE(15,3,($B$3:$B$3000=$AM$2)/($B$3:$B$3000=$AM$2)*(ROW($B$3:$B$3000)-ROW($B$2)),ROWS($AN$2:$AN363))),"")</f>
        <v/>
      </c>
      <c r="AP364" s="121"/>
      <c r="AT364" s="111"/>
      <c r="AW364" s="134"/>
      <c r="AX364" s="136"/>
      <c r="AY364" s="134"/>
    </row>
    <row r="365" spans="1:51" s="110" customFormat="1" ht="20" customHeight="1">
      <c r="A365" s="125" t="s">
        <v>239</v>
      </c>
      <c r="B365" s="126" t="s">
        <v>67</v>
      </c>
      <c r="C365" s="127">
        <v>12212</v>
      </c>
      <c r="D365" s="128">
        <v>103997</v>
      </c>
      <c r="E365" s="129" t="s">
        <v>4903</v>
      </c>
      <c r="F365" s="129" t="s">
        <v>4903</v>
      </c>
      <c r="G365" s="130">
        <v>9760000</v>
      </c>
      <c r="H365" s="130">
        <v>5</v>
      </c>
      <c r="I365" s="129" t="s">
        <v>209</v>
      </c>
      <c r="J365" s="129" t="s">
        <v>4904</v>
      </c>
      <c r="K365" s="129" t="s">
        <v>4903</v>
      </c>
      <c r="L365" s="130">
        <v>5</v>
      </c>
      <c r="M365" s="130">
        <v>1</v>
      </c>
      <c r="N365" s="129" t="s">
        <v>1544</v>
      </c>
      <c r="O365" s="130">
        <v>99</v>
      </c>
      <c r="P365" s="130">
        <v>19.95</v>
      </c>
      <c r="Q365" s="130">
        <v>17</v>
      </c>
      <c r="R365" s="129" t="s">
        <v>190</v>
      </c>
      <c r="S365" s="129" t="s">
        <v>191</v>
      </c>
      <c r="T365" s="130">
        <v>166</v>
      </c>
      <c r="U365" s="129" t="s">
        <v>1390</v>
      </c>
      <c r="V365" s="129" t="s">
        <v>1391</v>
      </c>
      <c r="W365" s="130">
        <v>4</v>
      </c>
      <c r="X365" s="130">
        <v>2</v>
      </c>
      <c r="Y365" s="129" t="s">
        <v>194</v>
      </c>
      <c r="Z365" s="129" t="s">
        <v>195</v>
      </c>
      <c r="AA365" s="129" t="s">
        <v>196</v>
      </c>
      <c r="AB365" s="129" t="s">
        <v>209</v>
      </c>
      <c r="AC365" s="129" t="s">
        <v>187</v>
      </c>
      <c r="AD365" s="131"/>
      <c r="AE365" s="129" t="s">
        <v>209</v>
      </c>
      <c r="AF365" s="130">
        <v>15.936139999961</v>
      </c>
      <c r="AG365" s="132">
        <v>120.993290000133</v>
      </c>
      <c r="AM365" s="133" t="str" cm="1">
        <f t="array" ref="AM365">IF(ROWS($AN$2:$AN364)&lt;=$AN$2,INDEX($V$3:$V$3000,_xlfn.AGGREGATE(15,3,($B$3:$B$3000=$AM$2)/($B$3:$B$3000=$AM$2)*(ROW($B$3:$B$3000)-ROW($B$2)),ROWS($AN$2:$AN364))),"")</f>
        <v/>
      </c>
      <c r="AN365" s="134" t="str" cm="1">
        <f t="array" ref="AN365">IF(ROWS($AN$2:$AN364)&lt;=$AN$2,INDEX($F$3:$F$3000,_xlfn.AGGREGATE(15,3,($B$3:$B$3000=$AM$2)/($B$3:$B$3000=$AM$2)*(ROW($B$3:$B$3000)-ROW($B$2)),ROWS($AN$2:$AN364))),"")</f>
        <v/>
      </c>
      <c r="AO365" s="135" t="str" cm="1">
        <f t="array" ref="AO365">IF(ROWS($AN$2:$AN364)&lt;=$AN$2,INDEX($G$3:$G$3000,_xlfn.AGGREGATE(15,3,($B$3:$B$3000=$AM$2)/($B$3:$B$3000=$AM$2)*(ROW($B$3:$B$3000)-ROW($B$2)),ROWS($AN$2:$AN364))),"")</f>
        <v/>
      </c>
      <c r="AP365" s="121"/>
      <c r="AT365" s="111"/>
      <c r="AW365" s="134"/>
      <c r="AX365" s="136"/>
      <c r="AY365" s="134"/>
    </row>
    <row r="366" spans="1:51" s="110" customFormat="1" ht="20" customHeight="1">
      <c r="A366" s="125" t="s">
        <v>239</v>
      </c>
      <c r="B366" s="126" t="s">
        <v>67</v>
      </c>
      <c r="C366" s="127">
        <v>12102</v>
      </c>
      <c r="D366" s="128">
        <v>103779</v>
      </c>
      <c r="E366" s="129" t="s">
        <v>4900</v>
      </c>
      <c r="F366" s="129" t="s">
        <v>4900</v>
      </c>
      <c r="G366" s="130">
        <v>8065000</v>
      </c>
      <c r="H366" s="130">
        <v>5</v>
      </c>
      <c r="I366" s="129" t="s">
        <v>209</v>
      </c>
      <c r="J366" s="129" t="s">
        <v>4901</v>
      </c>
      <c r="K366" s="129" t="s">
        <v>4900</v>
      </c>
      <c r="L366" s="130">
        <v>5</v>
      </c>
      <c r="M366" s="130">
        <v>1</v>
      </c>
      <c r="N366" s="129" t="s">
        <v>1544</v>
      </c>
      <c r="O366" s="130">
        <v>99</v>
      </c>
      <c r="P366" s="130">
        <v>11.734999999999999</v>
      </c>
      <c r="Q366" s="130">
        <v>17</v>
      </c>
      <c r="R366" s="129" t="s">
        <v>190</v>
      </c>
      <c r="S366" s="129" t="s">
        <v>191</v>
      </c>
      <c r="T366" s="130">
        <v>166</v>
      </c>
      <c r="U366" s="129" t="s">
        <v>1390</v>
      </c>
      <c r="V366" s="129" t="s">
        <v>1391</v>
      </c>
      <c r="W366" s="130">
        <v>2</v>
      </c>
      <c r="X366" s="130">
        <v>2</v>
      </c>
      <c r="Y366" s="129" t="s">
        <v>194</v>
      </c>
      <c r="Z366" s="129" t="s">
        <v>195</v>
      </c>
      <c r="AA366" s="129" t="s">
        <v>196</v>
      </c>
      <c r="AB366" s="129" t="s">
        <v>209</v>
      </c>
      <c r="AC366" s="129" t="s">
        <v>187</v>
      </c>
      <c r="AD366" s="131"/>
      <c r="AE366" s="129" t="s">
        <v>209</v>
      </c>
      <c r="AF366" s="130">
        <v>10.401789999808599</v>
      </c>
      <c r="AG366" s="132">
        <v>122.974279999922</v>
      </c>
      <c r="AM366" s="133" t="str" cm="1">
        <f t="array" ref="AM366">IF(ROWS($AN$2:$AN365)&lt;=$AN$2,INDEX($V$3:$V$3000,_xlfn.AGGREGATE(15,3,($B$3:$B$3000=$AM$2)/($B$3:$B$3000=$AM$2)*(ROW($B$3:$B$3000)-ROW($B$2)),ROWS($AN$2:$AN365))),"")</f>
        <v/>
      </c>
      <c r="AN366" s="134" t="str" cm="1">
        <f t="array" ref="AN366">IF(ROWS($AN$2:$AN365)&lt;=$AN$2,INDEX($F$3:$F$3000,_xlfn.AGGREGATE(15,3,($B$3:$B$3000=$AM$2)/($B$3:$B$3000=$AM$2)*(ROW($B$3:$B$3000)-ROW($B$2)),ROWS($AN$2:$AN365))),"")</f>
        <v/>
      </c>
      <c r="AO366" s="135" t="str" cm="1">
        <f t="array" ref="AO366">IF(ROWS($AN$2:$AN365)&lt;=$AN$2,INDEX($G$3:$G$3000,_xlfn.AGGREGATE(15,3,($B$3:$B$3000=$AM$2)/($B$3:$B$3000=$AM$2)*(ROW($B$3:$B$3000)-ROW($B$2)),ROWS($AN$2:$AN365))),"")</f>
        <v/>
      </c>
      <c r="AP366" s="121"/>
      <c r="AT366" s="111"/>
      <c r="AW366" s="134"/>
      <c r="AX366" s="136"/>
      <c r="AY366" s="134"/>
    </row>
    <row r="367" spans="1:51" s="110" customFormat="1" ht="20" customHeight="1">
      <c r="A367" s="125" t="s">
        <v>239</v>
      </c>
      <c r="B367" s="126" t="s">
        <v>67</v>
      </c>
      <c r="C367" s="127">
        <v>11116</v>
      </c>
      <c r="D367" s="128">
        <v>101912</v>
      </c>
      <c r="E367" s="129" t="s">
        <v>2385</v>
      </c>
      <c r="F367" s="129" t="s">
        <v>2385</v>
      </c>
      <c r="G367" s="130">
        <v>4423000</v>
      </c>
      <c r="H367" s="130">
        <v>5</v>
      </c>
      <c r="I367" s="129" t="s">
        <v>209</v>
      </c>
      <c r="J367" s="129" t="s">
        <v>2384</v>
      </c>
      <c r="K367" s="129" t="s">
        <v>2385</v>
      </c>
      <c r="L367" s="130">
        <v>5</v>
      </c>
      <c r="M367" s="130">
        <v>1</v>
      </c>
      <c r="N367" s="129" t="s">
        <v>1544</v>
      </c>
      <c r="O367" s="130">
        <v>99</v>
      </c>
      <c r="P367" s="130">
        <v>14.083</v>
      </c>
      <c r="Q367" s="130">
        <v>17</v>
      </c>
      <c r="R367" s="129" t="s">
        <v>190</v>
      </c>
      <c r="S367" s="129" t="s">
        <v>191</v>
      </c>
      <c r="T367" s="130">
        <v>166</v>
      </c>
      <c r="U367" s="129" t="s">
        <v>1390</v>
      </c>
      <c r="V367" s="129" t="s">
        <v>1391</v>
      </c>
      <c r="W367" s="130">
        <v>2</v>
      </c>
      <c r="X367" s="130">
        <v>2</v>
      </c>
      <c r="Y367" s="129" t="s">
        <v>194</v>
      </c>
      <c r="Z367" s="129" t="s">
        <v>195</v>
      </c>
      <c r="AA367" s="129" t="s">
        <v>196</v>
      </c>
      <c r="AB367" s="129" t="s">
        <v>209</v>
      </c>
      <c r="AC367" s="129" t="s">
        <v>187</v>
      </c>
      <c r="AD367" s="131"/>
      <c r="AE367" s="129" t="s">
        <v>209</v>
      </c>
      <c r="AF367" s="130">
        <v>13.757429999999999</v>
      </c>
      <c r="AG367" s="132">
        <v>123.40331</v>
      </c>
      <c r="AM367" s="133" t="str" cm="1">
        <f t="array" ref="AM367">IF(ROWS($AN$2:$AN366)&lt;=$AN$2,INDEX($V$3:$V$3000,_xlfn.AGGREGATE(15,3,($B$3:$B$3000=$AM$2)/($B$3:$B$3000=$AM$2)*(ROW($B$3:$B$3000)-ROW($B$2)),ROWS($AN$2:$AN366))),"")</f>
        <v/>
      </c>
      <c r="AN367" s="134" t="str" cm="1">
        <f t="array" ref="AN367">IF(ROWS($AN$2:$AN366)&lt;=$AN$2,INDEX($F$3:$F$3000,_xlfn.AGGREGATE(15,3,($B$3:$B$3000=$AM$2)/($B$3:$B$3000=$AM$2)*(ROW($B$3:$B$3000)-ROW($B$2)),ROWS($AN$2:$AN366))),"")</f>
        <v/>
      </c>
      <c r="AO367" s="135" t="str" cm="1">
        <f t="array" ref="AO367">IF(ROWS($AN$2:$AN366)&lt;=$AN$2,INDEX($G$3:$G$3000,_xlfn.AGGREGATE(15,3,($B$3:$B$3000=$AM$2)/($B$3:$B$3000=$AM$2)*(ROW($B$3:$B$3000)-ROW($B$2)),ROWS($AN$2:$AN366))),"")</f>
        <v/>
      </c>
      <c r="AP367" s="121"/>
      <c r="AT367" s="111"/>
      <c r="AW367" s="134"/>
      <c r="AX367" s="136"/>
      <c r="AY367" s="134"/>
    </row>
    <row r="368" spans="1:51" s="110" customFormat="1" ht="20" customHeight="1">
      <c r="A368" s="125" t="s">
        <v>239</v>
      </c>
      <c r="B368" s="126" t="s">
        <v>67</v>
      </c>
      <c r="C368" s="127">
        <v>11202</v>
      </c>
      <c r="D368" s="128">
        <v>103018</v>
      </c>
      <c r="E368" s="129" t="s">
        <v>4895</v>
      </c>
      <c r="F368" s="129" t="s">
        <v>4895</v>
      </c>
      <c r="G368" s="130">
        <v>3243000</v>
      </c>
      <c r="H368" s="130">
        <v>5</v>
      </c>
      <c r="I368" s="129" t="s">
        <v>209</v>
      </c>
      <c r="J368" s="129" t="s">
        <v>1567</v>
      </c>
      <c r="K368" s="129" t="s">
        <v>1568</v>
      </c>
      <c r="L368" s="130">
        <v>5</v>
      </c>
      <c r="M368" s="130">
        <v>1</v>
      </c>
      <c r="N368" s="129" t="s">
        <v>1544</v>
      </c>
      <c r="O368" s="130">
        <v>97</v>
      </c>
      <c r="P368" s="130">
        <v>12.909000000000001</v>
      </c>
      <c r="Q368" s="130">
        <v>17</v>
      </c>
      <c r="R368" s="129" t="s">
        <v>190</v>
      </c>
      <c r="S368" s="129" t="s">
        <v>191</v>
      </c>
      <c r="T368" s="130">
        <v>166</v>
      </c>
      <c r="U368" s="129" t="s">
        <v>1390</v>
      </c>
      <c r="V368" s="129" t="s">
        <v>1391</v>
      </c>
      <c r="W368" s="130">
        <v>1</v>
      </c>
      <c r="X368" s="130">
        <v>2</v>
      </c>
      <c r="Y368" s="129" t="s">
        <v>194</v>
      </c>
      <c r="Z368" s="129" t="s">
        <v>195</v>
      </c>
      <c r="AA368" s="129" t="s">
        <v>196</v>
      </c>
      <c r="AB368" s="129" t="s">
        <v>209</v>
      </c>
      <c r="AC368" s="129" t="s">
        <v>187</v>
      </c>
      <c r="AD368" s="131"/>
      <c r="AE368" s="129" t="s">
        <v>209</v>
      </c>
      <c r="AF368" s="130">
        <v>14.064526179087601</v>
      </c>
      <c r="AG368" s="132">
        <v>121.749178074971</v>
      </c>
      <c r="AM368" s="133" t="str" cm="1">
        <f t="array" ref="AM368">IF(ROWS($AN$2:$AN367)&lt;=$AN$2,INDEX($V$3:$V$3000,_xlfn.AGGREGATE(15,3,($B$3:$B$3000=$AM$2)/($B$3:$B$3000=$AM$2)*(ROW($B$3:$B$3000)-ROW($B$2)),ROWS($AN$2:$AN367))),"")</f>
        <v/>
      </c>
      <c r="AN368" s="134" t="str" cm="1">
        <f t="array" ref="AN368">IF(ROWS($AN$2:$AN367)&lt;=$AN$2,INDEX($F$3:$F$3000,_xlfn.AGGREGATE(15,3,($B$3:$B$3000=$AM$2)/($B$3:$B$3000=$AM$2)*(ROW($B$3:$B$3000)-ROW($B$2)),ROWS($AN$2:$AN367))),"")</f>
        <v/>
      </c>
      <c r="AO368" s="135" t="str" cm="1">
        <f t="array" ref="AO368">IF(ROWS($AN$2:$AN367)&lt;=$AN$2,INDEX($G$3:$G$3000,_xlfn.AGGREGATE(15,3,($B$3:$B$3000=$AM$2)/($B$3:$B$3000=$AM$2)*(ROW($B$3:$B$3000)-ROW($B$2)),ROWS($AN$2:$AN367))),"")</f>
        <v/>
      </c>
      <c r="AP368" s="121"/>
      <c r="AT368" s="111"/>
      <c r="AW368" s="134"/>
      <c r="AX368" s="136"/>
      <c r="AY368" s="134"/>
    </row>
    <row r="369" spans="1:51" s="110" customFormat="1" ht="20" customHeight="1">
      <c r="A369" s="125" t="s">
        <v>239</v>
      </c>
      <c r="B369" s="126" t="s">
        <v>67</v>
      </c>
      <c r="C369" s="127">
        <v>14284</v>
      </c>
      <c r="D369" s="128">
        <v>107808</v>
      </c>
      <c r="E369" s="129" t="s">
        <v>4890</v>
      </c>
      <c r="F369" s="129" t="s">
        <v>4891</v>
      </c>
      <c r="G369" s="130">
        <v>2397000</v>
      </c>
      <c r="H369" s="130">
        <v>5</v>
      </c>
      <c r="I369" s="129" t="s">
        <v>209</v>
      </c>
      <c r="J369" s="129" t="s">
        <v>4892</v>
      </c>
      <c r="K369" s="129" t="s">
        <v>4893</v>
      </c>
      <c r="L369" s="130">
        <v>5</v>
      </c>
      <c r="M369" s="130">
        <v>1</v>
      </c>
      <c r="N369" s="129" t="s">
        <v>1544</v>
      </c>
      <c r="O369" s="130">
        <v>99</v>
      </c>
      <c r="P369" s="130">
        <v>18.777000000000001</v>
      </c>
      <c r="Q369" s="130">
        <v>17</v>
      </c>
      <c r="R369" s="129" t="s">
        <v>190</v>
      </c>
      <c r="S369" s="129" t="s">
        <v>191</v>
      </c>
      <c r="T369" s="130">
        <v>166</v>
      </c>
      <c r="U369" s="129" t="s">
        <v>1390</v>
      </c>
      <c r="V369" s="129" t="s">
        <v>1391</v>
      </c>
      <c r="W369" s="130">
        <v>3</v>
      </c>
      <c r="X369" s="130">
        <v>2</v>
      </c>
      <c r="Y369" s="129" t="s">
        <v>194</v>
      </c>
      <c r="Z369" s="129" t="s">
        <v>195</v>
      </c>
      <c r="AA369" s="129" t="s">
        <v>196</v>
      </c>
      <c r="AB369" s="129" t="s">
        <v>209</v>
      </c>
      <c r="AC369" s="129" t="s">
        <v>187</v>
      </c>
      <c r="AD369" s="131"/>
      <c r="AE369" s="129" t="s">
        <v>209</v>
      </c>
      <c r="AF369" s="130">
        <v>14.960269999560801</v>
      </c>
      <c r="AG369" s="132">
        <v>120.501830000154</v>
      </c>
      <c r="AM369" s="133" t="str" cm="1">
        <f t="array" ref="AM369">IF(ROWS($AN$2:$AN368)&lt;=$AN$2,INDEX($V$3:$V$3000,_xlfn.AGGREGATE(15,3,($B$3:$B$3000=$AM$2)/($B$3:$B$3000=$AM$2)*(ROW($B$3:$B$3000)-ROW($B$2)),ROWS($AN$2:$AN368))),"")</f>
        <v/>
      </c>
      <c r="AN369" s="134" t="str" cm="1">
        <f t="array" ref="AN369">IF(ROWS($AN$2:$AN368)&lt;=$AN$2,INDEX($F$3:$F$3000,_xlfn.AGGREGATE(15,3,($B$3:$B$3000=$AM$2)/($B$3:$B$3000=$AM$2)*(ROW($B$3:$B$3000)-ROW($B$2)),ROWS($AN$2:$AN368))),"")</f>
        <v/>
      </c>
      <c r="AO369" s="135" t="str" cm="1">
        <f t="array" ref="AO369">IF(ROWS($AN$2:$AN368)&lt;=$AN$2,INDEX($G$3:$G$3000,_xlfn.AGGREGATE(15,3,($B$3:$B$3000=$AM$2)/($B$3:$B$3000=$AM$2)*(ROW($B$3:$B$3000)-ROW($B$2)),ROWS($AN$2:$AN368))),"")</f>
        <v/>
      </c>
      <c r="AP369" s="121"/>
      <c r="AT369" s="111"/>
      <c r="AW369" s="134"/>
      <c r="AX369" s="136"/>
      <c r="AY369" s="134"/>
    </row>
    <row r="370" spans="1:51" s="110" customFormat="1" ht="20" customHeight="1">
      <c r="A370" s="125" t="s">
        <v>239</v>
      </c>
      <c r="B370" s="126" t="s">
        <v>67</v>
      </c>
      <c r="C370" s="127">
        <v>14294</v>
      </c>
      <c r="D370" s="128">
        <v>107835</v>
      </c>
      <c r="E370" s="129" t="s">
        <v>4879</v>
      </c>
      <c r="F370" s="129" t="s">
        <v>4879</v>
      </c>
      <c r="G370" s="130">
        <v>1469000</v>
      </c>
      <c r="H370" s="130">
        <v>5</v>
      </c>
      <c r="I370" s="129" t="s">
        <v>209</v>
      </c>
      <c r="J370" s="129" t="s">
        <v>4880</v>
      </c>
      <c r="K370" s="129" t="s">
        <v>4881</v>
      </c>
      <c r="L370" s="130">
        <v>5</v>
      </c>
      <c r="M370" s="130">
        <v>1</v>
      </c>
      <c r="N370" s="129" t="s">
        <v>1544</v>
      </c>
      <c r="O370" s="130">
        <v>99</v>
      </c>
      <c r="P370" s="130">
        <v>10.561999999999999</v>
      </c>
      <c r="Q370" s="130">
        <v>17</v>
      </c>
      <c r="R370" s="129" t="s">
        <v>190</v>
      </c>
      <c r="S370" s="129" t="s">
        <v>191</v>
      </c>
      <c r="T370" s="130">
        <v>166</v>
      </c>
      <c r="U370" s="129" t="s">
        <v>1390</v>
      </c>
      <c r="V370" s="129" t="s">
        <v>1391</v>
      </c>
      <c r="W370" s="130">
        <v>2</v>
      </c>
      <c r="X370" s="130">
        <v>2</v>
      </c>
      <c r="Y370" s="129" t="s">
        <v>194</v>
      </c>
      <c r="Z370" s="129" t="s">
        <v>195</v>
      </c>
      <c r="AA370" s="129" t="s">
        <v>196</v>
      </c>
      <c r="AB370" s="129" t="s">
        <v>209</v>
      </c>
      <c r="AC370" s="129" t="s">
        <v>187</v>
      </c>
      <c r="AD370" s="131"/>
      <c r="AE370" s="129" t="s">
        <v>209</v>
      </c>
      <c r="AF370" s="130">
        <v>15.962020000000001</v>
      </c>
      <c r="AG370" s="132">
        <v>120.38515</v>
      </c>
      <c r="AM370" s="133" t="str" cm="1">
        <f t="array" ref="AM370">IF(ROWS($AN$2:$AN369)&lt;=$AN$2,INDEX($V$3:$V$3000,_xlfn.AGGREGATE(15,3,($B$3:$B$3000=$AM$2)/($B$3:$B$3000=$AM$2)*(ROW($B$3:$B$3000)-ROW($B$2)),ROWS($AN$2:$AN369))),"")</f>
        <v/>
      </c>
      <c r="AN370" s="134" t="str" cm="1">
        <f t="array" ref="AN370">IF(ROWS($AN$2:$AN369)&lt;=$AN$2,INDEX($F$3:$F$3000,_xlfn.AGGREGATE(15,3,($B$3:$B$3000=$AM$2)/($B$3:$B$3000=$AM$2)*(ROW($B$3:$B$3000)-ROW($B$2)),ROWS($AN$2:$AN369))),"")</f>
        <v/>
      </c>
      <c r="AO370" s="135" t="str" cm="1">
        <f t="array" ref="AO370">IF(ROWS($AN$2:$AN369)&lt;=$AN$2,INDEX($G$3:$G$3000,_xlfn.AGGREGATE(15,3,($B$3:$B$3000=$AM$2)/($B$3:$B$3000=$AM$2)*(ROW($B$3:$B$3000)-ROW($B$2)),ROWS($AN$2:$AN369))),"")</f>
        <v/>
      </c>
      <c r="AP370" s="121"/>
      <c r="AT370" s="111"/>
      <c r="AW370" s="134"/>
      <c r="AX370" s="136"/>
      <c r="AY370" s="134"/>
    </row>
    <row r="371" spans="1:51" s="110" customFormat="1" ht="20" customHeight="1">
      <c r="A371" s="125" t="s">
        <v>239</v>
      </c>
      <c r="B371" s="126" t="s">
        <v>67</v>
      </c>
      <c r="C371" s="127">
        <v>13564</v>
      </c>
      <c r="D371" s="128">
        <v>106374</v>
      </c>
      <c r="E371" s="129" t="s">
        <v>4853</v>
      </c>
      <c r="F371" s="129" t="s">
        <v>4853</v>
      </c>
      <c r="G371" s="130">
        <v>938000</v>
      </c>
      <c r="H371" s="130">
        <v>5</v>
      </c>
      <c r="I371" s="129" t="s">
        <v>209</v>
      </c>
      <c r="J371" s="129" t="s">
        <v>4854</v>
      </c>
      <c r="K371" s="129" t="s">
        <v>4855</v>
      </c>
      <c r="L371" s="130">
        <v>4</v>
      </c>
      <c r="M371" s="130">
        <v>1</v>
      </c>
      <c r="N371" s="129" t="s">
        <v>1544</v>
      </c>
      <c r="O371" s="130">
        <v>96</v>
      </c>
      <c r="P371" s="130">
        <v>15</v>
      </c>
      <c r="Q371" s="130">
        <v>17</v>
      </c>
      <c r="R371" s="129" t="s">
        <v>190</v>
      </c>
      <c r="S371" s="129" t="s">
        <v>191</v>
      </c>
      <c r="T371" s="130">
        <v>166</v>
      </c>
      <c r="U371" s="129" t="s">
        <v>1390</v>
      </c>
      <c r="V371" s="129" t="s">
        <v>1391</v>
      </c>
      <c r="W371" s="130">
        <v>1</v>
      </c>
      <c r="X371" s="130">
        <v>2</v>
      </c>
      <c r="Y371" s="129" t="s">
        <v>194</v>
      </c>
      <c r="Z371" s="129" t="s">
        <v>195</v>
      </c>
      <c r="AA371" s="129" t="s">
        <v>196</v>
      </c>
      <c r="AB371" s="129" t="s">
        <v>209</v>
      </c>
      <c r="AC371" s="129" t="s">
        <v>187</v>
      </c>
      <c r="AD371" s="131"/>
      <c r="AE371" s="129" t="s">
        <v>209</v>
      </c>
      <c r="AF371" s="130">
        <v>12.214530000059399</v>
      </c>
      <c r="AG371" s="132">
        <v>123.635789999709</v>
      </c>
      <c r="AM371" s="133" t="str" cm="1">
        <f t="array" ref="AM371">IF(ROWS($AN$2:$AN370)&lt;=$AN$2,INDEX($V$3:$V$3000,_xlfn.AGGREGATE(15,3,($B$3:$B$3000=$AM$2)/($B$3:$B$3000=$AM$2)*(ROW($B$3:$B$3000)-ROW($B$2)),ROWS($AN$2:$AN370))),"")</f>
        <v/>
      </c>
      <c r="AN371" s="134" t="str" cm="1">
        <f t="array" ref="AN371">IF(ROWS($AN$2:$AN370)&lt;=$AN$2,INDEX($F$3:$F$3000,_xlfn.AGGREGATE(15,3,($B$3:$B$3000=$AM$2)/($B$3:$B$3000=$AM$2)*(ROW($B$3:$B$3000)-ROW($B$2)),ROWS($AN$2:$AN370))),"")</f>
        <v/>
      </c>
      <c r="AO371" s="135" t="str" cm="1">
        <f t="array" ref="AO371">IF(ROWS($AN$2:$AN370)&lt;=$AN$2,INDEX($G$3:$G$3000,_xlfn.AGGREGATE(15,3,($B$3:$B$3000=$AM$2)/($B$3:$B$3000=$AM$2)*(ROW($B$3:$B$3000)-ROW($B$2)),ROWS($AN$2:$AN370))),"")</f>
        <v/>
      </c>
      <c r="AP371" s="121"/>
      <c r="AT371" s="111"/>
      <c r="AW371" s="134"/>
      <c r="AX371" s="136"/>
      <c r="AY371" s="134"/>
    </row>
    <row r="372" spans="1:51" s="110" customFormat="1" ht="20" customHeight="1">
      <c r="A372" s="125" t="s">
        <v>239</v>
      </c>
      <c r="B372" s="126" t="s">
        <v>67</v>
      </c>
      <c r="C372" s="127">
        <v>11094</v>
      </c>
      <c r="D372" s="128">
        <v>101880</v>
      </c>
      <c r="E372" s="129" t="s">
        <v>4850</v>
      </c>
      <c r="F372" s="129" t="s">
        <v>4850</v>
      </c>
      <c r="G372" s="130">
        <v>912000</v>
      </c>
      <c r="H372" s="130">
        <v>5</v>
      </c>
      <c r="I372" s="129" t="s">
        <v>209</v>
      </c>
      <c r="J372" s="129" t="s">
        <v>4851</v>
      </c>
      <c r="K372" s="129" t="s">
        <v>4852</v>
      </c>
      <c r="L372" s="130">
        <v>0</v>
      </c>
      <c r="M372" s="130">
        <v>1</v>
      </c>
      <c r="N372" s="129" t="s">
        <v>1544</v>
      </c>
      <c r="O372" s="130">
        <v>99</v>
      </c>
      <c r="P372" s="130">
        <v>13</v>
      </c>
      <c r="Q372" s="130">
        <v>17</v>
      </c>
      <c r="R372" s="129" t="s">
        <v>190</v>
      </c>
      <c r="S372" s="129" t="s">
        <v>191</v>
      </c>
      <c r="T372" s="130">
        <v>166</v>
      </c>
      <c r="U372" s="129" t="s">
        <v>1390</v>
      </c>
      <c r="V372" s="129" t="s">
        <v>1391</v>
      </c>
      <c r="W372" s="130">
        <v>1</v>
      </c>
      <c r="X372" s="130">
        <v>2</v>
      </c>
      <c r="Y372" s="129" t="s">
        <v>194</v>
      </c>
      <c r="Z372" s="129" t="s">
        <v>195</v>
      </c>
      <c r="AA372" s="129" t="s">
        <v>196</v>
      </c>
      <c r="AB372" s="129" t="s">
        <v>209</v>
      </c>
      <c r="AC372" s="129" t="s">
        <v>187</v>
      </c>
      <c r="AD372" s="131"/>
      <c r="AE372" s="129" t="s">
        <v>209</v>
      </c>
      <c r="AF372" s="130">
        <v>11.431715000000001</v>
      </c>
      <c r="AG372" s="132">
        <v>122.926163</v>
      </c>
      <c r="AM372" s="133" t="str" cm="1">
        <f t="array" ref="AM372">IF(ROWS($AN$2:$AN371)&lt;=$AN$2,INDEX($V$3:$V$3000,_xlfn.AGGREGATE(15,3,($B$3:$B$3000=$AM$2)/($B$3:$B$3000=$AM$2)*(ROW($B$3:$B$3000)-ROW($B$2)),ROWS($AN$2:$AN371))),"")</f>
        <v/>
      </c>
      <c r="AN372" s="134" t="str" cm="1">
        <f t="array" ref="AN372">IF(ROWS($AN$2:$AN371)&lt;=$AN$2,INDEX($F$3:$F$3000,_xlfn.AGGREGATE(15,3,($B$3:$B$3000=$AM$2)/($B$3:$B$3000=$AM$2)*(ROW($B$3:$B$3000)-ROW($B$2)),ROWS($AN$2:$AN371))),"")</f>
        <v/>
      </c>
      <c r="AO372" s="135" t="str" cm="1">
        <f t="array" ref="AO372">IF(ROWS($AN$2:$AN371)&lt;=$AN$2,INDEX($G$3:$G$3000,_xlfn.AGGREGATE(15,3,($B$3:$B$3000=$AM$2)/($B$3:$B$3000=$AM$2)*(ROW($B$3:$B$3000)-ROW($B$2)),ROWS($AN$2:$AN371))),"")</f>
        <v/>
      </c>
      <c r="AP372" s="121"/>
      <c r="AT372" s="111"/>
      <c r="AW372" s="134"/>
      <c r="AX372" s="136"/>
      <c r="AY372" s="134"/>
    </row>
    <row r="373" spans="1:51" s="110" customFormat="1" ht="20" customHeight="1">
      <c r="A373" s="125" t="s">
        <v>239</v>
      </c>
      <c r="B373" s="126" t="s">
        <v>67</v>
      </c>
      <c r="C373" s="127">
        <v>15036</v>
      </c>
      <c r="D373" s="128">
        <v>109471</v>
      </c>
      <c r="E373" s="129" t="s">
        <v>4815</v>
      </c>
      <c r="F373" s="129" t="s">
        <v>4815</v>
      </c>
      <c r="G373" s="130">
        <v>476000</v>
      </c>
      <c r="H373" s="130">
        <v>5</v>
      </c>
      <c r="I373" s="129" t="s">
        <v>209</v>
      </c>
      <c r="J373" s="129" t="s">
        <v>4816</v>
      </c>
      <c r="K373" s="129" t="s">
        <v>4817</v>
      </c>
      <c r="L373" s="130">
        <v>0</v>
      </c>
      <c r="M373" s="130">
        <v>1</v>
      </c>
      <c r="N373" s="129" t="s">
        <v>1544</v>
      </c>
      <c r="O373" s="130">
        <v>95</v>
      </c>
      <c r="P373" s="130">
        <v>11</v>
      </c>
      <c r="Q373" s="130">
        <v>17</v>
      </c>
      <c r="R373" s="129" t="s">
        <v>190</v>
      </c>
      <c r="S373" s="129" t="s">
        <v>191</v>
      </c>
      <c r="T373" s="130">
        <v>166</v>
      </c>
      <c r="U373" s="129" t="s">
        <v>1390</v>
      </c>
      <c r="V373" s="129" t="s">
        <v>1391</v>
      </c>
      <c r="W373" s="130">
        <v>1</v>
      </c>
      <c r="X373" s="130">
        <v>2</v>
      </c>
      <c r="Y373" s="129" t="s">
        <v>194</v>
      </c>
      <c r="Z373" s="129" t="s">
        <v>195</v>
      </c>
      <c r="AA373" s="129" t="s">
        <v>196</v>
      </c>
      <c r="AB373" s="129" t="s">
        <v>209</v>
      </c>
      <c r="AC373" s="129" t="s">
        <v>187</v>
      </c>
      <c r="AD373" s="131"/>
      <c r="AE373" s="129" t="s">
        <v>209</v>
      </c>
      <c r="AF373" s="130">
        <v>12.738340000000001</v>
      </c>
      <c r="AG373" s="132">
        <v>124.01871</v>
      </c>
      <c r="AM373" s="133" t="str" cm="1">
        <f t="array" ref="AM373">IF(ROWS($AN$2:$AN372)&lt;=$AN$2,INDEX($V$3:$V$3000,_xlfn.AGGREGATE(15,3,($B$3:$B$3000=$AM$2)/($B$3:$B$3000=$AM$2)*(ROW($B$3:$B$3000)-ROW($B$2)),ROWS($AN$2:$AN372))),"")</f>
        <v/>
      </c>
      <c r="AN373" s="134" t="str" cm="1">
        <f t="array" ref="AN373">IF(ROWS($AN$2:$AN372)&lt;=$AN$2,INDEX($F$3:$F$3000,_xlfn.AGGREGATE(15,3,($B$3:$B$3000=$AM$2)/($B$3:$B$3000=$AM$2)*(ROW($B$3:$B$3000)-ROW($B$2)),ROWS($AN$2:$AN372))),"")</f>
        <v/>
      </c>
      <c r="AO373" s="135" t="str" cm="1">
        <f t="array" ref="AO373">IF(ROWS($AN$2:$AN372)&lt;=$AN$2,INDEX($G$3:$G$3000,_xlfn.AGGREGATE(15,3,($B$3:$B$3000=$AM$2)/($B$3:$B$3000=$AM$2)*(ROW($B$3:$B$3000)-ROW($B$2)),ROWS($AN$2:$AN372))),"")</f>
        <v/>
      </c>
      <c r="AP373" s="121"/>
      <c r="AT373" s="111"/>
      <c r="AW373" s="134"/>
      <c r="AX373" s="136"/>
      <c r="AY373" s="134"/>
    </row>
    <row r="374" spans="1:51" s="110" customFormat="1" ht="20" customHeight="1">
      <c r="A374" s="125" t="s">
        <v>239</v>
      </c>
      <c r="B374" s="126" t="s">
        <v>67</v>
      </c>
      <c r="C374" s="127">
        <v>15131</v>
      </c>
      <c r="D374" s="128">
        <v>109623</v>
      </c>
      <c r="E374" s="129" t="s">
        <v>4813</v>
      </c>
      <c r="F374" s="129" t="s">
        <v>4813</v>
      </c>
      <c r="G374" s="130">
        <v>468000</v>
      </c>
      <c r="H374" s="130">
        <v>5</v>
      </c>
      <c r="I374" s="129" t="s">
        <v>209</v>
      </c>
      <c r="J374" s="129" t="s">
        <v>4814</v>
      </c>
      <c r="K374" s="129" t="s">
        <v>4813</v>
      </c>
      <c r="L374" s="130">
        <v>1</v>
      </c>
      <c r="M374" s="130">
        <v>1</v>
      </c>
      <c r="N374" s="129" t="s">
        <v>1544</v>
      </c>
      <c r="O374" s="130">
        <v>97</v>
      </c>
      <c r="P374" s="130">
        <v>11</v>
      </c>
      <c r="Q374" s="130">
        <v>17</v>
      </c>
      <c r="R374" s="129" t="s">
        <v>190</v>
      </c>
      <c r="S374" s="129" t="s">
        <v>191</v>
      </c>
      <c r="T374" s="130">
        <v>166</v>
      </c>
      <c r="U374" s="129" t="s">
        <v>1390</v>
      </c>
      <c r="V374" s="129" t="s">
        <v>1391</v>
      </c>
      <c r="W374" s="130">
        <v>1</v>
      </c>
      <c r="X374" s="130">
        <v>2</v>
      </c>
      <c r="Y374" s="129" t="s">
        <v>194</v>
      </c>
      <c r="Z374" s="129" t="s">
        <v>195</v>
      </c>
      <c r="AA374" s="129" t="s">
        <v>196</v>
      </c>
      <c r="AB374" s="129" t="s">
        <v>209</v>
      </c>
      <c r="AC374" s="129" t="s">
        <v>187</v>
      </c>
      <c r="AD374" s="131"/>
      <c r="AE374" s="129" t="s">
        <v>209</v>
      </c>
      <c r="AF374" s="130">
        <v>9.1456299997246902</v>
      </c>
      <c r="AG374" s="132">
        <v>125.89586000003899</v>
      </c>
      <c r="AM374" s="133" t="str" cm="1">
        <f t="array" ref="AM374">IF(ROWS($AN$2:$AN373)&lt;=$AN$2,INDEX($V$3:$V$3000,_xlfn.AGGREGATE(15,3,($B$3:$B$3000=$AM$2)/($B$3:$B$3000=$AM$2)*(ROW($B$3:$B$3000)-ROW($B$2)),ROWS($AN$2:$AN373))),"")</f>
        <v/>
      </c>
      <c r="AN374" s="134" t="str" cm="1">
        <f t="array" ref="AN374">IF(ROWS($AN$2:$AN373)&lt;=$AN$2,INDEX($F$3:$F$3000,_xlfn.AGGREGATE(15,3,($B$3:$B$3000=$AM$2)/($B$3:$B$3000=$AM$2)*(ROW($B$3:$B$3000)-ROW($B$2)),ROWS($AN$2:$AN373))),"")</f>
        <v/>
      </c>
      <c r="AO374" s="135" t="str" cm="1">
        <f t="array" ref="AO374">IF(ROWS($AN$2:$AN373)&lt;=$AN$2,INDEX($G$3:$G$3000,_xlfn.AGGREGATE(15,3,($B$3:$B$3000=$AM$2)/($B$3:$B$3000=$AM$2)*(ROW($B$3:$B$3000)-ROW($B$2)),ROWS($AN$2:$AN373))),"")</f>
        <v/>
      </c>
      <c r="AP374" s="121"/>
      <c r="AT374" s="111"/>
      <c r="AW374" s="134"/>
      <c r="AX374" s="136"/>
      <c r="AY374" s="134"/>
    </row>
    <row r="375" spans="1:51" s="110" customFormat="1" ht="20" customHeight="1">
      <c r="A375" s="125" t="s">
        <v>239</v>
      </c>
      <c r="B375" s="126" t="s">
        <v>67</v>
      </c>
      <c r="C375" s="127">
        <v>11512</v>
      </c>
      <c r="D375" s="128">
        <v>102477</v>
      </c>
      <c r="E375" s="129" t="s">
        <v>4779</v>
      </c>
      <c r="F375" s="129" t="s">
        <v>4779</v>
      </c>
      <c r="G375" s="130">
        <v>261000</v>
      </c>
      <c r="H375" s="130">
        <v>5</v>
      </c>
      <c r="I375" s="129" t="s">
        <v>209</v>
      </c>
      <c r="J375" s="129" t="s">
        <v>4780</v>
      </c>
      <c r="K375" s="129" t="s">
        <v>4781</v>
      </c>
      <c r="L375" s="130">
        <v>0</v>
      </c>
      <c r="M375" s="130">
        <v>1</v>
      </c>
      <c r="N375" s="129" t="s">
        <v>1544</v>
      </c>
      <c r="O375" s="130">
        <v>95</v>
      </c>
      <c r="P375" s="130">
        <v>12</v>
      </c>
      <c r="Q375" s="130">
        <v>17</v>
      </c>
      <c r="R375" s="129" t="s">
        <v>190</v>
      </c>
      <c r="S375" s="129" t="s">
        <v>191</v>
      </c>
      <c r="T375" s="130">
        <v>166</v>
      </c>
      <c r="U375" s="129" t="s">
        <v>1390</v>
      </c>
      <c r="V375" s="129" t="s">
        <v>1391</v>
      </c>
      <c r="W375" s="130">
        <v>1</v>
      </c>
      <c r="X375" s="130">
        <v>2</v>
      </c>
      <c r="Y375" s="129" t="s">
        <v>194</v>
      </c>
      <c r="Z375" s="129" t="s">
        <v>195</v>
      </c>
      <c r="AA375" s="129" t="s">
        <v>196</v>
      </c>
      <c r="AB375" s="129" t="s">
        <v>209</v>
      </c>
      <c r="AC375" s="129" t="s">
        <v>187</v>
      </c>
      <c r="AD375" s="131"/>
      <c r="AE375" s="129" t="s">
        <v>209</v>
      </c>
      <c r="AF375" s="130">
        <v>7.3465299999999996</v>
      </c>
      <c r="AG375" s="132">
        <v>126.44566</v>
      </c>
      <c r="AM375" s="133" t="str" cm="1">
        <f t="array" ref="AM375">IF(ROWS($AN$2:$AN374)&lt;=$AN$2,INDEX($V$3:$V$3000,_xlfn.AGGREGATE(15,3,($B$3:$B$3000=$AM$2)/($B$3:$B$3000=$AM$2)*(ROW($B$3:$B$3000)-ROW($B$2)),ROWS($AN$2:$AN374))),"")</f>
        <v/>
      </c>
      <c r="AN375" s="134" t="str" cm="1">
        <f t="array" ref="AN375">IF(ROWS($AN$2:$AN374)&lt;=$AN$2,INDEX($F$3:$F$3000,_xlfn.AGGREGATE(15,3,($B$3:$B$3000=$AM$2)/($B$3:$B$3000=$AM$2)*(ROW($B$3:$B$3000)-ROW($B$2)),ROWS($AN$2:$AN374))),"")</f>
        <v/>
      </c>
      <c r="AO375" s="135" t="str" cm="1">
        <f t="array" ref="AO375">IF(ROWS($AN$2:$AN374)&lt;=$AN$2,INDEX($G$3:$G$3000,_xlfn.AGGREGATE(15,3,($B$3:$B$3000=$AM$2)/($B$3:$B$3000=$AM$2)*(ROW($B$3:$B$3000)-ROW($B$2)),ROWS($AN$2:$AN374))),"")</f>
        <v/>
      </c>
      <c r="AP375" s="121"/>
      <c r="AT375" s="111"/>
      <c r="AW375" s="134"/>
      <c r="AX375" s="136"/>
      <c r="AY375" s="134"/>
    </row>
    <row r="376" spans="1:51" s="110" customFormat="1" ht="20" customHeight="1">
      <c r="A376" s="125" t="s">
        <v>239</v>
      </c>
      <c r="B376" s="126" t="s">
        <v>67</v>
      </c>
      <c r="C376" s="127">
        <v>14011</v>
      </c>
      <c r="D376" s="128">
        <v>107436</v>
      </c>
      <c r="E376" s="129" t="s">
        <v>4758</v>
      </c>
      <c r="F376" s="129" t="s">
        <v>4758</v>
      </c>
      <c r="G376" s="130">
        <v>227000</v>
      </c>
      <c r="H376" s="130">
        <v>5</v>
      </c>
      <c r="I376" s="129" t="s">
        <v>209</v>
      </c>
      <c r="J376" s="129" t="s">
        <v>4759</v>
      </c>
      <c r="K376" s="129" t="s">
        <v>4760</v>
      </c>
      <c r="L376" s="130">
        <v>0</v>
      </c>
      <c r="M376" s="130">
        <v>1</v>
      </c>
      <c r="N376" s="129" t="s">
        <v>1544</v>
      </c>
      <c r="O376" s="130">
        <v>97</v>
      </c>
      <c r="P376" s="130">
        <v>12</v>
      </c>
      <c r="Q376" s="130">
        <v>17</v>
      </c>
      <c r="R376" s="129" t="s">
        <v>190</v>
      </c>
      <c r="S376" s="129" t="s">
        <v>191</v>
      </c>
      <c r="T376" s="130">
        <v>166</v>
      </c>
      <c r="U376" s="129" t="s">
        <v>1390</v>
      </c>
      <c r="V376" s="129" t="s">
        <v>1391</v>
      </c>
      <c r="W376" s="130">
        <v>1</v>
      </c>
      <c r="X376" s="130">
        <v>2</v>
      </c>
      <c r="Y376" s="129" t="s">
        <v>194</v>
      </c>
      <c r="Z376" s="129" t="s">
        <v>195</v>
      </c>
      <c r="AA376" s="129" t="s">
        <v>196</v>
      </c>
      <c r="AB376" s="129" t="s">
        <v>209</v>
      </c>
      <c r="AC376" s="129" t="s">
        <v>187</v>
      </c>
      <c r="AD376" s="131"/>
      <c r="AE376" s="129" t="s">
        <v>209</v>
      </c>
      <c r="AF376" s="130">
        <v>12.958539999999999</v>
      </c>
      <c r="AG376" s="132">
        <v>124.06389</v>
      </c>
      <c r="AM376" s="133" t="str" cm="1">
        <f t="array" ref="AM376">IF(ROWS($AN$2:$AN375)&lt;=$AN$2,INDEX($V$3:$V$3000,_xlfn.AGGREGATE(15,3,($B$3:$B$3000=$AM$2)/($B$3:$B$3000=$AM$2)*(ROW($B$3:$B$3000)-ROW($B$2)),ROWS($AN$2:$AN375))),"")</f>
        <v/>
      </c>
      <c r="AN376" s="134" t="str" cm="1">
        <f t="array" ref="AN376">IF(ROWS($AN$2:$AN375)&lt;=$AN$2,INDEX($F$3:$F$3000,_xlfn.AGGREGATE(15,3,($B$3:$B$3000=$AM$2)/($B$3:$B$3000=$AM$2)*(ROW($B$3:$B$3000)-ROW($B$2)),ROWS($AN$2:$AN375))),"")</f>
        <v/>
      </c>
      <c r="AO376" s="135" t="str" cm="1">
        <f t="array" ref="AO376">IF(ROWS($AN$2:$AN375)&lt;=$AN$2,INDEX($G$3:$G$3000,_xlfn.AGGREGATE(15,3,($B$3:$B$3000=$AM$2)/($B$3:$B$3000=$AM$2)*(ROW($B$3:$B$3000)-ROW($B$2)),ROWS($AN$2:$AN375))),"")</f>
        <v/>
      </c>
      <c r="AP376" s="121"/>
      <c r="AT376" s="111"/>
      <c r="AW376" s="134"/>
      <c r="AX376" s="136"/>
      <c r="AY376" s="134"/>
    </row>
    <row r="377" spans="1:51" s="110" customFormat="1" ht="20" customHeight="1">
      <c r="A377" s="125" t="s">
        <v>239</v>
      </c>
      <c r="B377" s="126" t="s">
        <v>67</v>
      </c>
      <c r="C377" s="127">
        <v>15100</v>
      </c>
      <c r="D377" s="128">
        <v>109565</v>
      </c>
      <c r="E377" s="129" t="s">
        <v>4691</v>
      </c>
      <c r="F377" s="129" t="s">
        <v>4691</v>
      </c>
      <c r="G377" s="130">
        <v>143000</v>
      </c>
      <c r="H377" s="130">
        <v>5</v>
      </c>
      <c r="I377" s="129" t="s">
        <v>209</v>
      </c>
      <c r="J377" s="129" t="s">
        <v>4692</v>
      </c>
      <c r="K377" s="129" t="s">
        <v>4693</v>
      </c>
      <c r="L377" s="130">
        <v>4</v>
      </c>
      <c r="M377" s="130">
        <v>1</v>
      </c>
      <c r="N377" s="129" t="s">
        <v>1544</v>
      </c>
      <c r="O377" s="130">
        <v>60</v>
      </c>
      <c r="P377" s="130">
        <v>19</v>
      </c>
      <c r="Q377" s="130">
        <v>17</v>
      </c>
      <c r="R377" s="129" t="s">
        <v>190</v>
      </c>
      <c r="S377" s="129" t="s">
        <v>191</v>
      </c>
      <c r="T377" s="130">
        <v>166</v>
      </c>
      <c r="U377" s="129" t="s">
        <v>1390</v>
      </c>
      <c r="V377" s="129" t="s">
        <v>1391</v>
      </c>
      <c r="W377" s="130">
        <v>1</v>
      </c>
      <c r="X377" s="130">
        <v>2</v>
      </c>
      <c r="Y377" s="129" t="s">
        <v>194</v>
      </c>
      <c r="Z377" s="129" t="s">
        <v>195</v>
      </c>
      <c r="AA377" s="129" t="s">
        <v>196</v>
      </c>
      <c r="AB377" s="129" t="s">
        <v>209</v>
      </c>
      <c r="AC377" s="129" t="s">
        <v>187</v>
      </c>
      <c r="AD377" s="131"/>
      <c r="AE377" s="129" t="s">
        <v>209</v>
      </c>
      <c r="AF377" s="130">
        <v>7.9864988912108297</v>
      </c>
      <c r="AG377" s="132">
        <v>122.664068260742</v>
      </c>
      <c r="AM377" s="133" t="str" cm="1">
        <f t="array" ref="AM377">IF(ROWS($AN$2:$AN376)&lt;=$AN$2,INDEX($V$3:$V$3000,_xlfn.AGGREGATE(15,3,($B$3:$B$3000=$AM$2)/($B$3:$B$3000=$AM$2)*(ROW($B$3:$B$3000)-ROW($B$2)),ROWS($AN$2:$AN376))),"")</f>
        <v/>
      </c>
      <c r="AN377" s="134" t="str" cm="1">
        <f t="array" ref="AN377">IF(ROWS($AN$2:$AN376)&lt;=$AN$2,INDEX($F$3:$F$3000,_xlfn.AGGREGATE(15,3,($B$3:$B$3000=$AM$2)/($B$3:$B$3000=$AM$2)*(ROW($B$3:$B$3000)-ROW($B$2)),ROWS($AN$2:$AN376))),"")</f>
        <v/>
      </c>
      <c r="AO377" s="135" t="str" cm="1">
        <f t="array" ref="AO377">IF(ROWS($AN$2:$AN376)&lt;=$AN$2,INDEX($G$3:$G$3000,_xlfn.AGGREGATE(15,3,($B$3:$B$3000=$AM$2)/($B$3:$B$3000=$AM$2)*(ROW($B$3:$B$3000)-ROW($B$2)),ROWS($AN$2:$AN376))),"")</f>
        <v/>
      </c>
      <c r="AP377" s="121"/>
      <c r="AT377" s="111"/>
      <c r="AW377" s="134"/>
      <c r="AX377" s="136"/>
      <c r="AY377" s="134"/>
    </row>
    <row r="378" spans="1:51" s="110" customFormat="1" ht="20" customHeight="1">
      <c r="A378" s="125" t="s">
        <v>239</v>
      </c>
      <c r="B378" s="126" t="s">
        <v>67</v>
      </c>
      <c r="C378" s="127">
        <v>14572</v>
      </c>
      <c r="D378" s="128">
        <v>108404</v>
      </c>
      <c r="E378" s="129" t="s">
        <v>4622</v>
      </c>
      <c r="F378" s="129" t="s">
        <v>4622</v>
      </c>
      <c r="G378" s="130">
        <v>108000</v>
      </c>
      <c r="H378" s="130">
        <v>5</v>
      </c>
      <c r="I378" s="129" t="s">
        <v>209</v>
      </c>
      <c r="J378" s="129" t="s">
        <v>4623</v>
      </c>
      <c r="K378" s="129" t="s">
        <v>4624</v>
      </c>
      <c r="L378" s="130">
        <v>4</v>
      </c>
      <c r="M378" s="130">
        <v>1</v>
      </c>
      <c r="N378" s="129" t="s">
        <v>1544</v>
      </c>
      <c r="O378" s="130">
        <v>98</v>
      </c>
      <c r="P378" s="130">
        <v>11</v>
      </c>
      <c r="Q378" s="130">
        <v>17</v>
      </c>
      <c r="R378" s="129" t="s">
        <v>190</v>
      </c>
      <c r="S378" s="129" t="s">
        <v>191</v>
      </c>
      <c r="T378" s="130">
        <v>166</v>
      </c>
      <c r="U378" s="129" t="s">
        <v>1390</v>
      </c>
      <c r="V378" s="129" t="s">
        <v>1391</v>
      </c>
      <c r="W378" s="130">
        <v>1</v>
      </c>
      <c r="X378" s="130">
        <v>2</v>
      </c>
      <c r="Y378" s="129" t="s">
        <v>194</v>
      </c>
      <c r="Z378" s="129" t="s">
        <v>195</v>
      </c>
      <c r="AA378" s="129" t="s">
        <v>196</v>
      </c>
      <c r="AB378" s="129" t="s">
        <v>209</v>
      </c>
      <c r="AC378" s="129" t="s">
        <v>187</v>
      </c>
      <c r="AD378" s="131"/>
      <c r="AE378" s="129" t="s">
        <v>209</v>
      </c>
      <c r="AF378" s="130">
        <v>12.452870000000001</v>
      </c>
      <c r="AG378" s="132">
        <v>122.46982</v>
      </c>
      <c r="AM378" s="133" t="str" cm="1">
        <f t="array" ref="AM378">IF(ROWS($AN$2:$AN377)&lt;=$AN$2,INDEX($V$3:$V$3000,_xlfn.AGGREGATE(15,3,($B$3:$B$3000=$AM$2)/($B$3:$B$3000=$AM$2)*(ROW($B$3:$B$3000)-ROW($B$2)),ROWS($AN$2:$AN377))),"")</f>
        <v/>
      </c>
      <c r="AN378" s="134" t="str" cm="1">
        <f t="array" ref="AN378">IF(ROWS($AN$2:$AN377)&lt;=$AN$2,INDEX($F$3:$F$3000,_xlfn.AGGREGATE(15,3,($B$3:$B$3000=$AM$2)/($B$3:$B$3000=$AM$2)*(ROW($B$3:$B$3000)-ROW($B$2)),ROWS($AN$2:$AN377))),"")</f>
        <v/>
      </c>
      <c r="AO378" s="135" t="str" cm="1">
        <f t="array" ref="AO378">IF(ROWS($AN$2:$AN377)&lt;=$AN$2,INDEX($G$3:$G$3000,_xlfn.AGGREGATE(15,3,($B$3:$B$3000=$AM$2)/($B$3:$B$3000=$AM$2)*(ROW($B$3:$B$3000)-ROW($B$2)),ROWS($AN$2:$AN377))),"")</f>
        <v/>
      </c>
      <c r="AP378" s="121"/>
      <c r="AT378" s="111"/>
      <c r="AW378" s="134"/>
      <c r="AX378" s="136"/>
      <c r="AY378" s="134"/>
    </row>
    <row r="379" spans="1:51" s="110" customFormat="1" ht="20" customHeight="1">
      <c r="A379" s="125" t="s">
        <v>239</v>
      </c>
      <c r="B379" s="126" t="s">
        <v>67</v>
      </c>
      <c r="C379" s="127">
        <v>10121</v>
      </c>
      <c r="D379" s="128">
        <v>100006</v>
      </c>
      <c r="E379" s="129" t="s">
        <v>4244</v>
      </c>
      <c r="F379" s="129" t="s">
        <v>4244</v>
      </c>
      <c r="G379" s="130">
        <v>31000</v>
      </c>
      <c r="H379" s="130">
        <v>5</v>
      </c>
      <c r="I379" s="129" t="s">
        <v>209</v>
      </c>
      <c r="J379" s="129" t="s">
        <v>4245</v>
      </c>
      <c r="K379" s="129" t="s">
        <v>4246</v>
      </c>
      <c r="L379" s="130">
        <v>4</v>
      </c>
      <c r="M379" s="130">
        <v>1</v>
      </c>
      <c r="N379" s="129" t="s">
        <v>1544</v>
      </c>
      <c r="O379" s="130">
        <v>80</v>
      </c>
      <c r="P379" s="130">
        <v>15</v>
      </c>
      <c r="Q379" s="130">
        <v>17</v>
      </c>
      <c r="R379" s="129" t="s">
        <v>190</v>
      </c>
      <c r="S379" s="129" t="s">
        <v>191</v>
      </c>
      <c r="T379" s="130">
        <v>166</v>
      </c>
      <c r="U379" s="129" t="s">
        <v>1390</v>
      </c>
      <c r="V379" s="129" t="s">
        <v>1391</v>
      </c>
      <c r="W379" s="130">
        <v>1</v>
      </c>
      <c r="X379" s="130">
        <v>2</v>
      </c>
      <c r="Y379" s="129" t="s">
        <v>194</v>
      </c>
      <c r="Z379" s="129" t="s">
        <v>195</v>
      </c>
      <c r="AA379" s="129" t="s">
        <v>196</v>
      </c>
      <c r="AB379" s="129" t="s">
        <v>209</v>
      </c>
      <c r="AC379" s="129" t="s">
        <v>187</v>
      </c>
      <c r="AD379" s="131"/>
      <c r="AE379" s="129" t="s">
        <v>209</v>
      </c>
      <c r="AF379" s="130">
        <v>12.426360000213799</v>
      </c>
      <c r="AG379" s="132">
        <v>124.16644999976801</v>
      </c>
      <c r="AM379" s="133" t="str" cm="1">
        <f t="array" ref="AM379">IF(ROWS($AN$2:$AN378)&lt;=$AN$2,INDEX($V$3:$V$3000,_xlfn.AGGREGATE(15,3,($B$3:$B$3000=$AM$2)/($B$3:$B$3000=$AM$2)*(ROW($B$3:$B$3000)-ROW($B$2)),ROWS($AN$2:$AN378))),"")</f>
        <v/>
      </c>
      <c r="AN379" s="134" t="str" cm="1">
        <f t="array" ref="AN379">IF(ROWS($AN$2:$AN378)&lt;=$AN$2,INDEX($F$3:$F$3000,_xlfn.AGGREGATE(15,3,($B$3:$B$3000=$AM$2)/($B$3:$B$3000=$AM$2)*(ROW($B$3:$B$3000)-ROW($B$2)),ROWS($AN$2:$AN378))),"")</f>
        <v/>
      </c>
      <c r="AO379" s="135" t="str" cm="1">
        <f t="array" ref="AO379">IF(ROWS($AN$2:$AN378)&lt;=$AN$2,INDEX($G$3:$G$3000,_xlfn.AGGREGATE(15,3,($B$3:$B$3000=$AM$2)/($B$3:$B$3000=$AM$2)*(ROW($B$3:$B$3000)-ROW($B$2)),ROWS($AN$2:$AN378))),"")</f>
        <v/>
      </c>
      <c r="AP379" s="121"/>
      <c r="AT379" s="111"/>
      <c r="AW379" s="134"/>
      <c r="AX379" s="136"/>
      <c r="AY379" s="134"/>
    </row>
    <row r="380" spans="1:51" s="110" customFormat="1" ht="20" customHeight="1">
      <c r="A380" s="125" t="s">
        <v>239</v>
      </c>
      <c r="B380" s="126" t="s">
        <v>67</v>
      </c>
      <c r="C380" s="127">
        <v>14378</v>
      </c>
      <c r="D380" s="128">
        <v>108006</v>
      </c>
      <c r="E380" s="129" t="s">
        <v>3139</v>
      </c>
      <c r="F380" s="129" t="s">
        <v>3139</v>
      </c>
      <c r="G380" s="130">
        <v>4700</v>
      </c>
      <c r="H380" s="130">
        <v>5</v>
      </c>
      <c r="I380" s="129" t="s">
        <v>209</v>
      </c>
      <c r="J380" s="129" t="s">
        <v>3140</v>
      </c>
      <c r="K380" s="129" t="s">
        <v>3141</v>
      </c>
      <c r="L380" s="130">
        <v>5</v>
      </c>
      <c r="M380" s="130">
        <v>1</v>
      </c>
      <c r="N380" s="129" t="s">
        <v>1544</v>
      </c>
      <c r="O380" s="130">
        <v>92</v>
      </c>
      <c r="P380" s="130">
        <v>12</v>
      </c>
      <c r="Q380" s="130">
        <v>17</v>
      </c>
      <c r="R380" s="129" t="s">
        <v>190</v>
      </c>
      <c r="S380" s="129" t="s">
        <v>191</v>
      </c>
      <c r="T380" s="130">
        <v>166</v>
      </c>
      <c r="U380" s="129" t="s">
        <v>1390</v>
      </c>
      <c r="V380" s="129" t="s">
        <v>1391</v>
      </c>
      <c r="W380" s="130">
        <v>1</v>
      </c>
      <c r="X380" s="130">
        <v>2</v>
      </c>
      <c r="Y380" s="129" t="s">
        <v>194</v>
      </c>
      <c r="Z380" s="129" t="s">
        <v>195</v>
      </c>
      <c r="AA380" s="129" t="s">
        <v>196</v>
      </c>
      <c r="AB380" s="129" t="s">
        <v>209</v>
      </c>
      <c r="AC380" s="129" t="s">
        <v>187</v>
      </c>
      <c r="AD380" s="131"/>
      <c r="AE380" s="129" t="s">
        <v>209</v>
      </c>
      <c r="AF380" s="130">
        <v>14.881919999999999</v>
      </c>
      <c r="AG380" s="132">
        <v>120.58703</v>
      </c>
      <c r="AM380" s="133" t="str" cm="1">
        <f t="array" ref="AM380">IF(ROWS($AN$2:$AN379)&lt;=$AN$2,INDEX($V$3:$V$3000,_xlfn.AGGREGATE(15,3,($B$3:$B$3000=$AM$2)/($B$3:$B$3000=$AM$2)*(ROW($B$3:$B$3000)-ROW($B$2)),ROWS($AN$2:$AN379))),"")</f>
        <v/>
      </c>
      <c r="AN380" s="134" t="str" cm="1">
        <f t="array" ref="AN380">IF(ROWS($AN$2:$AN379)&lt;=$AN$2,INDEX($F$3:$F$3000,_xlfn.AGGREGATE(15,3,($B$3:$B$3000=$AM$2)/($B$3:$B$3000=$AM$2)*(ROW($B$3:$B$3000)-ROW($B$2)),ROWS($AN$2:$AN379))),"")</f>
        <v/>
      </c>
      <c r="AO380" s="135" t="str" cm="1">
        <f t="array" ref="AO380">IF(ROWS($AN$2:$AN379)&lt;=$AN$2,INDEX($G$3:$G$3000,_xlfn.AGGREGATE(15,3,($B$3:$B$3000=$AM$2)/($B$3:$B$3000=$AM$2)*(ROW($B$3:$B$3000)-ROW($B$2)),ROWS($AN$2:$AN379))),"")</f>
        <v/>
      </c>
      <c r="AP380" s="121"/>
      <c r="AT380" s="111"/>
      <c r="AW380" s="134"/>
      <c r="AX380" s="136"/>
      <c r="AY380" s="134"/>
    </row>
    <row r="381" spans="1:51" s="110" customFormat="1" ht="20" customHeight="1">
      <c r="A381" s="125" t="s">
        <v>408</v>
      </c>
      <c r="B381" s="126" t="s">
        <v>64</v>
      </c>
      <c r="C381" s="127">
        <v>15175</v>
      </c>
      <c r="D381" s="128">
        <v>109692</v>
      </c>
      <c r="E381" s="129" t="s">
        <v>4270</v>
      </c>
      <c r="F381" s="129" t="s">
        <v>4270</v>
      </c>
      <c r="G381" s="130">
        <v>155000</v>
      </c>
      <c r="H381" s="130">
        <v>5</v>
      </c>
      <c r="I381" s="129" t="s">
        <v>209</v>
      </c>
      <c r="J381" s="129" t="s">
        <v>1567</v>
      </c>
      <c r="K381" s="129" t="s">
        <v>1568</v>
      </c>
      <c r="L381" s="130">
        <v>5</v>
      </c>
      <c r="M381" s="130">
        <v>1</v>
      </c>
      <c r="N381" s="129" t="s">
        <v>1544</v>
      </c>
      <c r="O381" s="130">
        <v>93</v>
      </c>
      <c r="P381" s="130">
        <v>12.3</v>
      </c>
      <c r="Q381" s="130">
        <v>17</v>
      </c>
      <c r="R381" s="129" t="s">
        <v>190</v>
      </c>
      <c r="S381" s="129" t="s">
        <v>191</v>
      </c>
      <c r="T381" s="130">
        <v>166</v>
      </c>
      <c r="U381" s="129" t="s">
        <v>1390</v>
      </c>
      <c r="V381" s="129" t="s">
        <v>1391</v>
      </c>
      <c r="W381" s="130">
        <v>54</v>
      </c>
      <c r="X381" s="130">
        <v>2</v>
      </c>
      <c r="Y381" s="129" t="s">
        <v>194</v>
      </c>
      <c r="Z381" s="129" t="s">
        <v>195</v>
      </c>
      <c r="AA381" s="129" t="s">
        <v>196</v>
      </c>
      <c r="AB381" s="129" t="s">
        <v>209</v>
      </c>
      <c r="AC381" s="129" t="s">
        <v>209</v>
      </c>
      <c r="AD381" s="131"/>
      <c r="AE381" s="129" t="s">
        <v>209</v>
      </c>
      <c r="AF381" s="130">
        <v>1.32207160881768</v>
      </c>
      <c r="AG381" s="132">
        <v>103.76310212716101</v>
      </c>
      <c r="AM381" s="133" t="str" cm="1">
        <f t="array" ref="AM381">IF(ROWS($AN$2:$AN380)&lt;=$AN$2,INDEX($V$3:$V$3000,_xlfn.AGGREGATE(15,3,($B$3:$B$3000=$AM$2)/($B$3:$B$3000=$AM$2)*(ROW($B$3:$B$3000)-ROW($B$2)),ROWS($AN$2:$AN380))),"")</f>
        <v/>
      </c>
      <c r="AN381" s="134" t="str" cm="1">
        <f t="array" ref="AN381">IF(ROWS($AN$2:$AN380)&lt;=$AN$2,INDEX($F$3:$F$3000,_xlfn.AGGREGATE(15,3,($B$3:$B$3000=$AM$2)/($B$3:$B$3000=$AM$2)*(ROW($B$3:$B$3000)-ROW($B$2)),ROWS($AN$2:$AN380))),"")</f>
        <v/>
      </c>
      <c r="AO381" s="135" t="str" cm="1">
        <f t="array" ref="AO381">IF(ROWS($AN$2:$AN380)&lt;=$AN$2,INDEX($G$3:$G$3000,_xlfn.AGGREGATE(15,3,($B$3:$B$3000=$AM$2)/($B$3:$B$3000=$AM$2)*(ROW($B$3:$B$3000)-ROW($B$2)),ROWS($AN$2:$AN380))),"")</f>
        <v/>
      </c>
      <c r="AP381" s="121"/>
      <c r="AT381" s="111"/>
      <c r="AW381" s="134"/>
      <c r="AX381" s="136"/>
      <c r="AY381" s="134"/>
    </row>
    <row r="382" spans="1:51" s="110" customFormat="1" ht="20" customHeight="1">
      <c r="A382" s="125" t="s">
        <v>239</v>
      </c>
      <c r="B382" s="126" t="s">
        <v>67</v>
      </c>
      <c r="C382" s="127">
        <v>12464</v>
      </c>
      <c r="D382" s="145">
        <v>104513</v>
      </c>
      <c r="E382" s="146" t="s">
        <v>4820</v>
      </c>
      <c r="F382" s="146" t="s">
        <v>4820</v>
      </c>
      <c r="G382" s="147">
        <v>512000</v>
      </c>
      <c r="H382" s="147">
        <v>4</v>
      </c>
      <c r="I382" s="146" t="s">
        <v>209</v>
      </c>
      <c r="J382" s="146" t="s">
        <v>4821</v>
      </c>
      <c r="K382" s="146" t="s">
        <v>4820</v>
      </c>
      <c r="L382" s="147">
        <v>3</v>
      </c>
      <c r="M382" s="147">
        <v>1</v>
      </c>
      <c r="N382" s="146" t="s">
        <v>1544</v>
      </c>
      <c r="O382" s="147">
        <v>90</v>
      </c>
      <c r="P382" s="147">
        <v>7</v>
      </c>
      <c r="Q382" s="147">
        <v>17</v>
      </c>
      <c r="R382" s="146" t="s">
        <v>190</v>
      </c>
      <c r="S382" s="146" t="s">
        <v>191</v>
      </c>
      <c r="T382" s="147">
        <v>168</v>
      </c>
      <c r="U382" s="146" t="s">
        <v>1569</v>
      </c>
      <c r="V382" s="146" t="s">
        <v>1570</v>
      </c>
      <c r="W382" s="147">
        <v>1</v>
      </c>
      <c r="X382" s="147">
        <v>2</v>
      </c>
      <c r="Y382" s="146" t="s">
        <v>194</v>
      </c>
      <c r="Z382" s="146" t="s">
        <v>195</v>
      </c>
      <c r="AA382" s="146" t="s">
        <v>196</v>
      </c>
      <c r="AB382" s="146" t="s">
        <v>209</v>
      </c>
      <c r="AC382" s="146" t="s">
        <v>187</v>
      </c>
      <c r="AD382" s="148"/>
      <c r="AE382" s="146" t="s">
        <v>209</v>
      </c>
      <c r="AF382" s="147">
        <v>8.1079600002538008</v>
      </c>
      <c r="AG382" s="149">
        <v>126.31392999977</v>
      </c>
      <c r="AM382" s="133" t="str" cm="1">
        <f t="array" ref="AM382">IF(ROWS($AN$2:$AN381)&lt;=$AN$2,INDEX($V$3:$V$3000,_xlfn.AGGREGATE(15,3,($B$3:$B$3000=$AM$2)/($B$3:$B$3000=$AM$2)*(ROW($B$3:$B$3000)-ROW($B$2)),ROWS($AN$2:$AN381))),"")</f>
        <v/>
      </c>
      <c r="AN382" s="134" t="str" cm="1">
        <f t="array" ref="AN382">IF(ROWS($AN$2:$AN381)&lt;=$AN$2,INDEX($F$3:$F$3000,_xlfn.AGGREGATE(15,3,($B$3:$B$3000=$AM$2)/($B$3:$B$3000=$AM$2)*(ROW($B$3:$B$3000)-ROW($B$2)),ROWS($AN$2:$AN381))),"")</f>
        <v/>
      </c>
      <c r="AO382" s="135" t="str" cm="1">
        <f t="array" ref="AO382">IF(ROWS($AN$2:$AN381)&lt;=$AN$2,INDEX($G$3:$G$3000,_xlfn.AGGREGATE(15,3,($B$3:$B$3000=$AM$2)/($B$3:$B$3000=$AM$2)*(ROW($B$3:$B$3000)-ROW($B$2)),ROWS($AN$2:$AN381))),"")</f>
        <v/>
      </c>
      <c r="AP382" s="121"/>
      <c r="AT382" s="111"/>
      <c r="AW382" s="134"/>
      <c r="AX382" s="136"/>
      <c r="AY382" s="134"/>
    </row>
    <row r="383" spans="1:51" s="110" customFormat="1" ht="20" customHeight="1">
      <c r="A383" s="125" t="s">
        <v>239</v>
      </c>
      <c r="B383" s="126" t="s">
        <v>67</v>
      </c>
      <c r="C383" s="127">
        <v>20527</v>
      </c>
      <c r="D383" s="145">
        <v>116840</v>
      </c>
      <c r="E383" s="146" t="s">
        <v>4803</v>
      </c>
      <c r="F383" s="146" t="s">
        <v>4803</v>
      </c>
      <c r="G383" s="147">
        <v>351000</v>
      </c>
      <c r="H383" s="147">
        <v>4</v>
      </c>
      <c r="I383" s="146" t="s">
        <v>209</v>
      </c>
      <c r="J383" s="146" t="s">
        <v>4804</v>
      </c>
      <c r="K383" s="146" t="s">
        <v>4803</v>
      </c>
      <c r="L383" s="147">
        <v>1</v>
      </c>
      <c r="M383" s="147">
        <v>1</v>
      </c>
      <c r="N383" s="146" t="s">
        <v>1544</v>
      </c>
      <c r="O383" s="147">
        <v>95</v>
      </c>
      <c r="P383" s="147">
        <v>10</v>
      </c>
      <c r="Q383" s="147">
        <v>17</v>
      </c>
      <c r="R383" s="146" t="s">
        <v>190</v>
      </c>
      <c r="S383" s="146" t="s">
        <v>191</v>
      </c>
      <c r="T383" s="147">
        <v>168</v>
      </c>
      <c r="U383" s="146" t="s">
        <v>1569</v>
      </c>
      <c r="V383" s="146" t="s">
        <v>1570</v>
      </c>
      <c r="W383" s="147">
        <v>1</v>
      </c>
      <c r="X383" s="147">
        <v>2</v>
      </c>
      <c r="Y383" s="146" t="s">
        <v>194</v>
      </c>
      <c r="Z383" s="146" t="s">
        <v>195</v>
      </c>
      <c r="AA383" s="146" t="s">
        <v>196</v>
      </c>
      <c r="AB383" s="146" t="s">
        <v>209</v>
      </c>
      <c r="AC383" s="146" t="s">
        <v>187</v>
      </c>
      <c r="AD383" s="148"/>
      <c r="AE383" s="146" t="s">
        <v>209</v>
      </c>
      <c r="AF383" s="147">
        <v>13.189048</v>
      </c>
      <c r="AG383" s="149">
        <v>123.59893099999999</v>
      </c>
      <c r="AM383" s="133" t="str" cm="1">
        <f t="array" ref="AM383">IF(ROWS($AN$2:$AN382)&lt;=$AN$2,INDEX($V$3:$V$3000,_xlfn.AGGREGATE(15,3,($B$3:$B$3000=$AM$2)/($B$3:$B$3000=$AM$2)*(ROW($B$3:$B$3000)-ROW($B$2)),ROWS($AN$2:$AN382))),"")</f>
        <v/>
      </c>
      <c r="AN383" s="134" t="str" cm="1">
        <f t="array" ref="AN383">IF(ROWS($AN$2:$AN382)&lt;=$AN$2,INDEX($F$3:$F$3000,_xlfn.AGGREGATE(15,3,($B$3:$B$3000=$AM$2)/($B$3:$B$3000=$AM$2)*(ROW($B$3:$B$3000)-ROW($B$2)),ROWS($AN$2:$AN382))),"")</f>
        <v/>
      </c>
      <c r="AO383" s="135" t="str" cm="1">
        <f t="array" ref="AO383">IF(ROWS($AN$2:$AN382)&lt;=$AN$2,INDEX($G$3:$G$3000,_xlfn.AGGREGATE(15,3,($B$3:$B$3000=$AM$2)/($B$3:$B$3000=$AM$2)*(ROW($B$3:$B$3000)-ROW($B$2)),ROWS($AN$2:$AN382))),"")</f>
        <v/>
      </c>
      <c r="AP383" s="121"/>
      <c r="AT383" s="111"/>
      <c r="AW383" s="134"/>
      <c r="AX383" s="136"/>
      <c r="AY383" s="134"/>
    </row>
    <row r="384" spans="1:51" s="110" customFormat="1" ht="20" customHeight="1">
      <c r="A384" s="125" t="s">
        <v>239</v>
      </c>
      <c r="B384" s="126" t="s">
        <v>67</v>
      </c>
      <c r="C384" s="127">
        <v>15494</v>
      </c>
      <c r="D384" s="145">
        <v>110067</v>
      </c>
      <c r="E384" s="146" t="s">
        <v>4601</v>
      </c>
      <c r="F384" s="146" t="s">
        <v>4601</v>
      </c>
      <c r="G384" s="147">
        <v>100000</v>
      </c>
      <c r="H384" s="147">
        <v>4</v>
      </c>
      <c r="I384" s="146" t="s">
        <v>209</v>
      </c>
      <c r="J384" s="146" t="s">
        <v>4602</v>
      </c>
      <c r="K384" s="146" t="s">
        <v>4601</v>
      </c>
      <c r="L384" s="147">
        <v>4</v>
      </c>
      <c r="M384" s="147">
        <v>1</v>
      </c>
      <c r="N384" s="146" t="s">
        <v>1544</v>
      </c>
      <c r="O384" s="147">
        <v>90</v>
      </c>
      <c r="P384" s="147">
        <v>9</v>
      </c>
      <c r="Q384" s="147">
        <v>17</v>
      </c>
      <c r="R384" s="146" t="s">
        <v>190</v>
      </c>
      <c r="S384" s="146" t="s">
        <v>191</v>
      </c>
      <c r="T384" s="147">
        <v>168</v>
      </c>
      <c r="U384" s="146" t="s">
        <v>1569</v>
      </c>
      <c r="V384" s="146" t="s">
        <v>1570</v>
      </c>
      <c r="W384" s="147">
        <v>1</v>
      </c>
      <c r="X384" s="147">
        <v>2</v>
      </c>
      <c r="Y384" s="146" t="s">
        <v>194</v>
      </c>
      <c r="Z384" s="146" t="s">
        <v>195</v>
      </c>
      <c r="AA384" s="146" t="s">
        <v>196</v>
      </c>
      <c r="AB384" s="146" t="s">
        <v>209</v>
      </c>
      <c r="AC384" s="146" t="s">
        <v>187</v>
      </c>
      <c r="AD384" s="148"/>
      <c r="AE384" s="146" t="s">
        <v>209</v>
      </c>
      <c r="AF384" s="147">
        <v>15.5796999995553</v>
      </c>
      <c r="AG384" s="149">
        <v>120.09479999961999</v>
      </c>
      <c r="AM384" s="133" t="str" cm="1">
        <f t="array" ref="AM384">IF(ROWS($AN$2:$AN383)&lt;=$AN$2,INDEX($V$3:$V$3000,_xlfn.AGGREGATE(15,3,($B$3:$B$3000=$AM$2)/($B$3:$B$3000=$AM$2)*(ROW($B$3:$B$3000)-ROW($B$2)),ROWS($AN$2:$AN383))),"")</f>
        <v/>
      </c>
      <c r="AN384" s="134" t="str" cm="1">
        <f t="array" ref="AN384">IF(ROWS($AN$2:$AN383)&lt;=$AN$2,INDEX($F$3:$F$3000,_xlfn.AGGREGATE(15,3,($B$3:$B$3000=$AM$2)/($B$3:$B$3000=$AM$2)*(ROW($B$3:$B$3000)-ROW($B$2)),ROWS($AN$2:$AN383))),"")</f>
        <v/>
      </c>
      <c r="AO384" s="135" t="str" cm="1">
        <f t="array" ref="AO384">IF(ROWS($AN$2:$AN383)&lt;=$AN$2,INDEX($G$3:$G$3000,_xlfn.AGGREGATE(15,3,($B$3:$B$3000=$AM$2)/($B$3:$B$3000=$AM$2)*(ROW($B$3:$B$3000)-ROW($B$2)),ROWS($AN$2:$AN383))),"")</f>
        <v/>
      </c>
      <c r="AP384" s="121"/>
      <c r="AT384" s="111"/>
      <c r="AW384" s="134"/>
      <c r="AX384" s="136"/>
      <c r="AY384" s="134"/>
    </row>
    <row r="385" spans="1:51" s="110" customFormat="1" ht="20" customHeight="1">
      <c r="A385" s="125" t="s">
        <v>239</v>
      </c>
      <c r="B385" s="126" t="s">
        <v>67</v>
      </c>
      <c r="C385" s="127">
        <v>14014</v>
      </c>
      <c r="D385" s="145">
        <v>107439</v>
      </c>
      <c r="E385" s="146" t="s">
        <v>4585</v>
      </c>
      <c r="F385" s="146" t="s">
        <v>4585</v>
      </c>
      <c r="G385" s="147">
        <v>91000</v>
      </c>
      <c r="H385" s="147">
        <v>4</v>
      </c>
      <c r="I385" s="146" t="s">
        <v>209</v>
      </c>
      <c r="J385" s="146" t="s">
        <v>4586</v>
      </c>
      <c r="K385" s="146" t="s">
        <v>4585</v>
      </c>
      <c r="L385" s="147">
        <v>0</v>
      </c>
      <c r="M385" s="147">
        <v>1</v>
      </c>
      <c r="N385" s="146" t="s">
        <v>1544</v>
      </c>
      <c r="O385" s="147">
        <v>95</v>
      </c>
      <c r="P385" s="147">
        <v>9</v>
      </c>
      <c r="Q385" s="147">
        <v>17</v>
      </c>
      <c r="R385" s="146" t="s">
        <v>190</v>
      </c>
      <c r="S385" s="146" t="s">
        <v>191</v>
      </c>
      <c r="T385" s="147">
        <v>168</v>
      </c>
      <c r="U385" s="146" t="s">
        <v>1569</v>
      </c>
      <c r="V385" s="146" t="s">
        <v>1570</v>
      </c>
      <c r="W385" s="147">
        <v>1</v>
      </c>
      <c r="X385" s="147">
        <v>2</v>
      </c>
      <c r="Y385" s="146" t="s">
        <v>194</v>
      </c>
      <c r="Z385" s="146" t="s">
        <v>195</v>
      </c>
      <c r="AA385" s="146" t="s">
        <v>196</v>
      </c>
      <c r="AB385" s="146" t="s">
        <v>209</v>
      </c>
      <c r="AC385" s="146" t="s">
        <v>187</v>
      </c>
      <c r="AD385" s="148"/>
      <c r="AE385" s="146" t="s">
        <v>209</v>
      </c>
      <c r="AF385" s="147">
        <v>13.913970000000001</v>
      </c>
      <c r="AG385" s="149">
        <v>124.25011000000001</v>
      </c>
      <c r="AM385" s="133" t="str" cm="1">
        <f t="array" ref="AM385">IF(ROWS($AN$2:$AN384)&lt;=$AN$2,INDEX($V$3:$V$3000,_xlfn.AGGREGATE(15,3,($B$3:$B$3000=$AM$2)/($B$3:$B$3000=$AM$2)*(ROW($B$3:$B$3000)-ROW($B$2)),ROWS($AN$2:$AN384))),"")</f>
        <v/>
      </c>
      <c r="AN385" s="134" t="str" cm="1">
        <f t="array" ref="AN385">IF(ROWS($AN$2:$AN384)&lt;=$AN$2,INDEX($F$3:$F$3000,_xlfn.AGGREGATE(15,3,($B$3:$B$3000=$AM$2)/($B$3:$B$3000=$AM$2)*(ROW($B$3:$B$3000)-ROW($B$2)),ROWS($AN$2:$AN384))),"")</f>
        <v/>
      </c>
      <c r="AO385" s="135" t="str" cm="1">
        <f t="array" ref="AO385">IF(ROWS($AN$2:$AN384)&lt;=$AN$2,INDEX($G$3:$G$3000,_xlfn.AGGREGATE(15,3,($B$3:$B$3000=$AM$2)/($B$3:$B$3000=$AM$2)*(ROW($B$3:$B$3000)-ROW($B$2)),ROWS($AN$2:$AN384))),"")</f>
        <v/>
      </c>
      <c r="AP385" s="121"/>
      <c r="AT385" s="111"/>
      <c r="AW385" s="134"/>
      <c r="AX385" s="136"/>
      <c r="AY385" s="134"/>
    </row>
    <row r="386" spans="1:51" s="110" customFormat="1" ht="20" customHeight="1">
      <c r="A386" s="125" t="s">
        <v>239</v>
      </c>
      <c r="B386" s="126" t="s">
        <v>67</v>
      </c>
      <c r="C386" s="127">
        <v>10664</v>
      </c>
      <c r="D386" s="145">
        <v>101018</v>
      </c>
      <c r="E386" s="146" t="s">
        <v>4568</v>
      </c>
      <c r="F386" s="146" t="s">
        <v>4569</v>
      </c>
      <c r="G386" s="147">
        <v>86000</v>
      </c>
      <c r="H386" s="147">
        <v>4</v>
      </c>
      <c r="I386" s="146" t="s">
        <v>209</v>
      </c>
      <c r="J386" s="146" t="s">
        <v>4570</v>
      </c>
      <c r="K386" s="146" t="s">
        <v>4571</v>
      </c>
      <c r="L386" s="147">
        <v>4</v>
      </c>
      <c r="M386" s="147">
        <v>1</v>
      </c>
      <c r="N386" s="146" t="s">
        <v>1544</v>
      </c>
      <c r="O386" s="147">
        <v>95</v>
      </c>
      <c r="P386" s="147">
        <v>9</v>
      </c>
      <c r="Q386" s="147">
        <v>17</v>
      </c>
      <c r="R386" s="146" t="s">
        <v>190</v>
      </c>
      <c r="S386" s="146" t="s">
        <v>191</v>
      </c>
      <c r="T386" s="147">
        <v>168</v>
      </c>
      <c r="U386" s="146" t="s">
        <v>1569</v>
      </c>
      <c r="V386" s="146" t="s">
        <v>1570</v>
      </c>
      <c r="W386" s="147">
        <v>1</v>
      </c>
      <c r="X386" s="147">
        <v>2</v>
      </c>
      <c r="Y386" s="146" t="s">
        <v>194</v>
      </c>
      <c r="Z386" s="146" t="s">
        <v>195</v>
      </c>
      <c r="AA386" s="146" t="s">
        <v>196</v>
      </c>
      <c r="AB386" s="146" t="s">
        <v>209</v>
      </c>
      <c r="AC386" s="146" t="s">
        <v>187</v>
      </c>
      <c r="AD386" s="148"/>
      <c r="AE386" s="146" t="s">
        <v>209</v>
      </c>
      <c r="AF386" s="147">
        <v>12.514290000000001</v>
      </c>
      <c r="AG386" s="149">
        <v>122.04231</v>
      </c>
      <c r="AM386" s="133" t="str" cm="1">
        <f t="array" ref="AM386">IF(ROWS($AN$2:$AN385)&lt;=$AN$2,INDEX($V$3:$V$3000,_xlfn.AGGREGATE(15,3,($B$3:$B$3000=$AM$2)/($B$3:$B$3000=$AM$2)*(ROW($B$3:$B$3000)-ROW($B$2)),ROWS($AN$2:$AN385))),"")</f>
        <v/>
      </c>
      <c r="AN386" s="134" t="str" cm="1">
        <f t="array" ref="AN386">IF(ROWS($AN$2:$AN385)&lt;=$AN$2,INDEX($F$3:$F$3000,_xlfn.AGGREGATE(15,3,($B$3:$B$3000=$AM$2)/($B$3:$B$3000=$AM$2)*(ROW($B$3:$B$3000)-ROW($B$2)),ROWS($AN$2:$AN385))),"")</f>
        <v/>
      </c>
      <c r="AO386" s="135" t="str" cm="1">
        <f t="array" ref="AO386">IF(ROWS($AN$2:$AN385)&lt;=$AN$2,INDEX($G$3:$G$3000,_xlfn.AGGREGATE(15,3,($B$3:$B$3000=$AM$2)/($B$3:$B$3000=$AM$2)*(ROW($B$3:$B$3000)-ROW($B$2)),ROWS($AN$2:$AN385))),"")</f>
        <v/>
      </c>
      <c r="AP386" s="121"/>
      <c r="AT386" s="111"/>
      <c r="AW386" s="134"/>
      <c r="AX386" s="136"/>
      <c r="AY386" s="134"/>
    </row>
    <row r="387" spans="1:51" s="110" customFormat="1" ht="20" customHeight="1">
      <c r="A387" s="125" t="s">
        <v>239</v>
      </c>
      <c r="B387" s="126" t="s">
        <v>67</v>
      </c>
      <c r="C387" s="127">
        <v>11049</v>
      </c>
      <c r="D387" s="145">
        <v>101812</v>
      </c>
      <c r="E387" s="146" t="s">
        <v>4472</v>
      </c>
      <c r="F387" s="146" t="s">
        <v>4472</v>
      </c>
      <c r="G387" s="147">
        <v>61000</v>
      </c>
      <c r="H387" s="147">
        <v>4</v>
      </c>
      <c r="I387" s="146" t="s">
        <v>209</v>
      </c>
      <c r="J387" s="146" t="s">
        <v>4473</v>
      </c>
      <c r="K387" s="146" t="s">
        <v>4472</v>
      </c>
      <c r="L387" s="147">
        <v>0</v>
      </c>
      <c r="M387" s="147">
        <v>1</v>
      </c>
      <c r="N387" s="146" t="s">
        <v>1544</v>
      </c>
      <c r="O387" s="147">
        <v>95</v>
      </c>
      <c r="P387" s="147">
        <v>9</v>
      </c>
      <c r="Q387" s="147">
        <v>17</v>
      </c>
      <c r="R387" s="146" t="s">
        <v>190</v>
      </c>
      <c r="S387" s="146" t="s">
        <v>191</v>
      </c>
      <c r="T387" s="147">
        <v>168</v>
      </c>
      <c r="U387" s="146" t="s">
        <v>1569</v>
      </c>
      <c r="V387" s="146" t="s">
        <v>1570</v>
      </c>
      <c r="W387" s="147">
        <v>1</v>
      </c>
      <c r="X387" s="147">
        <v>2</v>
      </c>
      <c r="Y387" s="146" t="s">
        <v>194</v>
      </c>
      <c r="Z387" s="146" t="s">
        <v>195</v>
      </c>
      <c r="AA387" s="146" t="s">
        <v>196</v>
      </c>
      <c r="AB387" s="146" t="s">
        <v>209</v>
      </c>
      <c r="AC387" s="146" t="s">
        <v>187</v>
      </c>
      <c r="AD387" s="148"/>
      <c r="AE387" s="146" t="s">
        <v>209</v>
      </c>
      <c r="AF387" s="147">
        <v>8.8700899996537697</v>
      </c>
      <c r="AG387" s="149">
        <v>125.41841000042101</v>
      </c>
      <c r="AM387" s="133" t="str" cm="1">
        <f t="array" ref="AM387">IF(ROWS($AN$2:$AN386)&lt;=$AN$2,INDEX($V$3:$V$3000,_xlfn.AGGREGATE(15,3,($B$3:$B$3000=$AM$2)/($B$3:$B$3000=$AM$2)*(ROW($B$3:$B$3000)-ROW($B$2)),ROWS($AN$2:$AN386))),"")</f>
        <v/>
      </c>
      <c r="AN387" s="134" t="str" cm="1">
        <f t="array" ref="AN387">IF(ROWS($AN$2:$AN386)&lt;=$AN$2,INDEX($F$3:$F$3000,_xlfn.AGGREGATE(15,3,($B$3:$B$3000=$AM$2)/($B$3:$B$3000=$AM$2)*(ROW($B$3:$B$3000)-ROW($B$2)),ROWS($AN$2:$AN386))),"")</f>
        <v/>
      </c>
      <c r="AO387" s="135" t="str" cm="1">
        <f t="array" ref="AO387">IF(ROWS($AN$2:$AN386)&lt;=$AN$2,INDEX($G$3:$G$3000,_xlfn.AGGREGATE(15,3,($B$3:$B$3000=$AM$2)/($B$3:$B$3000=$AM$2)*(ROW($B$3:$B$3000)-ROW($B$2)),ROWS($AN$2:$AN386))),"")</f>
        <v/>
      </c>
      <c r="AP387" s="121"/>
      <c r="AT387" s="111"/>
      <c r="AW387" s="134"/>
      <c r="AX387" s="136"/>
      <c r="AY387" s="134"/>
    </row>
    <row r="388" spans="1:51" s="110" customFormat="1" ht="20" customHeight="1">
      <c r="A388" s="125" t="s">
        <v>239</v>
      </c>
      <c r="B388" s="126" t="s">
        <v>67</v>
      </c>
      <c r="C388" s="127">
        <v>12411</v>
      </c>
      <c r="D388" s="145">
        <v>104395</v>
      </c>
      <c r="E388" s="146" t="s">
        <v>4339</v>
      </c>
      <c r="F388" s="146" t="s">
        <v>4339</v>
      </c>
      <c r="G388" s="147">
        <v>37000</v>
      </c>
      <c r="H388" s="147">
        <v>4</v>
      </c>
      <c r="I388" s="146" t="s">
        <v>209</v>
      </c>
      <c r="J388" s="146" t="s">
        <v>4340</v>
      </c>
      <c r="K388" s="146" t="s">
        <v>4339</v>
      </c>
      <c r="L388" s="147">
        <v>4</v>
      </c>
      <c r="M388" s="147">
        <v>1</v>
      </c>
      <c r="N388" s="146" t="s">
        <v>1544</v>
      </c>
      <c r="O388" s="147">
        <v>90</v>
      </c>
      <c r="P388" s="147">
        <v>7.5</v>
      </c>
      <c r="Q388" s="147">
        <v>17</v>
      </c>
      <c r="R388" s="146" t="s">
        <v>190</v>
      </c>
      <c r="S388" s="146" t="s">
        <v>191</v>
      </c>
      <c r="T388" s="147">
        <v>168</v>
      </c>
      <c r="U388" s="146" t="s">
        <v>1569</v>
      </c>
      <c r="V388" s="146" t="s">
        <v>1570</v>
      </c>
      <c r="W388" s="147">
        <v>1</v>
      </c>
      <c r="X388" s="147">
        <v>2</v>
      </c>
      <c r="Y388" s="146" t="s">
        <v>194</v>
      </c>
      <c r="Z388" s="146" t="s">
        <v>195</v>
      </c>
      <c r="AA388" s="146" t="s">
        <v>196</v>
      </c>
      <c r="AB388" s="146" t="s">
        <v>209</v>
      </c>
      <c r="AC388" s="146" t="s">
        <v>187</v>
      </c>
      <c r="AD388" s="148"/>
      <c r="AE388" s="146" t="s">
        <v>209</v>
      </c>
      <c r="AF388" s="147">
        <v>10.480740000000001</v>
      </c>
      <c r="AG388" s="149">
        <v>119.78467000000001</v>
      </c>
      <c r="AM388" s="133" t="str" cm="1">
        <f t="array" ref="AM388">IF(ROWS($AN$2:$AN387)&lt;=$AN$2,INDEX($V$3:$V$3000,_xlfn.AGGREGATE(15,3,($B$3:$B$3000=$AM$2)/($B$3:$B$3000=$AM$2)*(ROW($B$3:$B$3000)-ROW($B$2)),ROWS($AN$2:$AN387))),"")</f>
        <v/>
      </c>
      <c r="AN388" s="134" t="str" cm="1">
        <f t="array" ref="AN388">IF(ROWS($AN$2:$AN387)&lt;=$AN$2,INDEX($F$3:$F$3000,_xlfn.AGGREGATE(15,3,($B$3:$B$3000=$AM$2)/($B$3:$B$3000=$AM$2)*(ROW($B$3:$B$3000)-ROW($B$2)),ROWS($AN$2:$AN387))),"")</f>
        <v/>
      </c>
      <c r="AO388" s="135" t="str" cm="1">
        <f t="array" ref="AO388">IF(ROWS($AN$2:$AN387)&lt;=$AN$2,INDEX($G$3:$G$3000,_xlfn.AGGREGATE(15,3,($B$3:$B$3000=$AM$2)/($B$3:$B$3000=$AM$2)*(ROW($B$3:$B$3000)-ROW($B$2)),ROWS($AN$2:$AN387))),"")</f>
        <v/>
      </c>
      <c r="AP388" s="121"/>
      <c r="AT388" s="111"/>
      <c r="AW388" s="134"/>
      <c r="AX388" s="136"/>
      <c r="AY388" s="134"/>
    </row>
    <row r="389" spans="1:51" s="110" customFormat="1" ht="20" customHeight="1">
      <c r="A389" s="125" t="s">
        <v>239</v>
      </c>
      <c r="B389" s="126" t="s">
        <v>67</v>
      </c>
      <c r="C389" s="127">
        <v>14446</v>
      </c>
      <c r="D389" s="145">
        <v>108126</v>
      </c>
      <c r="E389" s="146" t="s">
        <v>4267</v>
      </c>
      <c r="F389" s="146" t="s">
        <v>4267</v>
      </c>
      <c r="G389" s="147">
        <v>33000</v>
      </c>
      <c r="H389" s="147">
        <v>4</v>
      </c>
      <c r="I389" s="146" t="s">
        <v>209</v>
      </c>
      <c r="J389" s="146" t="s">
        <v>4268</v>
      </c>
      <c r="K389" s="146" t="s">
        <v>4267</v>
      </c>
      <c r="L389" s="147">
        <v>0</v>
      </c>
      <c r="M389" s="147">
        <v>1</v>
      </c>
      <c r="N389" s="146" t="s">
        <v>1544</v>
      </c>
      <c r="O389" s="147">
        <v>95</v>
      </c>
      <c r="P389" s="147">
        <v>5</v>
      </c>
      <c r="Q389" s="147">
        <v>17</v>
      </c>
      <c r="R389" s="146" t="s">
        <v>190</v>
      </c>
      <c r="S389" s="146" t="s">
        <v>191</v>
      </c>
      <c r="T389" s="147">
        <v>168</v>
      </c>
      <c r="U389" s="146" t="s">
        <v>1569</v>
      </c>
      <c r="V389" s="146" t="s">
        <v>1570</v>
      </c>
      <c r="W389" s="147">
        <v>1</v>
      </c>
      <c r="X389" s="147">
        <v>2</v>
      </c>
      <c r="Y389" s="146" t="s">
        <v>194</v>
      </c>
      <c r="Z389" s="146" t="s">
        <v>195</v>
      </c>
      <c r="AA389" s="146" t="s">
        <v>196</v>
      </c>
      <c r="AB389" s="146" t="s">
        <v>209</v>
      </c>
      <c r="AC389" s="146" t="s">
        <v>187</v>
      </c>
      <c r="AD389" s="148"/>
      <c r="AE389" s="146" t="s">
        <v>209</v>
      </c>
      <c r="AF389" s="147">
        <v>10.637663515159099</v>
      </c>
      <c r="AG389" s="149">
        <v>124.312814403762</v>
      </c>
      <c r="AM389" s="133" t="str" cm="1">
        <f t="array" ref="AM389">IF(ROWS($AN$2:$AN388)&lt;=$AN$2,INDEX($V$3:$V$3000,_xlfn.AGGREGATE(15,3,($B$3:$B$3000=$AM$2)/($B$3:$B$3000=$AM$2)*(ROW($B$3:$B$3000)-ROW($B$2)),ROWS($AN$2:$AN388))),"")</f>
        <v/>
      </c>
      <c r="AN389" s="134" t="str" cm="1">
        <f t="array" ref="AN389">IF(ROWS($AN$2:$AN388)&lt;=$AN$2,INDEX($F$3:$F$3000,_xlfn.AGGREGATE(15,3,($B$3:$B$3000=$AM$2)/($B$3:$B$3000=$AM$2)*(ROW($B$3:$B$3000)-ROW($B$2)),ROWS($AN$2:$AN388))),"")</f>
        <v/>
      </c>
      <c r="AO389" s="135" t="str" cm="1">
        <f t="array" ref="AO389">IF(ROWS($AN$2:$AN388)&lt;=$AN$2,INDEX($G$3:$G$3000,_xlfn.AGGREGATE(15,3,($B$3:$B$3000=$AM$2)/($B$3:$B$3000=$AM$2)*(ROW($B$3:$B$3000)-ROW($B$2)),ROWS($AN$2:$AN388))),"")</f>
        <v/>
      </c>
      <c r="AP389" s="121"/>
      <c r="AT389" s="111"/>
      <c r="AW389" s="134"/>
      <c r="AX389" s="136"/>
      <c r="AY389" s="134"/>
    </row>
    <row r="390" spans="1:51" s="110" customFormat="1" ht="20" customHeight="1">
      <c r="A390" s="125" t="s">
        <v>239</v>
      </c>
      <c r="B390" s="126" t="s">
        <v>67</v>
      </c>
      <c r="C390" s="127">
        <v>12561</v>
      </c>
      <c r="D390" s="145">
        <v>104715</v>
      </c>
      <c r="E390" s="146" t="s">
        <v>4168</v>
      </c>
      <c r="F390" s="146" t="s">
        <v>4168</v>
      </c>
      <c r="G390" s="147">
        <v>26000</v>
      </c>
      <c r="H390" s="147">
        <v>4</v>
      </c>
      <c r="I390" s="146" t="s">
        <v>209</v>
      </c>
      <c r="J390" s="146" t="s">
        <v>4169</v>
      </c>
      <c r="K390" s="146" t="s">
        <v>4168</v>
      </c>
      <c r="L390" s="147">
        <v>0</v>
      </c>
      <c r="M390" s="147">
        <v>1</v>
      </c>
      <c r="N390" s="146" t="s">
        <v>1544</v>
      </c>
      <c r="O390" s="147">
        <v>90</v>
      </c>
      <c r="P390" s="147">
        <v>5</v>
      </c>
      <c r="Q390" s="147">
        <v>17</v>
      </c>
      <c r="R390" s="146" t="s">
        <v>190</v>
      </c>
      <c r="S390" s="146" t="s">
        <v>191</v>
      </c>
      <c r="T390" s="147">
        <v>168</v>
      </c>
      <c r="U390" s="146" t="s">
        <v>1569</v>
      </c>
      <c r="V390" s="146" t="s">
        <v>1570</v>
      </c>
      <c r="W390" s="147">
        <v>1</v>
      </c>
      <c r="X390" s="147">
        <v>2</v>
      </c>
      <c r="Y390" s="146" t="s">
        <v>194</v>
      </c>
      <c r="Z390" s="146" t="s">
        <v>195</v>
      </c>
      <c r="AA390" s="146" t="s">
        <v>196</v>
      </c>
      <c r="AB390" s="146" t="s">
        <v>209</v>
      </c>
      <c r="AC390" s="146" t="s">
        <v>187</v>
      </c>
      <c r="AD390" s="148"/>
      <c r="AE390" s="146" t="s">
        <v>209</v>
      </c>
      <c r="AF390" s="147">
        <v>16.188099999915</v>
      </c>
      <c r="AG390" s="149">
        <v>122.11785999963899</v>
      </c>
      <c r="AM390" s="133" t="str" cm="1">
        <f t="array" ref="AM390">IF(ROWS($AN$2:$AN389)&lt;=$AN$2,INDEX($V$3:$V$3000,_xlfn.AGGREGATE(15,3,($B$3:$B$3000=$AM$2)/($B$3:$B$3000=$AM$2)*(ROW($B$3:$B$3000)-ROW($B$2)),ROWS($AN$2:$AN389))),"")</f>
        <v/>
      </c>
      <c r="AN390" s="134" t="str" cm="1">
        <f t="array" ref="AN390">IF(ROWS($AN$2:$AN389)&lt;=$AN$2,INDEX($F$3:$F$3000,_xlfn.AGGREGATE(15,3,($B$3:$B$3000=$AM$2)/($B$3:$B$3000=$AM$2)*(ROW($B$3:$B$3000)-ROW($B$2)),ROWS($AN$2:$AN389))),"")</f>
        <v/>
      </c>
      <c r="AO390" s="135" t="str" cm="1">
        <f t="array" ref="AO390">IF(ROWS($AN$2:$AN389)&lt;=$AN$2,INDEX($G$3:$G$3000,_xlfn.AGGREGATE(15,3,($B$3:$B$3000=$AM$2)/($B$3:$B$3000=$AM$2)*(ROW($B$3:$B$3000)-ROW($B$2)),ROWS($AN$2:$AN389))),"")</f>
        <v/>
      </c>
      <c r="AP390" s="121"/>
      <c r="AT390" s="111"/>
      <c r="AW390" s="134"/>
      <c r="AX390" s="136"/>
      <c r="AY390" s="134"/>
    </row>
    <row r="391" spans="1:51" s="110" customFormat="1" ht="20" customHeight="1">
      <c r="A391" s="125" t="s">
        <v>239</v>
      </c>
      <c r="B391" s="126" t="s">
        <v>67</v>
      </c>
      <c r="C391" s="127">
        <v>19184</v>
      </c>
      <c r="D391" s="145">
        <v>106137</v>
      </c>
      <c r="E391" s="146" t="s">
        <v>4170</v>
      </c>
      <c r="F391" s="146" t="s">
        <v>4170</v>
      </c>
      <c r="G391" s="147">
        <v>26000</v>
      </c>
      <c r="H391" s="147">
        <v>4</v>
      </c>
      <c r="I391" s="146" t="s">
        <v>209</v>
      </c>
      <c r="J391" s="146" t="s">
        <v>4171</v>
      </c>
      <c r="K391" s="146" t="s">
        <v>4172</v>
      </c>
      <c r="L391" s="147">
        <v>4</v>
      </c>
      <c r="M391" s="147">
        <v>1</v>
      </c>
      <c r="N391" s="146" t="s">
        <v>1544</v>
      </c>
      <c r="O391" s="147">
        <v>90</v>
      </c>
      <c r="P391" s="147">
        <v>6</v>
      </c>
      <c r="Q391" s="147">
        <v>17</v>
      </c>
      <c r="R391" s="146" t="s">
        <v>190</v>
      </c>
      <c r="S391" s="146" t="s">
        <v>191</v>
      </c>
      <c r="T391" s="147">
        <v>168</v>
      </c>
      <c r="U391" s="146" t="s">
        <v>1569</v>
      </c>
      <c r="V391" s="146" t="s">
        <v>1570</v>
      </c>
      <c r="W391" s="147">
        <v>1</v>
      </c>
      <c r="X391" s="147">
        <v>2</v>
      </c>
      <c r="Y391" s="146" t="s">
        <v>194</v>
      </c>
      <c r="Z391" s="146" t="s">
        <v>195</v>
      </c>
      <c r="AA391" s="146" t="s">
        <v>196</v>
      </c>
      <c r="AB391" s="146" t="s">
        <v>209</v>
      </c>
      <c r="AC391" s="146" t="s">
        <v>187</v>
      </c>
      <c r="AD391" s="148"/>
      <c r="AE391" s="146" t="s">
        <v>209</v>
      </c>
      <c r="AF391" s="147">
        <v>17.829129637822501</v>
      </c>
      <c r="AG391" s="149">
        <v>121.54688770000701</v>
      </c>
      <c r="AM391" s="133" t="str" cm="1">
        <f t="array" ref="AM391">IF(ROWS($AN$2:$AN390)&lt;=$AN$2,INDEX($V$3:$V$3000,_xlfn.AGGREGATE(15,3,($B$3:$B$3000=$AM$2)/($B$3:$B$3000=$AM$2)*(ROW($B$3:$B$3000)-ROW($B$2)),ROWS($AN$2:$AN390))),"")</f>
        <v/>
      </c>
      <c r="AN391" s="134" t="str" cm="1">
        <f t="array" ref="AN391">IF(ROWS($AN$2:$AN390)&lt;=$AN$2,INDEX($F$3:$F$3000,_xlfn.AGGREGATE(15,3,($B$3:$B$3000=$AM$2)/($B$3:$B$3000=$AM$2)*(ROW($B$3:$B$3000)-ROW($B$2)),ROWS($AN$2:$AN390))),"")</f>
        <v/>
      </c>
      <c r="AO391" s="135" t="str" cm="1">
        <f t="array" ref="AO391">IF(ROWS($AN$2:$AN390)&lt;=$AN$2,INDEX($G$3:$G$3000,_xlfn.AGGREGATE(15,3,($B$3:$B$3000=$AM$2)/($B$3:$B$3000=$AM$2)*(ROW($B$3:$B$3000)-ROW($B$2)),ROWS($AN$2:$AN390))),"")</f>
        <v/>
      </c>
      <c r="AP391" s="121"/>
      <c r="AT391" s="111"/>
      <c r="AW391" s="134"/>
      <c r="AX391" s="136"/>
      <c r="AY391" s="134"/>
    </row>
    <row r="392" spans="1:51" s="110" customFormat="1" ht="20" customHeight="1">
      <c r="A392" s="125" t="s">
        <v>239</v>
      </c>
      <c r="B392" s="126" t="s">
        <v>67</v>
      </c>
      <c r="C392" s="127">
        <v>10187</v>
      </c>
      <c r="D392" s="145">
        <v>100130</v>
      </c>
      <c r="E392" s="146" t="s">
        <v>3995</v>
      </c>
      <c r="F392" s="146" t="s">
        <v>3995</v>
      </c>
      <c r="G392" s="147">
        <v>18000</v>
      </c>
      <c r="H392" s="147">
        <v>4</v>
      </c>
      <c r="I392" s="146" t="s">
        <v>209</v>
      </c>
      <c r="J392" s="146" t="s">
        <v>3996</v>
      </c>
      <c r="K392" s="146" t="s">
        <v>3997</v>
      </c>
      <c r="L392" s="147">
        <v>4</v>
      </c>
      <c r="M392" s="147">
        <v>1</v>
      </c>
      <c r="N392" s="146" t="s">
        <v>1544</v>
      </c>
      <c r="O392" s="147">
        <v>90</v>
      </c>
      <c r="P392" s="147">
        <v>9</v>
      </c>
      <c r="Q392" s="147">
        <v>17</v>
      </c>
      <c r="R392" s="146" t="s">
        <v>190</v>
      </c>
      <c r="S392" s="146" t="s">
        <v>191</v>
      </c>
      <c r="T392" s="147">
        <v>168</v>
      </c>
      <c r="U392" s="146" t="s">
        <v>1569</v>
      </c>
      <c r="V392" s="146" t="s">
        <v>1570</v>
      </c>
      <c r="W392" s="147">
        <v>1</v>
      </c>
      <c r="X392" s="147">
        <v>2</v>
      </c>
      <c r="Y392" s="146" t="s">
        <v>194</v>
      </c>
      <c r="Z392" s="146" t="s">
        <v>195</v>
      </c>
      <c r="AA392" s="146" t="s">
        <v>196</v>
      </c>
      <c r="AB392" s="146" t="s">
        <v>209</v>
      </c>
      <c r="AC392" s="146" t="s">
        <v>187</v>
      </c>
      <c r="AD392" s="148"/>
      <c r="AE392" s="146" t="s">
        <v>209</v>
      </c>
      <c r="AF392" s="147">
        <v>10.5327900001583</v>
      </c>
      <c r="AG392" s="149">
        <v>119.655460000179</v>
      </c>
      <c r="AM392" s="133" t="str" cm="1">
        <f t="array" ref="AM392">IF(ROWS($AN$2:$AN391)&lt;=$AN$2,INDEX($V$3:$V$3000,_xlfn.AGGREGATE(15,3,($B$3:$B$3000=$AM$2)/($B$3:$B$3000=$AM$2)*(ROW($B$3:$B$3000)-ROW($B$2)),ROWS($AN$2:$AN391))),"")</f>
        <v/>
      </c>
      <c r="AN392" s="134" t="str" cm="1">
        <f t="array" ref="AN392">IF(ROWS($AN$2:$AN391)&lt;=$AN$2,INDEX($F$3:$F$3000,_xlfn.AGGREGATE(15,3,($B$3:$B$3000=$AM$2)/($B$3:$B$3000=$AM$2)*(ROW($B$3:$B$3000)-ROW($B$2)),ROWS($AN$2:$AN391))),"")</f>
        <v/>
      </c>
      <c r="AO392" s="135" t="str" cm="1">
        <f t="array" ref="AO392">IF(ROWS($AN$2:$AN391)&lt;=$AN$2,INDEX($G$3:$G$3000,_xlfn.AGGREGATE(15,3,($B$3:$B$3000=$AM$2)/($B$3:$B$3000=$AM$2)*(ROW($B$3:$B$3000)-ROW($B$2)),ROWS($AN$2:$AN391))),"")</f>
        <v/>
      </c>
      <c r="AP392" s="121"/>
      <c r="AT392" s="111"/>
      <c r="AW392" s="134"/>
      <c r="AX392" s="136"/>
      <c r="AY392" s="134"/>
    </row>
    <row r="393" spans="1:51" s="110" customFormat="1" ht="20" customHeight="1">
      <c r="A393" s="125" t="s">
        <v>239</v>
      </c>
      <c r="B393" s="126" t="s">
        <v>67</v>
      </c>
      <c r="C393" s="127">
        <v>14315</v>
      </c>
      <c r="D393" s="145">
        <v>107883</v>
      </c>
      <c r="E393" s="146" t="s">
        <v>4000</v>
      </c>
      <c r="F393" s="146" t="s">
        <v>4000</v>
      </c>
      <c r="G393" s="147">
        <v>18000</v>
      </c>
      <c r="H393" s="147">
        <v>4</v>
      </c>
      <c r="I393" s="146" t="s">
        <v>209</v>
      </c>
      <c r="J393" s="146" t="s">
        <v>4001</v>
      </c>
      <c r="K393" s="146" t="s">
        <v>4000</v>
      </c>
      <c r="L393" s="147">
        <v>4</v>
      </c>
      <c r="M393" s="147">
        <v>1</v>
      </c>
      <c r="N393" s="146" t="s">
        <v>1544</v>
      </c>
      <c r="O393" s="147">
        <v>90</v>
      </c>
      <c r="P393" s="147">
        <v>7</v>
      </c>
      <c r="Q393" s="147">
        <v>17</v>
      </c>
      <c r="R393" s="146" t="s">
        <v>190</v>
      </c>
      <c r="S393" s="146" t="s">
        <v>191</v>
      </c>
      <c r="T393" s="147">
        <v>168</v>
      </c>
      <c r="U393" s="146" t="s">
        <v>1569</v>
      </c>
      <c r="V393" s="146" t="s">
        <v>1570</v>
      </c>
      <c r="W393" s="147">
        <v>1</v>
      </c>
      <c r="X393" s="147">
        <v>2</v>
      </c>
      <c r="Y393" s="146" t="s">
        <v>194</v>
      </c>
      <c r="Z393" s="146" t="s">
        <v>195</v>
      </c>
      <c r="AA393" s="146" t="s">
        <v>196</v>
      </c>
      <c r="AB393" s="146" t="s">
        <v>209</v>
      </c>
      <c r="AC393" s="146" t="s">
        <v>187</v>
      </c>
      <c r="AD393" s="148"/>
      <c r="AE393" s="146" t="s">
        <v>209</v>
      </c>
      <c r="AF393" s="147">
        <v>17.041110000326199</v>
      </c>
      <c r="AG393" s="149">
        <v>122.37028000012199</v>
      </c>
      <c r="AM393" s="133" t="str" cm="1">
        <f t="array" ref="AM393">IF(ROWS($AN$2:$AN392)&lt;=$AN$2,INDEX($V$3:$V$3000,_xlfn.AGGREGATE(15,3,($B$3:$B$3000=$AM$2)/($B$3:$B$3000=$AM$2)*(ROW($B$3:$B$3000)-ROW($B$2)),ROWS($AN$2:$AN392))),"")</f>
        <v/>
      </c>
      <c r="AN393" s="134" t="str" cm="1">
        <f t="array" ref="AN393">IF(ROWS($AN$2:$AN392)&lt;=$AN$2,INDEX($F$3:$F$3000,_xlfn.AGGREGATE(15,3,($B$3:$B$3000=$AM$2)/($B$3:$B$3000=$AM$2)*(ROW($B$3:$B$3000)-ROW($B$2)),ROWS($AN$2:$AN392))),"")</f>
        <v/>
      </c>
      <c r="AO393" s="135" t="str" cm="1">
        <f t="array" ref="AO393">IF(ROWS($AN$2:$AN392)&lt;=$AN$2,INDEX($G$3:$G$3000,_xlfn.AGGREGATE(15,3,($B$3:$B$3000=$AM$2)/($B$3:$B$3000=$AM$2)*(ROW($B$3:$B$3000)-ROW($B$2)),ROWS($AN$2:$AN392))),"")</f>
        <v/>
      </c>
      <c r="AP393" s="121"/>
      <c r="AT393" s="111"/>
      <c r="AW393" s="134"/>
      <c r="AX393" s="136"/>
      <c r="AY393" s="134"/>
    </row>
    <row r="394" spans="1:51" s="110" customFormat="1" ht="20" customHeight="1">
      <c r="A394" s="125" t="s">
        <v>239</v>
      </c>
      <c r="B394" s="126" t="s">
        <v>67</v>
      </c>
      <c r="C394" s="127">
        <v>10988</v>
      </c>
      <c r="D394" s="145">
        <v>101707</v>
      </c>
      <c r="E394" s="146" t="s">
        <v>3858</v>
      </c>
      <c r="F394" s="146" t="s">
        <v>3859</v>
      </c>
      <c r="G394" s="147">
        <v>14000</v>
      </c>
      <c r="H394" s="147">
        <v>4</v>
      </c>
      <c r="I394" s="146" t="s">
        <v>209</v>
      </c>
      <c r="J394" s="146" t="s">
        <v>3860</v>
      </c>
      <c r="K394" s="146" t="s">
        <v>3858</v>
      </c>
      <c r="L394" s="147">
        <v>4</v>
      </c>
      <c r="M394" s="147">
        <v>1</v>
      </c>
      <c r="N394" s="146" t="s">
        <v>1544</v>
      </c>
      <c r="O394" s="147">
        <v>55</v>
      </c>
      <c r="P394" s="147">
        <v>7.5</v>
      </c>
      <c r="Q394" s="147">
        <v>17</v>
      </c>
      <c r="R394" s="146" t="s">
        <v>190</v>
      </c>
      <c r="S394" s="146" t="s">
        <v>191</v>
      </c>
      <c r="T394" s="147">
        <v>168</v>
      </c>
      <c r="U394" s="146" t="s">
        <v>1569</v>
      </c>
      <c r="V394" s="146" t="s">
        <v>1570</v>
      </c>
      <c r="W394" s="147">
        <v>1</v>
      </c>
      <c r="X394" s="147">
        <v>2</v>
      </c>
      <c r="Y394" s="146" t="s">
        <v>194</v>
      </c>
      <c r="Z394" s="146" t="s">
        <v>195</v>
      </c>
      <c r="AA394" s="146" t="s">
        <v>196</v>
      </c>
      <c r="AB394" s="146" t="s">
        <v>209</v>
      </c>
      <c r="AC394" s="146" t="s">
        <v>187</v>
      </c>
      <c r="AD394" s="148"/>
      <c r="AE394" s="146" t="s">
        <v>209</v>
      </c>
      <c r="AF394" s="147">
        <v>12.639579999717199</v>
      </c>
      <c r="AG394" s="149">
        <v>121.20976000022399</v>
      </c>
      <c r="AM394" s="133" t="str" cm="1">
        <f t="array" ref="AM394">IF(ROWS($AN$2:$AN393)&lt;=$AN$2,INDEX($V$3:$V$3000,_xlfn.AGGREGATE(15,3,($B$3:$B$3000=$AM$2)/($B$3:$B$3000=$AM$2)*(ROW($B$3:$B$3000)-ROW($B$2)),ROWS($AN$2:$AN393))),"")</f>
        <v/>
      </c>
      <c r="AN394" s="134" t="str" cm="1">
        <f t="array" ref="AN394">IF(ROWS($AN$2:$AN393)&lt;=$AN$2,INDEX($F$3:$F$3000,_xlfn.AGGREGATE(15,3,($B$3:$B$3000=$AM$2)/($B$3:$B$3000=$AM$2)*(ROW($B$3:$B$3000)-ROW($B$2)),ROWS($AN$2:$AN393))),"")</f>
        <v/>
      </c>
      <c r="AO394" s="135" t="str" cm="1">
        <f t="array" ref="AO394">IF(ROWS($AN$2:$AN393)&lt;=$AN$2,INDEX($G$3:$G$3000,_xlfn.AGGREGATE(15,3,($B$3:$B$3000=$AM$2)/($B$3:$B$3000=$AM$2)*(ROW($B$3:$B$3000)-ROW($B$2)),ROWS($AN$2:$AN393))),"")</f>
        <v/>
      </c>
      <c r="AP394" s="121"/>
      <c r="AT394" s="111"/>
      <c r="AW394" s="134"/>
      <c r="AX394" s="136"/>
      <c r="AY394" s="134"/>
    </row>
    <row r="395" spans="1:51" s="110" customFormat="1" ht="20" customHeight="1">
      <c r="A395" s="125" t="s">
        <v>239</v>
      </c>
      <c r="B395" s="126" t="s">
        <v>67</v>
      </c>
      <c r="C395" s="127">
        <v>12236</v>
      </c>
      <c r="D395" s="145">
        <v>104039</v>
      </c>
      <c r="E395" s="146" t="s">
        <v>3817</v>
      </c>
      <c r="F395" s="146" t="s">
        <v>3818</v>
      </c>
      <c r="G395" s="147">
        <v>13000</v>
      </c>
      <c r="H395" s="147">
        <v>4</v>
      </c>
      <c r="I395" s="146" t="s">
        <v>209</v>
      </c>
      <c r="J395" s="146" t="s">
        <v>3819</v>
      </c>
      <c r="K395" s="146" t="s">
        <v>3820</v>
      </c>
      <c r="L395" s="147">
        <v>1</v>
      </c>
      <c r="M395" s="147">
        <v>1</v>
      </c>
      <c r="N395" s="146" t="s">
        <v>1544</v>
      </c>
      <c r="O395" s="147">
        <v>90</v>
      </c>
      <c r="P395" s="147">
        <v>8</v>
      </c>
      <c r="Q395" s="147">
        <v>17</v>
      </c>
      <c r="R395" s="146" t="s">
        <v>190</v>
      </c>
      <c r="S395" s="146" t="s">
        <v>191</v>
      </c>
      <c r="T395" s="147">
        <v>168</v>
      </c>
      <c r="U395" s="146" t="s">
        <v>1569</v>
      </c>
      <c r="V395" s="146" t="s">
        <v>1570</v>
      </c>
      <c r="W395" s="147">
        <v>1</v>
      </c>
      <c r="X395" s="147">
        <v>2</v>
      </c>
      <c r="Y395" s="146" t="s">
        <v>194</v>
      </c>
      <c r="Z395" s="146" t="s">
        <v>195</v>
      </c>
      <c r="AA395" s="146" t="s">
        <v>196</v>
      </c>
      <c r="AB395" s="146" t="s">
        <v>209</v>
      </c>
      <c r="AC395" s="146" t="s">
        <v>187</v>
      </c>
      <c r="AD395" s="148"/>
      <c r="AE395" s="146" t="s">
        <v>209</v>
      </c>
      <c r="AF395" s="147">
        <v>16.329929999669702</v>
      </c>
      <c r="AG395" s="149">
        <v>121.12013999976099</v>
      </c>
      <c r="AM395" s="133" t="str" cm="1">
        <f t="array" ref="AM395">IF(ROWS($AN$2:$AN394)&lt;=$AN$2,INDEX($V$3:$V$3000,_xlfn.AGGREGATE(15,3,($B$3:$B$3000=$AM$2)/($B$3:$B$3000=$AM$2)*(ROW($B$3:$B$3000)-ROW($B$2)),ROWS($AN$2:$AN394))),"")</f>
        <v/>
      </c>
      <c r="AN395" s="134" t="str" cm="1">
        <f t="array" ref="AN395">IF(ROWS($AN$2:$AN394)&lt;=$AN$2,INDEX($F$3:$F$3000,_xlfn.AGGREGATE(15,3,($B$3:$B$3000=$AM$2)/($B$3:$B$3000=$AM$2)*(ROW($B$3:$B$3000)-ROW($B$2)),ROWS($AN$2:$AN394))),"")</f>
        <v/>
      </c>
      <c r="AO395" s="135" t="str" cm="1">
        <f t="array" ref="AO395">IF(ROWS($AN$2:$AN394)&lt;=$AN$2,INDEX($G$3:$G$3000,_xlfn.AGGREGATE(15,3,($B$3:$B$3000=$AM$2)/($B$3:$B$3000=$AM$2)*(ROW($B$3:$B$3000)-ROW($B$2)),ROWS($AN$2:$AN394))),"")</f>
        <v/>
      </c>
      <c r="AP395" s="121"/>
      <c r="AT395" s="111"/>
      <c r="AW395" s="134"/>
      <c r="AX395" s="136"/>
      <c r="AY395" s="134"/>
    </row>
    <row r="396" spans="1:51" s="110" customFormat="1" ht="20" customHeight="1">
      <c r="A396" s="125" t="s">
        <v>239</v>
      </c>
      <c r="B396" s="126" t="s">
        <v>67</v>
      </c>
      <c r="C396" s="127">
        <v>13980</v>
      </c>
      <c r="D396" s="145">
        <v>107400</v>
      </c>
      <c r="E396" s="146" t="s">
        <v>3093</v>
      </c>
      <c r="F396" s="146" t="s">
        <v>3093</v>
      </c>
      <c r="G396" s="147">
        <v>4400</v>
      </c>
      <c r="H396" s="147">
        <v>4</v>
      </c>
      <c r="I396" s="146" t="s">
        <v>209</v>
      </c>
      <c r="J396" s="146" t="s">
        <v>3094</v>
      </c>
      <c r="K396" s="146" t="s">
        <v>3095</v>
      </c>
      <c r="L396" s="147">
        <v>1</v>
      </c>
      <c r="M396" s="147">
        <v>1</v>
      </c>
      <c r="N396" s="146" t="s">
        <v>1544</v>
      </c>
      <c r="O396" s="147">
        <v>60</v>
      </c>
      <c r="P396" s="147">
        <v>6</v>
      </c>
      <c r="Q396" s="147">
        <v>17</v>
      </c>
      <c r="R396" s="146" t="s">
        <v>190</v>
      </c>
      <c r="S396" s="146" t="s">
        <v>191</v>
      </c>
      <c r="T396" s="147">
        <v>168</v>
      </c>
      <c r="U396" s="146" t="s">
        <v>1569</v>
      </c>
      <c r="V396" s="146" t="s">
        <v>1570</v>
      </c>
      <c r="W396" s="147">
        <v>1</v>
      </c>
      <c r="X396" s="147">
        <v>2</v>
      </c>
      <c r="Y396" s="146" t="s">
        <v>194</v>
      </c>
      <c r="Z396" s="146" t="s">
        <v>195</v>
      </c>
      <c r="AA396" s="146" t="s">
        <v>196</v>
      </c>
      <c r="AB396" s="146" t="s">
        <v>209</v>
      </c>
      <c r="AC396" s="146" t="s">
        <v>187</v>
      </c>
      <c r="AD396" s="148"/>
      <c r="AE396" s="146" t="s">
        <v>209</v>
      </c>
      <c r="AF396" s="147">
        <v>14.157120000000001</v>
      </c>
      <c r="AG396" s="149">
        <v>122.83497</v>
      </c>
      <c r="AM396" s="133" t="str" cm="1">
        <f t="array" ref="AM396">IF(ROWS($AN$2:$AN395)&lt;=$AN$2,INDEX($V$3:$V$3000,_xlfn.AGGREGATE(15,3,($B$3:$B$3000=$AM$2)/($B$3:$B$3000=$AM$2)*(ROW($B$3:$B$3000)-ROW($B$2)),ROWS($AN$2:$AN395))),"")</f>
        <v/>
      </c>
      <c r="AN396" s="134" t="str" cm="1">
        <f t="array" ref="AN396">IF(ROWS($AN$2:$AN395)&lt;=$AN$2,INDEX($F$3:$F$3000,_xlfn.AGGREGATE(15,3,($B$3:$B$3000=$AM$2)/($B$3:$B$3000=$AM$2)*(ROW($B$3:$B$3000)-ROW($B$2)),ROWS($AN$2:$AN395))),"")</f>
        <v/>
      </c>
      <c r="AO396" s="135" t="str" cm="1">
        <f t="array" ref="AO396">IF(ROWS($AN$2:$AN395)&lt;=$AN$2,INDEX($G$3:$G$3000,_xlfn.AGGREGATE(15,3,($B$3:$B$3000=$AM$2)/($B$3:$B$3000=$AM$2)*(ROW($B$3:$B$3000)-ROW($B$2)),ROWS($AN$2:$AN395))),"")</f>
        <v/>
      </c>
      <c r="AP396" s="121"/>
      <c r="AT396" s="111"/>
      <c r="AW396" s="134"/>
      <c r="AX396" s="136"/>
      <c r="AY396" s="134"/>
    </row>
    <row r="397" spans="1:51" s="110" customFormat="1" ht="20" customHeight="1">
      <c r="A397" s="125" t="s">
        <v>239</v>
      </c>
      <c r="B397" s="126" t="s">
        <v>67</v>
      </c>
      <c r="C397" s="127">
        <v>13837</v>
      </c>
      <c r="D397" s="145">
        <v>106827</v>
      </c>
      <c r="E397" s="146" t="s">
        <v>2970</v>
      </c>
      <c r="F397" s="146" t="s">
        <v>2971</v>
      </c>
      <c r="G397" s="147">
        <v>3500</v>
      </c>
      <c r="H397" s="147">
        <v>4</v>
      </c>
      <c r="I397" s="146" t="s">
        <v>209</v>
      </c>
      <c r="J397" s="146" t="s">
        <v>2972</v>
      </c>
      <c r="K397" s="146" t="s">
        <v>2971</v>
      </c>
      <c r="L397" s="147">
        <v>1</v>
      </c>
      <c r="M397" s="147">
        <v>1</v>
      </c>
      <c r="N397" s="146" t="s">
        <v>1544</v>
      </c>
      <c r="O397" s="147">
        <v>70</v>
      </c>
      <c r="P397" s="147">
        <v>3</v>
      </c>
      <c r="Q397" s="147">
        <v>17</v>
      </c>
      <c r="R397" s="146" t="s">
        <v>190</v>
      </c>
      <c r="S397" s="146" t="s">
        <v>191</v>
      </c>
      <c r="T397" s="147">
        <v>168</v>
      </c>
      <c r="U397" s="146" t="s">
        <v>1569</v>
      </c>
      <c r="V397" s="146" t="s">
        <v>1570</v>
      </c>
      <c r="W397" s="147">
        <v>1</v>
      </c>
      <c r="X397" s="147">
        <v>2</v>
      </c>
      <c r="Y397" s="146" t="s">
        <v>194</v>
      </c>
      <c r="Z397" s="146" t="s">
        <v>195</v>
      </c>
      <c r="AA397" s="146" t="s">
        <v>196</v>
      </c>
      <c r="AB397" s="146" t="s">
        <v>209</v>
      </c>
      <c r="AC397" s="146" t="s">
        <v>187</v>
      </c>
      <c r="AD397" s="148"/>
      <c r="AE397" s="146" t="s">
        <v>209</v>
      </c>
      <c r="AF397" s="147">
        <v>13.456569999999999</v>
      </c>
      <c r="AG397" s="149">
        <v>123.46250000000001</v>
      </c>
      <c r="AM397" s="133" t="str" cm="1">
        <f t="array" ref="AM397">IF(ROWS($AN$2:$AN396)&lt;=$AN$2,INDEX($V$3:$V$3000,_xlfn.AGGREGATE(15,3,($B$3:$B$3000=$AM$2)/($B$3:$B$3000=$AM$2)*(ROW($B$3:$B$3000)-ROW($B$2)),ROWS($AN$2:$AN396))),"")</f>
        <v/>
      </c>
      <c r="AN397" s="134" t="str" cm="1">
        <f t="array" ref="AN397">IF(ROWS($AN$2:$AN396)&lt;=$AN$2,INDEX($F$3:$F$3000,_xlfn.AGGREGATE(15,3,($B$3:$B$3000=$AM$2)/($B$3:$B$3000=$AM$2)*(ROW($B$3:$B$3000)-ROW($B$2)),ROWS($AN$2:$AN396))),"")</f>
        <v/>
      </c>
      <c r="AO397" s="135" t="str" cm="1">
        <f t="array" ref="AO397">IF(ROWS($AN$2:$AN396)&lt;=$AN$2,INDEX($G$3:$G$3000,_xlfn.AGGREGATE(15,3,($B$3:$B$3000=$AM$2)/($B$3:$B$3000=$AM$2)*(ROW($B$3:$B$3000)-ROW($B$2)),ROWS($AN$2:$AN396))),"")</f>
        <v/>
      </c>
      <c r="AP397" s="121"/>
      <c r="AT397" s="111"/>
      <c r="AW397" s="134"/>
      <c r="AX397" s="136"/>
      <c r="AY397" s="134"/>
    </row>
    <row r="398" spans="1:51" s="110" customFormat="1" ht="20" customHeight="1">
      <c r="A398" s="125" t="s">
        <v>239</v>
      </c>
      <c r="B398" s="126" t="s">
        <v>67</v>
      </c>
      <c r="C398" s="127">
        <v>13198</v>
      </c>
      <c r="D398" s="145">
        <v>105998</v>
      </c>
      <c r="E398" s="146" t="s">
        <v>2850</v>
      </c>
      <c r="F398" s="146" t="s">
        <v>2850</v>
      </c>
      <c r="G398" s="147">
        <v>2700</v>
      </c>
      <c r="H398" s="147">
        <v>4</v>
      </c>
      <c r="I398" s="146" t="s">
        <v>209</v>
      </c>
      <c r="J398" s="146" t="s">
        <v>2851</v>
      </c>
      <c r="K398" s="146" t="s">
        <v>2852</v>
      </c>
      <c r="L398" s="147">
        <v>4</v>
      </c>
      <c r="M398" s="147">
        <v>1</v>
      </c>
      <c r="N398" s="146" t="s">
        <v>1544</v>
      </c>
      <c r="O398" s="147">
        <v>75</v>
      </c>
      <c r="P398" s="147">
        <v>6</v>
      </c>
      <c r="Q398" s="147">
        <v>17</v>
      </c>
      <c r="R398" s="146" t="s">
        <v>190</v>
      </c>
      <c r="S398" s="146" t="s">
        <v>191</v>
      </c>
      <c r="T398" s="147">
        <v>168</v>
      </c>
      <c r="U398" s="146" t="s">
        <v>1569</v>
      </c>
      <c r="V398" s="146" t="s">
        <v>1570</v>
      </c>
      <c r="W398" s="147">
        <v>1</v>
      </c>
      <c r="X398" s="147">
        <v>2</v>
      </c>
      <c r="Y398" s="146" t="s">
        <v>194</v>
      </c>
      <c r="Z398" s="146" t="s">
        <v>195</v>
      </c>
      <c r="AA398" s="146" t="s">
        <v>196</v>
      </c>
      <c r="AB398" s="146" t="s">
        <v>209</v>
      </c>
      <c r="AC398" s="146" t="s">
        <v>187</v>
      </c>
      <c r="AD398" s="148"/>
      <c r="AE398" s="146" t="s">
        <v>209</v>
      </c>
      <c r="AF398" s="147">
        <v>17.1793900000484</v>
      </c>
      <c r="AG398" s="149">
        <v>121.235790000008</v>
      </c>
      <c r="AM398" s="133" t="str" cm="1">
        <f t="array" ref="AM398">IF(ROWS($AN$2:$AN397)&lt;=$AN$2,INDEX($V$3:$V$3000,_xlfn.AGGREGATE(15,3,($B$3:$B$3000=$AM$2)/($B$3:$B$3000=$AM$2)*(ROW($B$3:$B$3000)-ROW($B$2)),ROWS($AN$2:$AN397))),"")</f>
        <v/>
      </c>
      <c r="AN398" s="134" t="str" cm="1">
        <f t="array" ref="AN398">IF(ROWS($AN$2:$AN397)&lt;=$AN$2,INDEX($F$3:$F$3000,_xlfn.AGGREGATE(15,3,($B$3:$B$3000=$AM$2)/($B$3:$B$3000=$AM$2)*(ROW($B$3:$B$3000)-ROW($B$2)),ROWS($AN$2:$AN397))),"")</f>
        <v/>
      </c>
      <c r="AO398" s="135" t="str" cm="1">
        <f t="array" ref="AO398">IF(ROWS($AN$2:$AN397)&lt;=$AN$2,INDEX($G$3:$G$3000,_xlfn.AGGREGATE(15,3,($B$3:$B$3000=$AM$2)/($B$3:$B$3000=$AM$2)*(ROW($B$3:$B$3000)-ROW($B$2)),ROWS($AN$2:$AN397))),"")</f>
        <v/>
      </c>
      <c r="AP398" s="121"/>
      <c r="AT398" s="111"/>
      <c r="AW398" s="134"/>
      <c r="AX398" s="136"/>
      <c r="AY398" s="134"/>
    </row>
    <row r="399" spans="1:51" s="110" customFormat="1" ht="20" customHeight="1">
      <c r="A399" s="125" t="s">
        <v>239</v>
      </c>
      <c r="B399" s="126" t="s">
        <v>67</v>
      </c>
      <c r="C399" s="127">
        <v>13836</v>
      </c>
      <c r="D399" s="145">
        <v>106826</v>
      </c>
      <c r="E399" s="146" t="s">
        <v>1979</v>
      </c>
      <c r="F399" s="146" t="s">
        <v>1980</v>
      </c>
      <c r="G399" s="147">
        <v>500</v>
      </c>
      <c r="H399" s="147">
        <v>4</v>
      </c>
      <c r="I399" s="146" t="s">
        <v>209</v>
      </c>
      <c r="J399" s="146" t="s">
        <v>1981</v>
      </c>
      <c r="K399" s="146" t="s">
        <v>1980</v>
      </c>
      <c r="L399" s="147">
        <v>1</v>
      </c>
      <c r="M399" s="147">
        <v>1</v>
      </c>
      <c r="N399" s="146" t="s">
        <v>1544</v>
      </c>
      <c r="O399" s="147">
        <v>95</v>
      </c>
      <c r="P399" s="147">
        <v>6</v>
      </c>
      <c r="Q399" s="147">
        <v>17</v>
      </c>
      <c r="R399" s="146" t="s">
        <v>190</v>
      </c>
      <c r="S399" s="146" t="s">
        <v>191</v>
      </c>
      <c r="T399" s="147">
        <v>168</v>
      </c>
      <c r="U399" s="146" t="s">
        <v>1569</v>
      </c>
      <c r="V399" s="146" t="s">
        <v>1570</v>
      </c>
      <c r="W399" s="147">
        <v>1</v>
      </c>
      <c r="X399" s="147">
        <v>2</v>
      </c>
      <c r="Y399" s="146" t="s">
        <v>194</v>
      </c>
      <c r="Z399" s="146" t="s">
        <v>195</v>
      </c>
      <c r="AA399" s="146" t="s">
        <v>196</v>
      </c>
      <c r="AB399" s="146" t="s">
        <v>209</v>
      </c>
      <c r="AC399" s="146" t="s">
        <v>187</v>
      </c>
      <c r="AD399" s="148"/>
      <c r="AE399" s="146" t="s">
        <v>209</v>
      </c>
      <c r="AF399" s="147">
        <v>13.4588</v>
      </c>
      <c r="AG399" s="149">
        <v>123.55216</v>
      </c>
      <c r="AM399" s="133" t="str" cm="1">
        <f t="array" ref="AM399">IF(ROWS($AN$2:$AN398)&lt;=$AN$2,INDEX($V$3:$V$3000,_xlfn.AGGREGATE(15,3,($B$3:$B$3000=$AM$2)/($B$3:$B$3000=$AM$2)*(ROW($B$3:$B$3000)-ROW($B$2)),ROWS($AN$2:$AN398))),"")</f>
        <v/>
      </c>
      <c r="AN399" s="134" t="str" cm="1">
        <f t="array" ref="AN399">IF(ROWS($AN$2:$AN398)&lt;=$AN$2,INDEX($F$3:$F$3000,_xlfn.AGGREGATE(15,3,($B$3:$B$3000=$AM$2)/($B$3:$B$3000=$AM$2)*(ROW($B$3:$B$3000)-ROW($B$2)),ROWS($AN$2:$AN398))),"")</f>
        <v/>
      </c>
      <c r="AO399" s="135" t="str" cm="1">
        <f t="array" ref="AO399">IF(ROWS($AN$2:$AN398)&lt;=$AN$2,INDEX($G$3:$G$3000,_xlfn.AGGREGATE(15,3,($B$3:$B$3000=$AM$2)/($B$3:$B$3000=$AM$2)*(ROW($B$3:$B$3000)-ROW($B$2)),ROWS($AN$2:$AN398))),"")</f>
        <v/>
      </c>
      <c r="AP399" s="121"/>
      <c r="AT399" s="111"/>
      <c r="AW399" s="134"/>
      <c r="AX399" s="136"/>
      <c r="AY399" s="134"/>
    </row>
    <row r="400" spans="1:51" s="110" customFormat="1" ht="20" customHeight="1">
      <c r="A400" s="125" t="s">
        <v>239</v>
      </c>
      <c r="B400" s="126" t="s">
        <v>67</v>
      </c>
      <c r="C400" s="127">
        <v>20925</v>
      </c>
      <c r="D400" s="145">
        <v>100527</v>
      </c>
      <c r="E400" s="146" t="s">
        <v>1722</v>
      </c>
      <c r="F400" s="146" t="s">
        <v>1722</v>
      </c>
      <c r="G400" s="147">
        <v>200</v>
      </c>
      <c r="H400" s="147">
        <v>4</v>
      </c>
      <c r="I400" s="146" t="s">
        <v>209</v>
      </c>
      <c r="J400" s="146" t="s">
        <v>1723</v>
      </c>
      <c r="K400" s="146" t="s">
        <v>1724</v>
      </c>
      <c r="L400" s="147">
        <v>4</v>
      </c>
      <c r="M400" s="147">
        <v>1</v>
      </c>
      <c r="N400" s="146" t="s">
        <v>1544</v>
      </c>
      <c r="O400" s="147">
        <v>60</v>
      </c>
      <c r="P400" s="147">
        <v>10</v>
      </c>
      <c r="Q400" s="147">
        <v>17</v>
      </c>
      <c r="R400" s="146" t="s">
        <v>190</v>
      </c>
      <c r="S400" s="146" t="s">
        <v>191</v>
      </c>
      <c r="T400" s="147">
        <v>168</v>
      </c>
      <c r="U400" s="146" t="s">
        <v>1569</v>
      </c>
      <c r="V400" s="146" t="s">
        <v>1570</v>
      </c>
      <c r="W400" s="147">
        <v>1</v>
      </c>
      <c r="X400" s="147">
        <v>2</v>
      </c>
      <c r="Y400" s="146" t="s">
        <v>194</v>
      </c>
      <c r="Z400" s="146" t="s">
        <v>195</v>
      </c>
      <c r="AA400" s="146" t="s">
        <v>196</v>
      </c>
      <c r="AB400" s="146" t="s">
        <v>209</v>
      </c>
      <c r="AC400" s="146" t="s">
        <v>187</v>
      </c>
      <c r="AD400" s="148"/>
      <c r="AE400" s="146" t="s">
        <v>209</v>
      </c>
      <c r="AF400" s="147">
        <v>16.566782</v>
      </c>
      <c r="AG400" s="149">
        <v>121.24657999999999</v>
      </c>
      <c r="AM400" s="133" t="str" cm="1">
        <f t="array" ref="AM400">IF(ROWS($AN$2:$AN399)&lt;=$AN$2,INDEX($V$3:$V$3000,_xlfn.AGGREGATE(15,3,($B$3:$B$3000=$AM$2)/($B$3:$B$3000=$AM$2)*(ROW($B$3:$B$3000)-ROW($B$2)),ROWS($AN$2:$AN399))),"")</f>
        <v/>
      </c>
      <c r="AN400" s="134" t="str" cm="1">
        <f t="array" ref="AN400">IF(ROWS($AN$2:$AN399)&lt;=$AN$2,INDEX($F$3:$F$3000,_xlfn.AGGREGATE(15,3,($B$3:$B$3000=$AM$2)/($B$3:$B$3000=$AM$2)*(ROW($B$3:$B$3000)-ROW($B$2)),ROWS($AN$2:$AN399))),"")</f>
        <v/>
      </c>
      <c r="AO400" s="135" t="str" cm="1">
        <f t="array" ref="AO400">IF(ROWS($AN$2:$AN399)&lt;=$AN$2,INDEX($G$3:$G$3000,_xlfn.AGGREGATE(15,3,($B$3:$B$3000=$AM$2)/($B$3:$B$3000=$AM$2)*(ROW($B$3:$B$3000)-ROW($B$2)),ROWS($AN$2:$AN399))),"")</f>
        <v/>
      </c>
      <c r="AP400" s="121"/>
      <c r="AT400" s="111"/>
      <c r="AW400" s="134"/>
      <c r="AX400" s="136"/>
      <c r="AY400" s="134"/>
    </row>
    <row r="401" spans="1:51" s="110" customFormat="1" ht="20" customHeight="1">
      <c r="A401" s="125" t="s">
        <v>239</v>
      </c>
      <c r="B401" s="126" t="s">
        <v>67</v>
      </c>
      <c r="C401" s="127">
        <v>20926</v>
      </c>
      <c r="D401" s="145">
        <v>109428</v>
      </c>
      <c r="E401" s="146" t="s">
        <v>1725</v>
      </c>
      <c r="F401" s="146" t="s">
        <v>1725</v>
      </c>
      <c r="G401" s="147">
        <v>200</v>
      </c>
      <c r="H401" s="147">
        <v>4</v>
      </c>
      <c r="I401" s="146" t="s">
        <v>209</v>
      </c>
      <c r="J401" s="146" t="s">
        <v>1567</v>
      </c>
      <c r="K401" s="146" t="s">
        <v>1568</v>
      </c>
      <c r="L401" s="147">
        <v>5</v>
      </c>
      <c r="M401" s="147">
        <v>1</v>
      </c>
      <c r="N401" s="146" t="s">
        <v>1544</v>
      </c>
      <c r="O401" s="147">
        <v>65</v>
      </c>
      <c r="P401" s="147">
        <v>5</v>
      </c>
      <c r="Q401" s="147">
        <v>17</v>
      </c>
      <c r="R401" s="146" t="s">
        <v>190</v>
      </c>
      <c r="S401" s="146" t="s">
        <v>191</v>
      </c>
      <c r="T401" s="147">
        <v>168</v>
      </c>
      <c r="U401" s="146" t="s">
        <v>1569</v>
      </c>
      <c r="V401" s="146" t="s">
        <v>1570</v>
      </c>
      <c r="W401" s="147">
        <v>1</v>
      </c>
      <c r="X401" s="147">
        <v>2</v>
      </c>
      <c r="Y401" s="146" t="s">
        <v>194</v>
      </c>
      <c r="Z401" s="146" t="s">
        <v>195</v>
      </c>
      <c r="AA401" s="146" t="s">
        <v>196</v>
      </c>
      <c r="AB401" s="146" t="s">
        <v>209</v>
      </c>
      <c r="AC401" s="146" t="s">
        <v>187</v>
      </c>
      <c r="AD401" s="148"/>
      <c r="AE401" s="146" t="s">
        <v>209</v>
      </c>
      <c r="AF401" s="147">
        <v>13.035830000000001</v>
      </c>
      <c r="AG401" s="149">
        <v>124.183612</v>
      </c>
      <c r="AM401" s="133" t="str" cm="1">
        <f t="array" ref="AM401">IF(ROWS($AN$2:$AN400)&lt;=$AN$2,INDEX($V$3:$V$3000,_xlfn.AGGREGATE(15,3,($B$3:$B$3000=$AM$2)/($B$3:$B$3000=$AM$2)*(ROW($B$3:$B$3000)-ROW($B$2)),ROWS($AN$2:$AN400))),"")</f>
        <v/>
      </c>
      <c r="AN401" s="134" t="str" cm="1">
        <f t="array" ref="AN401">IF(ROWS($AN$2:$AN400)&lt;=$AN$2,INDEX($F$3:$F$3000,_xlfn.AGGREGATE(15,3,($B$3:$B$3000=$AM$2)/($B$3:$B$3000=$AM$2)*(ROW($B$3:$B$3000)-ROW($B$2)),ROWS($AN$2:$AN400))),"")</f>
        <v/>
      </c>
      <c r="AO401" s="135" t="str" cm="1">
        <f t="array" ref="AO401">IF(ROWS($AN$2:$AN400)&lt;=$AN$2,INDEX($G$3:$G$3000,_xlfn.AGGREGATE(15,3,($B$3:$B$3000=$AM$2)/($B$3:$B$3000=$AM$2)*(ROW($B$3:$B$3000)-ROW($B$2)),ROWS($AN$2:$AN400))),"")</f>
        <v/>
      </c>
      <c r="AP401" s="121"/>
      <c r="AT401" s="111"/>
      <c r="AW401" s="134"/>
      <c r="AX401" s="136"/>
      <c r="AY401" s="134"/>
    </row>
    <row r="402" spans="1:51" s="110" customFormat="1" ht="20" customHeight="1">
      <c r="A402" s="125" t="s">
        <v>239</v>
      </c>
      <c r="B402" s="126" t="s">
        <v>67</v>
      </c>
      <c r="C402" s="127">
        <v>12168</v>
      </c>
      <c r="D402" s="128">
        <v>103934</v>
      </c>
      <c r="E402" s="129" t="s">
        <v>4847</v>
      </c>
      <c r="F402" s="129" t="s">
        <v>4848</v>
      </c>
      <c r="G402" s="130">
        <v>885000</v>
      </c>
      <c r="H402" s="130">
        <v>5</v>
      </c>
      <c r="I402" s="129" t="s">
        <v>209</v>
      </c>
      <c r="J402" s="129" t="s">
        <v>4849</v>
      </c>
      <c r="K402" s="129" t="s">
        <v>4847</v>
      </c>
      <c r="L402" s="130">
        <v>4</v>
      </c>
      <c r="M402" s="130">
        <v>1</v>
      </c>
      <c r="N402" s="129" t="s">
        <v>1544</v>
      </c>
      <c r="O402" s="130">
        <v>97</v>
      </c>
      <c r="P402" s="130">
        <v>16</v>
      </c>
      <c r="Q402" s="130">
        <v>17</v>
      </c>
      <c r="R402" s="129" t="s">
        <v>190</v>
      </c>
      <c r="S402" s="129" t="s">
        <v>191</v>
      </c>
      <c r="T402" s="130">
        <v>168</v>
      </c>
      <c r="U402" s="129" t="s">
        <v>1569</v>
      </c>
      <c r="V402" s="129" t="s">
        <v>1570</v>
      </c>
      <c r="W402" s="130">
        <v>1</v>
      </c>
      <c r="X402" s="130">
        <v>2</v>
      </c>
      <c r="Y402" s="129" t="s">
        <v>194</v>
      </c>
      <c r="Z402" s="129" t="s">
        <v>195</v>
      </c>
      <c r="AA402" s="129" t="s">
        <v>196</v>
      </c>
      <c r="AB402" s="129" t="s">
        <v>209</v>
      </c>
      <c r="AC402" s="129" t="s">
        <v>187</v>
      </c>
      <c r="AD402" s="131"/>
      <c r="AE402" s="129" t="s">
        <v>209</v>
      </c>
      <c r="AF402" s="130">
        <v>17.420140000160899</v>
      </c>
      <c r="AG402" s="132">
        <v>121.890930000119</v>
      </c>
      <c r="AM402" s="133" t="str" cm="1">
        <f t="array" ref="AM402">IF(ROWS($AN$2:$AN401)&lt;=$AN$2,INDEX($V$3:$V$3000,_xlfn.AGGREGATE(15,3,($B$3:$B$3000=$AM$2)/($B$3:$B$3000=$AM$2)*(ROW($B$3:$B$3000)-ROW($B$2)),ROWS($AN$2:$AN401))),"")</f>
        <v/>
      </c>
      <c r="AN402" s="134" t="str" cm="1">
        <f t="array" ref="AN402">IF(ROWS($AN$2:$AN401)&lt;=$AN$2,INDEX($F$3:$F$3000,_xlfn.AGGREGATE(15,3,($B$3:$B$3000=$AM$2)/($B$3:$B$3000=$AM$2)*(ROW($B$3:$B$3000)-ROW($B$2)),ROWS($AN$2:$AN401))),"")</f>
        <v/>
      </c>
      <c r="AO402" s="135" t="str" cm="1">
        <f t="array" ref="AO402">IF(ROWS($AN$2:$AN401)&lt;=$AN$2,INDEX($G$3:$G$3000,_xlfn.AGGREGATE(15,3,($B$3:$B$3000=$AM$2)/($B$3:$B$3000=$AM$2)*(ROW($B$3:$B$3000)-ROW($B$2)),ROWS($AN$2:$AN401))),"")</f>
        <v/>
      </c>
      <c r="AP402" s="121"/>
      <c r="AT402" s="111"/>
      <c r="AW402" s="134"/>
      <c r="AX402" s="136"/>
      <c r="AY402" s="134"/>
    </row>
    <row r="403" spans="1:51" s="110" customFormat="1" ht="20" customHeight="1">
      <c r="A403" s="125" t="s">
        <v>239</v>
      </c>
      <c r="B403" s="126" t="s">
        <v>67</v>
      </c>
      <c r="C403" s="127">
        <v>10352</v>
      </c>
      <c r="D403" s="128">
        <v>100393</v>
      </c>
      <c r="E403" s="129" t="s">
        <v>4826</v>
      </c>
      <c r="F403" s="129" t="s">
        <v>4826</v>
      </c>
      <c r="G403" s="130">
        <v>610000</v>
      </c>
      <c r="H403" s="130">
        <v>5</v>
      </c>
      <c r="I403" s="129" t="s">
        <v>209</v>
      </c>
      <c r="J403" s="129" t="s">
        <v>4827</v>
      </c>
      <c r="K403" s="129" t="s">
        <v>4826</v>
      </c>
      <c r="L403" s="130">
        <v>4</v>
      </c>
      <c r="M403" s="130">
        <v>1</v>
      </c>
      <c r="N403" s="129" t="s">
        <v>1544</v>
      </c>
      <c r="O403" s="130">
        <v>99</v>
      </c>
      <c r="P403" s="130">
        <v>13</v>
      </c>
      <c r="Q403" s="130">
        <v>17</v>
      </c>
      <c r="R403" s="129" t="s">
        <v>190</v>
      </c>
      <c r="S403" s="129" t="s">
        <v>191</v>
      </c>
      <c r="T403" s="130">
        <v>168</v>
      </c>
      <c r="U403" s="129" t="s">
        <v>1569</v>
      </c>
      <c r="V403" s="129" t="s">
        <v>1570</v>
      </c>
      <c r="W403" s="130">
        <v>1</v>
      </c>
      <c r="X403" s="130">
        <v>2</v>
      </c>
      <c r="Y403" s="129" t="s">
        <v>194</v>
      </c>
      <c r="Z403" s="129" t="s">
        <v>195</v>
      </c>
      <c r="AA403" s="129" t="s">
        <v>196</v>
      </c>
      <c r="AB403" s="129" t="s">
        <v>209</v>
      </c>
      <c r="AC403" s="129" t="s">
        <v>187</v>
      </c>
      <c r="AD403" s="131"/>
      <c r="AE403" s="129" t="s">
        <v>209</v>
      </c>
      <c r="AF403" s="130">
        <v>10.81307</v>
      </c>
      <c r="AG403" s="132">
        <v>122.29689999999999</v>
      </c>
      <c r="AM403" s="133" t="str" cm="1">
        <f t="array" ref="AM403">IF(ROWS($AN$2:$AN402)&lt;=$AN$2,INDEX($V$3:$V$3000,_xlfn.AGGREGATE(15,3,($B$3:$B$3000=$AM$2)/($B$3:$B$3000=$AM$2)*(ROW($B$3:$B$3000)-ROW($B$2)),ROWS($AN$2:$AN402))),"")</f>
        <v/>
      </c>
      <c r="AN403" s="134" t="str" cm="1">
        <f t="array" ref="AN403">IF(ROWS($AN$2:$AN402)&lt;=$AN$2,INDEX($F$3:$F$3000,_xlfn.AGGREGATE(15,3,($B$3:$B$3000=$AM$2)/($B$3:$B$3000=$AM$2)*(ROW($B$3:$B$3000)-ROW($B$2)),ROWS($AN$2:$AN402))),"")</f>
        <v/>
      </c>
      <c r="AO403" s="135" t="str" cm="1">
        <f t="array" ref="AO403">IF(ROWS($AN$2:$AN402)&lt;=$AN$2,INDEX($G$3:$G$3000,_xlfn.AGGREGATE(15,3,($B$3:$B$3000=$AM$2)/($B$3:$B$3000=$AM$2)*(ROW($B$3:$B$3000)-ROW($B$2)),ROWS($AN$2:$AN402))),"")</f>
        <v/>
      </c>
      <c r="AP403" s="121"/>
      <c r="AT403" s="111"/>
      <c r="AW403" s="134"/>
      <c r="AX403" s="136"/>
      <c r="AY403" s="134"/>
    </row>
    <row r="404" spans="1:51" s="110" customFormat="1" ht="20" customHeight="1">
      <c r="A404" s="125" t="s">
        <v>239</v>
      </c>
      <c r="B404" s="126" t="s">
        <v>67</v>
      </c>
      <c r="C404" s="127">
        <v>10250</v>
      </c>
      <c r="D404" s="128">
        <v>100223</v>
      </c>
      <c r="E404" s="129" t="s">
        <v>4796</v>
      </c>
      <c r="F404" s="129" t="s">
        <v>4796</v>
      </c>
      <c r="G404" s="130">
        <v>304000</v>
      </c>
      <c r="H404" s="130">
        <v>5</v>
      </c>
      <c r="I404" s="129" t="s">
        <v>209</v>
      </c>
      <c r="J404" s="129" t="s">
        <v>4797</v>
      </c>
      <c r="K404" s="129" t="s">
        <v>4796</v>
      </c>
      <c r="L404" s="130">
        <v>1</v>
      </c>
      <c r="M404" s="130">
        <v>1</v>
      </c>
      <c r="N404" s="129" t="s">
        <v>1544</v>
      </c>
      <c r="O404" s="130">
        <v>95</v>
      </c>
      <c r="P404" s="130">
        <v>13</v>
      </c>
      <c r="Q404" s="130">
        <v>17</v>
      </c>
      <c r="R404" s="129" t="s">
        <v>190</v>
      </c>
      <c r="S404" s="129" t="s">
        <v>191</v>
      </c>
      <c r="T404" s="130">
        <v>168</v>
      </c>
      <c r="U404" s="129" t="s">
        <v>1569</v>
      </c>
      <c r="V404" s="129" t="s">
        <v>1570</v>
      </c>
      <c r="W404" s="130">
        <v>1</v>
      </c>
      <c r="X404" s="130">
        <v>2</v>
      </c>
      <c r="Y404" s="129" t="s">
        <v>194</v>
      </c>
      <c r="Z404" s="129" t="s">
        <v>195</v>
      </c>
      <c r="AA404" s="129" t="s">
        <v>196</v>
      </c>
      <c r="AB404" s="129" t="s">
        <v>209</v>
      </c>
      <c r="AC404" s="129" t="s">
        <v>187</v>
      </c>
      <c r="AD404" s="131"/>
      <c r="AE404" s="129" t="s">
        <v>209</v>
      </c>
      <c r="AF404" s="130">
        <v>13.169919999999999</v>
      </c>
      <c r="AG404" s="132">
        <v>123.51373</v>
      </c>
      <c r="AM404" s="133" t="str" cm="1">
        <f t="array" ref="AM404">IF(ROWS($AN$2:$AN403)&lt;=$AN$2,INDEX($V$3:$V$3000,_xlfn.AGGREGATE(15,3,($B$3:$B$3000=$AM$2)/($B$3:$B$3000=$AM$2)*(ROW($B$3:$B$3000)-ROW($B$2)),ROWS($AN$2:$AN403))),"")</f>
        <v/>
      </c>
      <c r="AN404" s="134" t="str" cm="1">
        <f t="array" ref="AN404">IF(ROWS($AN$2:$AN403)&lt;=$AN$2,INDEX($F$3:$F$3000,_xlfn.AGGREGATE(15,3,($B$3:$B$3000=$AM$2)/($B$3:$B$3000=$AM$2)*(ROW($B$3:$B$3000)-ROW($B$2)),ROWS($AN$2:$AN403))),"")</f>
        <v/>
      </c>
      <c r="AO404" s="135" t="str" cm="1">
        <f t="array" ref="AO404">IF(ROWS($AN$2:$AN403)&lt;=$AN$2,INDEX($G$3:$G$3000,_xlfn.AGGREGATE(15,3,($B$3:$B$3000=$AM$2)/($B$3:$B$3000=$AM$2)*(ROW($B$3:$B$3000)-ROW($B$2)),ROWS($AN$2:$AN403))),"")</f>
        <v/>
      </c>
      <c r="AP404" s="121"/>
      <c r="AT404" s="111"/>
      <c r="AW404" s="134"/>
      <c r="AX404" s="136"/>
      <c r="AY404" s="134"/>
    </row>
    <row r="405" spans="1:51" s="110" customFormat="1" ht="20" customHeight="1">
      <c r="A405" s="125" t="s">
        <v>239</v>
      </c>
      <c r="B405" s="126" t="s">
        <v>67</v>
      </c>
      <c r="C405" s="127">
        <v>11452</v>
      </c>
      <c r="D405" s="128">
        <v>102340</v>
      </c>
      <c r="E405" s="129" t="s">
        <v>3040</v>
      </c>
      <c r="F405" s="129" t="s">
        <v>3040</v>
      </c>
      <c r="G405" s="130">
        <v>221000</v>
      </c>
      <c r="H405" s="130">
        <v>5</v>
      </c>
      <c r="I405" s="129" t="s">
        <v>209</v>
      </c>
      <c r="J405" s="129" t="s">
        <v>3039</v>
      </c>
      <c r="K405" s="129" t="s">
        <v>3040</v>
      </c>
      <c r="L405" s="130">
        <v>4</v>
      </c>
      <c r="M405" s="130">
        <v>1</v>
      </c>
      <c r="N405" s="129" t="s">
        <v>1544</v>
      </c>
      <c r="O405" s="130">
        <v>95</v>
      </c>
      <c r="P405" s="130">
        <v>11</v>
      </c>
      <c r="Q405" s="130">
        <v>17</v>
      </c>
      <c r="R405" s="129" t="s">
        <v>190</v>
      </c>
      <c r="S405" s="129" t="s">
        <v>191</v>
      </c>
      <c r="T405" s="130">
        <v>168</v>
      </c>
      <c r="U405" s="129" t="s">
        <v>1569</v>
      </c>
      <c r="V405" s="129" t="s">
        <v>1570</v>
      </c>
      <c r="W405" s="130">
        <v>1</v>
      </c>
      <c r="X405" s="130">
        <v>2</v>
      </c>
      <c r="Y405" s="129" t="s">
        <v>194</v>
      </c>
      <c r="Z405" s="129" t="s">
        <v>195</v>
      </c>
      <c r="AA405" s="129" t="s">
        <v>196</v>
      </c>
      <c r="AB405" s="129" t="s">
        <v>209</v>
      </c>
      <c r="AC405" s="129" t="s">
        <v>187</v>
      </c>
      <c r="AD405" s="131"/>
      <c r="AE405" s="129" t="s">
        <v>209</v>
      </c>
      <c r="AF405" s="130">
        <v>10.3200799998921</v>
      </c>
      <c r="AG405" s="132">
        <v>119.300280000322</v>
      </c>
      <c r="AM405" s="133" t="str" cm="1">
        <f t="array" ref="AM405">IF(ROWS($AN$2:$AN404)&lt;=$AN$2,INDEX($V$3:$V$3000,_xlfn.AGGREGATE(15,3,($B$3:$B$3000=$AM$2)/($B$3:$B$3000=$AM$2)*(ROW($B$3:$B$3000)-ROW($B$2)),ROWS($AN$2:$AN404))),"")</f>
        <v/>
      </c>
      <c r="AN405" s="134" t="str" cm="1">
        <f t="array" ref="AN405">IF(ROWS($AN$2:$AN404)&lt;=$AN$2,INDEX($F$3:$F$3000,_xlfn.AGGREGATE(15,3,($B$3:$B$3000=$AM$2)/($B$3:$B$3000=$AM$2)*(ROW($B$3:$B$3000)-ROW($B$2)),ROWS($AN$2:$AN404))),"")</f>
        <v/>
      </c>
      <c r="AO405" s="135" t="str" cm="1">
        <f t="array" ref="AO405">IF(ROWS($AN$2:$AN404)&lt;=$AN$2,INDEX($G$3:$G$3000,_xlfn.AGGREGATE(15,3,($B$3:$B$3000=$AM$2)/($B$3:$B$3000=$AM$2)*(ROW($B$3:$B$3000)-ROW($B$2)),ROWS($AN$2:$AN404))),"")</f>
        <v/>
      </c>
      <c r="AP405" s="121"/>
      <c r="AT405" s="111"/>
      <c r="AW405" s="134"/>
      <c r="AX405" s="136"/>
      <c r="AY405" s="134"/>
    </row>
    <row r="406" spans="1:51" s="110" customFormat="1" ht="20" customHeight="1">
      <c r="A406" s="125" t="s">
        <v>239</v>
      </c>
      <c r="B406" s="126" t="s">
        <v>67</v>
      </c>
      <c r="C406" s="127">
        <v>12279</v>
      </c>
      <c r="D406" s="128">
        <v>104105</v>
      </c>
      <c r="E406" s="129" t="s">
        <v>4172</v>
      </c>
      <c r="F406" s="129" t="s">
        <v>4754</v>
      </c>
      <c r="G406" s="130">
        <v>212000</v>
      </c>
      <c r="H406" s="130">
        <v>5</v>
      </c>
      <c r="I406" s="129" t="s">
        <v>209</v>
      </c>
      <c r="J406" s="129" t="s">
        <v>4171</v>
      </c>
      <c r="K406" s="129" t="s">
        <v>4172</v>
      </c>
      <c r="L406" s="130">
        <v>4</v>
      </c>
      <c r="M406" s="130">
        <v>1</v>
      </c>
      <c r="N406" s="129" t="s">
        <v>1544</v>
      </c>
      <c r="O406" s="130">
        <v>95</v>
      </c>
      <c r="P406" s="130">
        <v>12</v>
      </c>
      <c r="Q406" s="130">
        <v>17</v>
      </c>
      <c r="R406" s="129" t="s">
        <v>190</v>
      </c>
      <c r="S406" s="129" t="s">
        <v>191</v>
      </c>
      <c r="T406" s="130">
        <v>168</v>
      </c>
      <c r="U406" s="129" t="s">
        <v>1569</v>
      </c>
      <c r="V406" s="129" t="s">
        <v>1570</v>
      </c>
      <c r="W406" s="130">
        <v>1</v>
      </c>
      <c r="X406" s="130">
        <v>2</v>
      </c>
      <c r="Y406" s="129" t="s">
        <v>194</v>
      </c>
      <c r="Z406" s="129" t="s">
        <v>195</v>
      </c>
      <c r="AA406" s="129" t="s">
        <v>196</v>
      </c>
      <c r="AB406" s="129" t="s">
        <v>209</v>
      </c>
      <c r="AC406" s="129" t="s">
        <v>187</v>
      </c>
      <c r="AD406" s="131"/>
      <c r="AE406" s="129" t="s">
        <v>209</v>
      </c>
      <c r="AF406" s="130">
        <v>17.616878122727101</v>
      </c>
      <c r="AG406" s="132">
        <v>121.72106456188</v>
      </c>
      <c r="AM406" s="133" t="str" cm="1">
        <f t="array" ref="AM406">IF(ROWS($AN$2:$AN405)&lt;=$AN$2,INDEX($V$3:$V$3000,_xlfn.AGGREGATE(15,3,($B$3:$B$3000=$AM$2)/($B$3:$B$3000=$AM$2)*(ROW($B$3:$B$3000)-ROW($B$2)),ROWS($AN$2:$AN405))),"")</f>
        <v/>
      </c>
      <c r="AN406" s="134" t="str" cm="1">
        <f t="array" ref="AN406">IF(ROWS($AN$2:$AN405)&lt;=$AN$2,INDEX($F$3:$F$3000,_xlfn.AGGREGATE(15,3,($B$3:$B$3000=$AM$2)/($B$3:$B$3000=$AM$2)*(ROW($B$3:$B$3000)-ROW($B$2)),ROWS($AN$2:$AN405))),"")</f>
        <v/>
      </c>
      <c r="AO406" s="135" t="str" cm="1">
        <f t="array" ref="AO406">IF(ROWS($AN$2:$AN405)&lt;=$AN$2,INDEX($G$3:$G$3000,_xlfn.AGGREGATE(15,3,($B$3:$B$3000=$AM$2)/($B$3:$B$3000=$AM$2)*(ROW($B$3:$B$3000)-ROW($B$2)),ROWS($AN$2:$AN405))),"")</f>
        <v/>
      </c>
      <c r="AP406" s="121"/>
      <c r="AT406" s="111"/>
      <c r="AW406" s="134"/>
      <c r="AX406" s="136"/>
      <c r="AY406" s="134"/>
    </row>
    <row r="407" spans="1:51" s="110" customFormat="1" ht="20" customHeight="1">
      <c r="A407" s="125" t="s">
        <v>239</v>
      </c>
      <c r="B407" s="126" t="s">
        <v>67</v>
      </c>
      <c r="C407" s="127">
        <v>15039</v>
      </c>
      <c r="D407" s="128">
        <v>109475</v>
      </c>
      <c r="E407" s="129" t="s">
        <v>4726</v>
      </c>
      <c r="F407" s="129" t="s">
        <v>4726</v>
      </c>
      <c r="G407" s="130">
        <v>190000</v>
      </c>
      <c r="H407" s="130">
        <v>5</v>
      </c>
      <c r="I407" s="129" t="s">
        <v>209</v>
      </c>
      <c r="J407" s="129" t="s">
        <v>4727</v>
      </c>
      <c r="K407" s="129" t="s">
        <v>4728</v>
      </c>
      <c r="L407" s="130">
        <v>0</v>
      </c>
      <c r="M407" s="130">
        <v>1</v>
      </c>
      <c r="N407" s="129" t="s">
        <v>1544</v>
      </c>
      <c r="O407" s="130">
        <v>95</v>
      </c>
      <c r="P407" s="130">
        <v>13</v>
      </c>
      <c r="Q407" s="130">
        <v>17</v>
      </c>
      <c r="R407" s="129" t="s">
        <v>190</v>
      </c>
      <c r="S407" s="129" t="s">
        <v>191</v>
      </c>
      <c r="T407" s="130">
        <v>168</v>
      </c>
      <c r="U407" s="129" t="s">
        <v>1569</v>
      </c>
      <c r="V407" s="129" t="s">
        <v>1570</v>
      </c>
      <c r="W407" s="130">
        <v>1</v>
      </c>
      <c r="X407" s="130">
        <v>2</v>
      </c>
      <c r="Y407" s="129" t="s">
        <v>194</v>
      </c>
      <c r="Z407" s="129" t="s">
        <v>195</v>
      </c>
      <c r="AA407" s="129" t="s">
        <v>196</v>
      </c>
      <c r="AB407" s="129" t="s">
        <v>209</v>
      </c>
      <c r="AC407" s="129" t="s">
        <v>187</v>
      </c>
      <c r="AD407" s="131"/>
      <c r="AE407" s="129" t="s">
        <v>209</v>
      </c>
      <c r="AF407" s="130">
        <v>13.686170000000001</v>
      </c>
      <c r="AG407" s="132">
        <v>124.29858</v>
      </c>
      <c r="AM407" s="133" t="str" cm="1">
        <f t="array" ref="AM407">IF(ROWS($AN$2:$AN406)&lt;=$AN$2,INDEX($V$3:$V$3000,_xlfn.AGGREGATE(15,3,($B$3:$B$3000=$AM$2)/($B$3:$B$3000=$AM$2)*(ROW($B$3:$B$3000)-ROW($B$2)),ROWS($AN$2:$AN406))),"")</f>
        <v/>
      </c>
      <c r="AN407" s="134" t="str" cm="1">
        <f t="array" ref="AN407">IF(ROWS($AN$2:$AN406)&lt;=$AN$2,INDEX($F$3:$F$3000,_xlfn.AGGREGATE(15,3,($B$3:$B$3000=$AM$2)/($B$3:$B$3000=$AM$2)*(ROW($B$3:$B$3000)-ROW($B$2)),ROWS($AN$2:$AN406))),"")</f>
        <v/>
      </c>
      <c r="AO407" s="135" t="str" cm="1">
        <f t="array" ref="AO407">IF(ROWS($AN$2:$AN406)&lt;=$AN$2,INDEX($G$3:$G$3000,_xlfn.AGGREGATE(15,3,($B$3:$B$3000=$AM$2)/($B$3:$B$3000=$AM$2)*(ROW($B$3:$B$3000)-ROW($B$2)),ROWS($AN$2:$AN406))),"")</f>
        <v/>
      </c>
      <c r="AP407" s="121"/>
      <c r="AT407" s="111"/>
      <c r="AW407" s="134"/>
      <c r="AX407" s="136"/>
      <c r="AY407" s="134"/>
    </row>
    <row r="408" spans="1:51" s="110" customFormat="1" ht="20" customHeight="1">
      <c r="A408" s="125" t="s">
        <v>239</v>
      </c>
      <c r="B408" s="126" t="s">
        <v>67</v>
      </c>
      <c r="C408" s="127">
        <v>14766</v>
      </c>
      <c r="D408" s="128">
        <v>108715</v>
      </c>
      <c r="E408" s="129" t="s">
        <v>4676</v>
      </c>
      <c r="F408" s="129" t="s">
        <v>4676</v>
      </c>
      <c r="G408" s="130">
        <v>130000</v>
      </c>
      <c r="H408" s="130">
        <v>5</v>
      </c>
      <c r="I408" s="129" t="s">
        <v>209</v>
      </c>
      <c r="J408" s="129" t="s">
        <v>4677</v>
      </c>
      <c r="K408" s="129" t="s">
        <v>4676</v>
      </c>
      <c r="L408" s="130">
        <v>4</v>
      </c>
      <c r="M408" s="130">
        <v>1</v>
      </c>
      <c r="N408" s="129" t="s">
        <v>1544</v>
      </c>
      <c r="O408" s="130">
        <v>90</v>
      </c>
      <c r="P408" s="130">
        <v>17</v>
      </c>
      <c r="Q408" s="130">
        <v>17</v>
      </c>
      <c r="R408" s="129" t="s">
        <v>190</v>
      </c>
      <c r="S408" s="129" t="s">
        <v>191</v>
      </c>
      <c r="T408" s="130">
        <v>168</v>
      </c>
      <c r="U408" s="129" t="s">
        <v>1569</v>
      </c>
      <c r="V408" s="129" t="s">
        <v>1570</v>
      </c>
      <c r="W408" s="130">
        <v>1</v>
      </c>
      <c r="X408" s="130">
        <v>2</v>
      </c>
      <c r="Y408" s="129" t="s">
        <v>194</v>
      </c>
      <c r="Z408" s="129" t="s">
        <v>195</v>
      </c>
      <c r="AA408" s="129" t="s">
        <v>196</v>
      </c>
      <c r="AB408" s="129" t="s">
        <v>209</v>
      </c>
      <c r="AC408" s="129" t="s">
        <v>187</v>
      </c>
      <c r="AD408" s="131"/>
      <c r="AE408" s="129" t="s">
        <v>209</v>
      </c>
      <c r="AF408" s="130">
        <v>6.0369100003961798</v>
      </c>
      <c r="AG408" s="132">
        <v>125.35372999984</v>
      </c>
      <c r="AM408" s="133" t="str" cm="1">
        <f t="array" ref="AM408">IF(ROWS($AN$2:$AN407)&lt;=$AN$2,INDEX($V$3:$V$3000,_xlfn.AGGREGATE(15,3,($B$3:$B$3000=$AM$2)/($B$3:$B$3000=$AM$2)*(ROW($B$3:$B$3000)-ROW($B$2)),ROWS($AN$2:$AN407))),"")</f>
        <v/>
      </c>
      <c r="AN408" s="134" t="str" cm="1">
        <f t="array" ref="AN408">IF(ROWS($AN$2:$AN407)&lt;=$AN$2,INDEX($F$3:$F$3000,_xlfn.AGGREGATE(15,3,($B$3:$B$3000=$AM$2)/($B$3:$B$3000=$AM$2)*(ROW($B$3:$B$3000)-ROW($B$2)),ROWS($AN$2:$AN407))),"")</f>
        <v/>
      </c>
      <c r="AO408" s="135" t="str" cm="1">
        <f t="array" ref="AO408">IF(ROWS($AN$2:$AN407)&lt;=$AN$2,INDEX($G$3:$G$3000,_xlfn.AGGREGATE(15,3,($B$3:$B$3000=$AM$2)/($B$3:$B$3000=$AM$2)*(ROW($B$3:$B$3000)-ROW($B$2)),ROWS($AN$2:$AN407))),"")</f>
        <v/>
      </c>
      <c r="AP408" s="121"/>
      <c r="AT408" s="111"/>
      <c r="AW408" s="134"/>
      <c r="AX408" s="136"/>
      <c r="AY408" s="134"/>
    </row>
    <row r="409" spans="1:51" s="110" customFormat="1" ht="20" customHeight="1">
      <c r="A409" s="125" t="s">
        <v>239</v>
      </c>
      <c r="B409" s="126" t="s">
        <v>67</v>
      </c>
      <c r="C409" s="127">
        <v>10916</v>
      </c>
      <c r="D409" s="128">
        <v>101566</v>
      </c>
      <c r="E409" s="129" t="s">
        <v>4673</v>
      </c>
      <c r="F409" s="129" t="s">
        <v>4673</v>
      </c>
      <c r="G409" s="130">
        <v>127000</v>
      </c>
      <c r="H409" s="130">
        <v>5</v>
      </c>
      <c r="I409" s="129" t="s">
        <v>209</v>
      </c>
      <c r="J409" s="129" t="s">
        <v>4674</v>
      </c>
      <c r="K409" s="129" t="s">
        <v>4675</v>
      </c>
      <c r="L409" s="130">
        <v>4</v>
      </c>
      <c r="M409" s="130">
        <v>1</v>
      </c>
      <c r="N409" s="129" t="s">
        <v>1544</v>
      </c>
      <c r="O409" s="130">
        <v>95</v>
      </c>
      <c r="P409" s="130">
        <v>13</v>
      </c>
      <c r="Q409" s="130">
        <v>17</v>
      </c>
      <c r="R409" s="129" t="s">
        <v>190</v>
      </c>
      <c r="S409" s="129" t="s">
        <v>191</v>
      </c>
      <c r="T409" s="130">
        <v>168</v>
      </c>
      <c r="U409" s="129" t="s">
        <v>1569</v>
      </c>
      <c r="V409" s="129" t="s">
        <v>1570</v>
      </c>
      <c r="W409" s="130">
        <v>1</v>
      </c>
      <c r="X409" s="130">
        <v>2</v>
      </c>
      <c r="Y409" s="129" t="s">
        <v>194</v>
      </c>
      <c r="Z409" s="129" t="s">
        <v>195</v>
      </c>
      <c r="AA409" s="129" t="s">
        <v>196</v>
      </c>
      <c r="AB409" s="129" t="s">
        <v>209</v>
      </c>
      <c r="AC409" s="129" t="s">
        <v>187</v>
      </c>
      <c r="AD409" s="131"/>
      <c r="AE409" s="129" t="s">
        <v>209</v>
      </c>
      <c r="AF409" s="130">
        <v>16.307059999919002</v>
      </c>
      <c r="AG409" s="132">
        <v>119.852700000205</v>
      </c>
      <c r="AM409" s="133" t="str" cm="1">
        <f t="array" ref="AM409">IF(ROWS($AN$2:$AN408)&lt;=$AN$2,INDEX($V$3:$V$3000,_xlfn.AGGREGATE(15,3,($B$3:$B$3000=$AM$2)/($B$3:$B$3000=$AM$2)*(ROW($B$3:$B$3000)-ROW($B$2)),ROWS($AN$2:$AN408))),"")</f>
        <v/>
      </c>
      <c r="AN409" s="134" t="str" cm="1">
        <f t="array" ref="AN409">IF(ROWS($AN$2:$AN408)&lt;=$AN$2,INDEX($F$3:$F$3000,_xlfn.AGGREGATE(15,3,($B$3:$B$3000=$AM$2)/($B$3:$B$3000=$AM$2)*(ROW($B$3:$B$3000)-ROW($B$2)),ROWS($AN$2:$AN408))),"")</f>
        <v/>
      </c>
      <c r="AO409" s="135" t="str" cm="1">
        <f t="array" ref="AO409">IF(ROWS($AN$2:$AN408)&lt;=$AN$2,INDEX($G$3:$G$3000,_xlfn.AGGREGATE(15,3,($B$3:$B$3000=$AM$2)/($B$3:$B$3000=$AM$2)*(ROW($B$3:$B$3000)-ROW($B$2)),ROWS($AN$2:$AN408))),"")</f>
        <v/>
      </c>
      <c r="AP409" s="121"/>
      <c r="AT409" s="111"/>
      <c r="AW409" s="134"/>
      <c r="AX409" s="136"/>
      <c r="AY409" s="134"/>
    </row>
    <row r="410" spans="1:51" s="110" customFormat="1" ht="20" customHeight="1">
      <c r="A410" s="125" t="s">
        <v>239</v>
      </c>
      <c r="B410" s="126" t="s">
        <v>67</v>
      </c>
      <c r="C410" s="127">
        <v>13107</v>
      </c>
      <c r="D410" s="128">
        <v>105859</v>
      </c>
      <c r="E410" s="129" t="s">
        <v>4663</v>
      </c>
      <c r="F410" s="129" t="s">
        <v>4663</v>
      </c>
      <c r="G410" s="130">
        <v>123000</v>
      </c>
      <c r="H410" s="130">
        <v>5</v>
      </c>
      <c r="I410" s="129" t="s">
        <v>209</v>
      </c>
      <c r="J410" s="129" t="s">
        <v>4664</v>
      </c>
      <c r="K410" s="129" t="s">
        <v>4665</v>
      </c>
      <c r="L410" s="130">
        <v>4</v>
      </c>
      <c r="M410" s="130">
        <v>1</v>
      </c>
      <c r="N410" s="129" t="s">
        <v>1544</v>
      </c>
      <c r="O410" s="130">
        <v>95</v>
      </c>
      <c r="P410" s="130">
        <v>12</v>
      </c>
      <c r="Q410" s="130">
        <v>17</v>
      </c>
      <c r="R410" s="129" t="s">
        <v>190</v>
      </c>
      <c r="S410" s="129" t="s">
        <v>191</v>
      </c>
      <c r="T410" s="130">
        <v>168</v>
      </c>
      <c r="U410" s="129" t="s">
        <v>1569</v>
      </c>
      <c r="V410" s="129" t="s">
        <v>1570</v>
      </c>
      <c r="W410" s="130">
        <v>1</v>
      </c>
      <c r="X410" s="130">
        <v>2</v>
      </c>
      <c r="Y410" s="129" t="s">
        <v>194</v>
      </c>
      <c r="Z410" s="129" t="s">
        <v>195</v>
      </c>
      <c r="AA410" s="129" t="s">
        <v>196</v>
      </c>
      <c r="AB410" s="129" t="s">
        <v>209</v>
      </c>
      <c r="AC410" s="129" t="s">
        <v>187</v>
      </c>
      <c r="AD410" s="131"/>
      <c r="AE410" s="129" t="s">
        <v>209</v>
      </c>
      <c r="AF410" s="130">
        <v>12.313929999999999</v>
      </c>
      <c r="AG410" s="132">
        <v>121.92622</v>
      </c>
      <c r="AM410" s="133" t="str" cm="1">
        <f t="array" ref="AM410">IF(ROWS($AN$2:$AN409)&lt;=$AN$2,INDEX($V$3:$V$3000,_xlfn.AGGREGATE(15,3,($B$3:$B$3000=$AM$2)/($B$3:$B$3000=$AM$2)*(ROW($B$3:$B$3000)-ROW($B$2)),ROWS($AN$2:$AN409))),"")</f>
        <v/>
      </c>
      <c r="AN410" s="134" t="str" cm="1">
        <f t="array" ref="AN410">IF(ROWS($AN$2:$AN409)&lt;=$AN$2,INDEX($F$3:$F$3000,_xlfn.AGGREGATE(15,3,($B$3:$B$3000=$AM$2)/($B$3:$B$3000=$AM$2)*(ROW($B$3:$B$3000)-ROW($B$2)),ROWS($AN$2:$AN409))),"")</f>
        <v/>
      </c>
      <c r="AO410" s="135" t="str" cm="1">
        <f t="array" ref="AO410">IF(ROWS($AN$2:$AN409)&lt;=$AN$2,INDEX($G$3:$G$3000,_xlfn.AGGREGATE(15,3,($B$3:$B$3000=$AM$2)/($B$3:$B$3000=$AM$2)*(ROW($B$3:$B$3000)-ROW($B$2)),ROWS($AN$2:$AN409))),"")</f>
        <v/>
      </c>
      <c r="AP410" s="121"/>
      <c r="AT410" s="111"/>
      <c r="AW410" s="134"/>
      <c r="AX410" s="136"/>
      <c r="AY410" s="134"/>
    </row>
    <row r="411" spans="1:51" s="110" customFormat="1" ht="20" customHeight="1">
      <c r="A411" s="125" t="s">
        <v>239</v>
      </c>
      <c r="B411" s="126" t="s">
        <v>67</v>
      </c>
      <c r="C411" s="127">
        <v>20528</v>
      </c>
      <c r="D411" s="128">
        <v>116838</v>
      </c>
      <c r="E411" s="129" t="s">
        <v>4551</v>
      </c>
      <c r="F411" s="129" t="s">
        <v>4551</v>
      </c>
      <c r="G411" s="130">
        <v>82000</v>
      </c>
      <c r="H411" s="130">
        <v>5</v>
      </c>
      <c r="I411" s="129" t="s">
        <v>209</v>
      </c>
      <c r="J411" s="129" t="s">
        <v>4552</v>
      </c>
      <c r="K411" s="129" t="s">
        <v>4551</v>
      </c>
      <c r="L411" s="130">
        <v>4</v>
      </c>
      <c r="M411" s="130">
        <v>1</v>
      </c>
      <c r="N411" s="129" t="s">
        <v>1544</v>
      </c>
      <c r="O411" s="130">
        <v>90</v>
      </c>
      <c r="P411" s="130">
        <v>11</v>
      </c>
      <c r="Q411" s="130">
        <v>17</v>
      </c>
      <c r="R411" s="129" t="s">
        <v>190</v>
      </c>
      <c r="S411" s="129" t="s">
        <v>191</v>
      </c>
      <c r="T411" s="130">
        <v>168</v>
      </c>
      <c r="U411" s="129" t="s">
        <v>1569</v>
      </c>
      <c r="V411" s="129" t="s">
        <v>1570</v>
      </c>
      <c r="W411" s="130">
        <v>1</v>
      </c>
      <c r="X411" s="130">
        <v>2</v>
      </c>
      <c r="Y411" s="129" t="s">
        <v>194</v>
      </c>
      <c r="Z411" s="129" t="s">
        <v>195</v>
      </c>
      <c r="AA411" s="129" t="s">
        <v>196</v>
      </c>
      <c r="AB411" s="129" t="s">
        <v>209</v>
      </c>
      <c r="AC411" s="129" t="s">
        <v>187</v>
      </c>
      <c r="AD411" s="131"/>
      <c r="AE411" s="129" t="s">
        <v>209</v>
      </c>
      <c r="AF411" s="130">
        <v>13.427759999999999</v>
      </c>
      <c r="AG411" s="132">
        <v>123.518237</v>
      </c>
      <c r="AM411" s="133" t="str" cm="1">
        <f t="array" ref="AM411">IF(ROWS($AN$2:$AN410)&lt;=$AN$2,INDEX($V$3:$V$3000,_xlfn.AGGREGATE(15,3,($B$3:$B$3000=$AM$2)/($B$3:$B$3000=$AM$2)*(ROW($B$3:$B$3000)-ROW($B$2)),ROWS($AN$2:$AN410))),"")</f>
        <v/>
      </c>
      <c r="AN411" s="134" t="str" cm="1">
        <f t="array" ref="AN411">IF(ROWS($AN$2:$AN410)&lt;=$AN$2,INDEX($F$3:$F$3000,_xlfn.AGGREGATE(15,3,($B$3:$B$3000=$AM$2)/($B$3:$B$3000=$AM$2)*(ROW($B$3:$B$3000)-ROW($B$2)),ROWS($AN$2:$AN410))),"")</f>
        <v/>
      </c>
      <c r="AO411" s="135" t="str" cm="1">
        <f t="array" ref="AO411">IF(ROWS($AN$2:$AN410)&lt;=$AN$2,INDEX($G$3:$G$3000,_xlfn.AGGREGATE(15,3,($B$3:$B$3000=$AM$2)/($B$3:$B$3000=$AM$2)*(ROW($B$3:$B$3000)-ROW($B$2)),ROWS($AN$2:$AN410))),"")</f>
        <v/>
      </c>
      <c r="AP411" s="121"/>
      <c r="AT411" s="111"/>
      <c r="AW411" s="134"/>
      <c r="AX411" s="136"/>
      <c r="AY411" s="134"/>
    </row>
    <row r="412" spans="1:51" s="110" customFormat="1" ht="20" customHeight="1">
      <c r="A412" s="125" t="s">
        <v>239</v>
      </c>
      <c r="B412" s="126" t="s">
        <v>67</v>
      </c>
      <c r="C412" s="127">
        <v>20526</v>
      </c>
      <c r="D412" s="128">
        <v>116839</v>
      </c>
      <c r="E412" s="129" t="s">
        <v>4547</v>
      </c>
      <c r="F412" s="129" t="s">
        <v>4547</v>
      </c>
      <c r="G412" s="130">
        <v>81000</v>
      </c>
      <c r="H412" s="130">
        <v>5</v>
      </c>
      <c r="I412" s="129" t="s">
        <v>209</v>
      </c>
      <c r="J412" s="129" t="s">
        <v>4548</v>
      </c>
      <c r="K412" s="129" t="s">
        <v>4547</v>
      </c>
      <c r="L412" s="130">
        <v>1</v>
      </c>
      <c r="M412" s="130">
        <v>1</v>
      </c>
      <c r="N412" s="129" t="s">
        <v>1544</v>
      </c>
      <c r="O412" s="130">
        <v>90</v>
      </c>
      <c r="P412" s="130">
        <v>12</v>
      </c>
      <c r="Q412" s="130">
        <v>17</v>
      </c>
      <c r="R412" s="129" t="s">
        <v>190</v>
      </c>
      <c r="S412" s="129" t="s">
        <v>191</v>
      </c>
      <c r="T412" s="130">
        <v>168</v>
      </c>
      <c r="U412" s="129" t="s">
        <v>1569</v>
      </c>
      <c r="V412" s="129" t="s">
        <v>1570</v>
      </c>
      <c r="W412" s="130">
        <v>1</v>
      </c>
      <c r="X412" s="130">
        <v>2</v>
      </c>
      <c r="Y412" s="129" t="s">
        <v>194</v>
      </c>
      <c r="Z412" s="129" t="s">
        <v>195</v>
      </c>
      <c r="AA412" s="129" t="s">
        <v>196</v>
      </c>
      <c r="AB412" s="129" t="s">
        <v>209</v>
      </c>
      <c r="AC412" s="129" t="s">
        <v>187</v>
      </c>
      <c r="AD412" s="131"/>
      <c r="AE412" s="129" t="s">
        <v>209</v>
      </c>
      <c r="AF412" s="130">
        <v>13.289755</v>
      </c>
      <c r="AG412" s="132">
        <v>123.446196</v>
      </c>
      <c r="AM412" s="133" t="str" cm="1">
        <f t="array" ref="AM412">IF(ROWS($AN$2:$AN411)&lt;=$AN$2,INDEX($V$3:$V$3000,_xlfn.AGGREGATE(15,3,($B$3:$B$3000=$AM$2)/($B$3:$B$3000=$AM$2)*(ROW($B$3:$B$3000)-ROW($B$2)),ROWS($AN$2:$AN411))),"")</f>
        <v/>
      </c>
      <c r="AN412" s="134" t="str" cm="1">
        <f t="array" ref="AN412">IF(ROWS($AN$2:$AN411)&lt;=$AN$2,INDEX($F$3:$F$3000,_xlfn.AGGREGATE(15,3,($B$3:$B$3000=$AM$2)/($B$3:$B$3000=$AM$2)*(ROW($B$3:$B$3000)-ROW($B$2)),ROWS($AN$2:$AN411))),"")</f>
        <v/>
      </c>
      <c r="AO412" s="135" t="str" cm="1">
        <f t="array" ref="AO412">IF(ROWS($AN$2:$AN411)&lt;=$AN$2,INDEX($G$3:$G$3000,_xlfn.AGGREGATE(15,3,($B$3:$B$3000=$AM$2)/($B$3:$B$3000=$AM$2)*(ROW($B$3:$B$3000)-ROW($B$2)),ROWS($AN$2:$AN411))),"")</f>
        <v/>
      </c>
      <c r="AP412" s="121"/>
      <c r="AT412" s="111"/>
      <c r="AW412" s="134"/>
      <c r="AX412" s="136"/>
      <c r="AY412" s="134"/>
    </row>
    <row r="413" spans="1:51" s="110" customFormat="1" ht="20" customHeight="1">
      <c r="A413" s="125" t="s">
        <v>239</v>
      </c>
      <c r="B413" s="126" t="s">
        <v>67</v>
      </c>
      <c r="C413" s="127">
        <v>11794</v>
      </c>
      <c r="D413" s="128">
        <v>103114</v>
      </c>
      <c r="E413" s="129" t="s">
        <v>4474</v>
      </c>
      <c r="F413" s="129" t="s">
        <v>4475</v>
      </c>
      <c r="G413" s="130">
        <v>61000</v>
      </c>
      <c r="H413" s="130">
        <v>5</v>
      </c>
      <c r="I413" s="129" t="s">
        <v>209</v>
      </c>
      <c r="J413" s="129" t="s">
        <v>4476</v>
      </c>
      <c r="K413" s="129" t="s">
        <v>4474</v>
      </c>
      <c r="L413" s="130">
        <v>2</v>
      </c>
      <c r="M413" s="130">
        <v>1</v>
      </c>
      <c r="N413" s="129" t="s">
        <v>1544</v>
      </c>
      <c r="O413" s="130">
        <v>90</v>
      </c>
      <c r="P413" s="130">
        <v>15</v>
      </c>
      <c r="Q413" s="130">
        <v>17</v>
      </c>
      <c r="R413" s="129" t="s">
        <v>190</v>
      </c>
      <c r="S413" s="129" t="s">
        <v>191</v>
      </c>
      <c r="T413" s="130">
        <v>168</v>
      </c>
      <c r="U413" s="129" t="s">
        <v>1569</v>
      </c>
      <c r="V413" s="129" t="s">
        <v>1570</v>
      </c>
      <c r="W413" s="130">
        <v>1</v>
      </c>
      <c r="X413" s="130">
        <v>2</v>
      </c>
      <c r="Y413" s="129" t="s">
        <v>194</v>
      </c>
      <c r="Z413" s="129" t="s">
        <v>195</v>
      </c>
      <c r="AA413" s="129" t="s">
        <v>196</v>
      </c>
      <c r="AB413" s="129" t="s">
        <v>209</v>
      </c>
      <c r="AC413" s="129" t="s">
        <v>187</v>
      </c>
      <c r="AD413" s="131"/>
      <c r="AE413" s="129" t="s">
        <v>209</v>
      </c>
      <c r="AF413" s="130">
        <v>16.546829999804601</v>
      </c>
      <c r="AG413" s="132">
        <v>121.177350000302</v>
      </c>
      <c r="AM413" s="133" t="str" cm="1">
        <f t="array" ref="AM413">IF(ROWS($AN$2:$AN412)&lt;=$AN$2,INDEX($V$3:$V$3000,_xlfn.AGGREGATE(15,3,($B$3:$B$3000=$AM$2)/($B$3:$B$3000=$AM$2)*(ROW($B$3:$B$3000)-ROW($B$2)),ROWS($AN$2:$AN412))),"")</f>
        <v/>
      </c>
      <c r="AN413" s="134" t="str" cm="1">
        <f t="array" ref="AN413">IF(ROWS($AN$2:$AN412)&lt;=$AN$2,INDEX($F$3:$F$3000,_xlfn.AGGREGATE(15,3,($B$3:$B$3000=$AM$2)/($B$3:$B$3000=$AM$2)*(ROW($B$3:$B$3000)-ROW($B$2)),ROWS($AN$2:$AN412))),"")</f>
        <v/>
      </c>
      <c r="AO413" s="135" t="str" cm="1">
        <f t="array" ref="AO413">IF(ROWS($AN$2:$AN412)&lt;=$AN$2,INDEX($G$3:$G$3000,_xlfn.AGGREGATE(15,3,($B$3:$B$3000=$AM$2)/($B$3:$B$3000=$AM$2)*(ROW($B$3:$B$3000)-ROW($B$2)),ROWS($AN$2:$AN412))),"")</f>
        <v/>
      </c>
      <c r="AP413" s="121"/>
      <c r="AT413" s="111"/>
      <c r="AW413" s="134"/>
      <c r="AX413" s="136"/>
      <c r="AY413" s="134"/>
    </row>
    <row r="414" spans="1:51" s="110" customFormat="1" ht="20" customHeight="1">
      <c r="A414" s="125" t="s">
        <v>239</v>
      </c>
      <c r="B414" s="126" t="s">
        <v>67</v>
      </c>
      <c r="C414" s="127">
        <v>12291</v>
      </c>
      <c r="D414" s="128">
        <v>104119</v>
      </c>
      <c r="E414" s="129" t="s">
        <v>4435</v>
      </c>
      <c r="F414" s="129" t="s">
        <v>4435</v>
      </c>
      <c r="G414" s="130">
        <v>52000</v>
      </c>
      <c r="H414" s="130">
        <v>5</v>
      </c>
      <c r="I414" s="129" t="s">
        <v>209</v>
      </c>
      <c r="J414" s="129" t="s">
        <v>4436</v>
      </c>
      <c r="K414" s="129" t="s">
        <v>4435</v>
      </c>
      <c r="L414" s="130">
        <v>4</v>
      </c>
      <c r="M414" s="130">
        <v>1</v>
      </c>
      <c r="N414" s="129" t="s">
        <v>1544</v>
      </c>
      <c r="O414" s="130">
        <v>95</v>
      </c>
      <c r="P414" s="130">
        <v>12</v>
      </c>
      <c r="Q414" s="130">
        <v>17</v>
      </c>
      <c r="R414" s="129" t="s">
        <v>190</v>
      </c>
      <c r="S414" s="129" t="s">
        <v>191</v>
      </c>
      <c r="T414" s="130">
        <v>168</v>
      </c>
      <c r="U414" s="129" t="s">
        <v>1569</v>
      </c>
      <c r="V414" s="129" t="s">
        <v>1570</v>
      </c>
      <c r="W414" s="130">
        <v>1</v>
      </c>
      <c r="X414" s="130">
        <v>2</v>
      </c>
      <c r="Y414" s="129" t="s">
        <v>194</v>
      </c>
      <c r="Z414" s="129" t="s">
        <v>195</v>
      </c>
      <c r="AA414" s="129" t="s">
        <v>196</v>
      </c>
      <c r="AB414" s="129" t="s">
        <v>209</v>
      </c>
      <c r="AC414" s="129" t="s">
        <v>187</v>
      </c>
      <c r="AD414" s="131"/>
      <c r="AE414" s="129" t="s">
        <v>209</v>
      </c>
      <c r="AF414" s="130">
        <v>20.381160000000001</v>
      </c>
      <c r="AG414" s="132">
        <v>121.93380999999999</v>
      </c>
      <c r="AM414" s="133" t="str" cm="1">
        <f t="array" ref="AM414">IF(ROWS($AN$2:$AN413)&lt;=$AN$2,INDEX($V$3:$V$3000,_xlfn.AGGREGATE(15,3,($B$3:$B$3000=$AM$2)/($B$3:$B$3000=$AM$2)*(ROW($B$3:$B$3000)-ROW($B$2)),ROWS($AN$2:$AN413))),"")</f>
        <v/>
      </c>
      <c r="AN414" s="134" t="str" cm="1">
        <f t="array" ref="AN414">IF(ROWS($AN$2:$AN413)&lt;=$AN$2,INDEX($F$3:$F$3000,_xlfn.AGGREGATE(15,3,($B$3:$B$3000=$AM$2)/($B$3:$B$3000=$AM$2)*(ROW($B$3:$B$3000)-ROW($B$2)),ROWS($AN$2:$AN413))),"")</f>
        <v/>
      </c>
      <c r="AO414" s="135" t="str" cm="1">
        <f t="array" ref="AO414">IF(ROWS($AN$2:$AN413)&lt;=$AN$2,INDEX($G$3:$G$3000,_xlfn.AGGREGATE(15,3,($B$3:$B$3000=$AM$2)/($B$3:$B$3000=$AM$2)*(ROW($B$3:$B$3000)-ROW($B$2)),ROWS($AN$2:$AN413))),"")</f>
        <v/>
      </c>
      <c r="AP414" s="121"/>
      <c r="AT414" s="111"/>
      <c r="AW414" s="134"/>
      <c r="AX414" s="136"/>
      <c r="AY414" s="134"/>
    </row>
    <row r="415" spans="1:51" s="110" customFormat="1" ht="20" customHeight="1">
      <c r="A415" s="125" t="s">
        <v>239</v>
      </c>
      <c r="B415" s="126" t="s">
        <v>67</v>
      </c>
      <c r="C415" s="127">
        <v>11082</v>
      </c>
      <c r="D415" s="128">
        <v>101858</v>
      </c>
      <c r="E415" s="129" t="s">
        <v>4418</v>
      </c>
      <c r="F415" s="129" t="s">
        <v>4418</v>
      </c>
      <c r="G415" s="130">
        <v>48000</v>
      </c>
      <c r="H415" s="130">
        <v>5</v>
      </c>
      <c r="I415" s="129" t="s">
        <v>209</v>
      </c>
      <c r="J415" s="129" t="s">
        <v>4419</v>
      </c>
      <c r="K415" s="129" t="s">
        <v>4420</v>
      </c>
      <c r="L415" s="130">
        <v>4</v>
      </c>
      <c r="M415" s="130">
        <v>1</v>
      </c>
      <c r="N415" s="129" t="s">
        <v>1544</v>
      </c>
      <c r="O415" s="130">
        <v>95</v>
      </c>
      <c r="P415" s="130">
        <v>12</v>
      </c>
      <c r="Q415" s="130">
        <v>17</v>
      </c>
      <c r="R415" s="129" t="s">
        <v>190</v>
      </c>
      <c r="S415" s="129" t="s">
        <v>191</v>
      </c>
      <c r="T415" s="130">
        <v>168</v>
      </c>
      <c r="U415" s="129" t="s">
        <v>1569</v>
      </c>
      <c r="V415" s="129" t="s">
        <v>1570</v>
      </c>
      <c r="W415" s="130">
        <v>1</v>
      </c>
      <c r="X415" s="130">
        <v>2</v>
      </c>
      <c r="Y415" s="129" t="s">
        <v>194</v>
      </c>
      <c r="Z415" s="129" t="s">
        <v>195</v>
      </c>
      <c r="AA415" s="129" t="s">
        <v>196</v>
      </c>
      <c r="AB415" s="129" t="s">
        <v>209</v>
      </c>
      <c r="AC415" s="129" t="s">
        <v>187</v>
      </c>
      <c r="AD415" s="131"/>
      <c r="AE415" s="129" t="s">
        <v>209</v>
      </c>
      <c r="AF415" s="130">
        <v>11.944380000000001</v>
      </c>
      <c r="AG415" s="132">
        <v>121.56282</v>
      </c>
      <c r="AM415" s="133" t="str" cm="1">
        <f t="array" ref="AM415">IF(ROWS($AN$2:$AN414)&lt;=$AN$2,INDEX($V$3:$V$3000,_xlfn.AGGREGATE(15,3,($B$3:$B$3000=$AM$2)/($B$3:$B$3000=$AM$2)*(ROW($B$3:$B$3000)-ROW($B$2)),ROWS($AN$2:$AN414))),"")</f>
        <v/>
      </c>
      <c r="AN415" s="134" t="str" cm="1">
        <f t="array" ref="AN415">IF(ROWS($AN$2:$AN414)&lt;=$AN$2,INDEX($F$3:$F$3000,_xlfn.AGGREGATE(15,3,($B$3:$B$3000=$AM$2)/($B$3:$B$3000=$AM$2)*(ROW($B$3:$B$3000)-ROW($B$2)),ROWS($AN$2:$AN414))),"")</f>
        <v/>
      </c>
      <c r="AO415" s="135" t="str" cm="1">
        <f t="array" ref="AO415">IF(ROWS($AN$2:$AN414)&lt;=$AN$2,INDEX($G$3:$G$3000,_xlfn.AGGREGATE(15,3,($B$3:$B$3000=$AM$2)/($B$3:$B$3000=$AM$2)*(ROW($B$3:$B$3000)-ROW($B$2)),ROWS($AN$2:$AN414))),"")</f>
        <v/>
      </c>
      <c r="AP415" s="121"/>
      <c r="AT415" s="111"/>
      <c r="AW415" s="134"/>
      <c r="AX415" s="136"/>
      <c r="AY415" s="134"/>
    </row>
    <row r="416" spans="1:51" s="110" customFormat="1" ht="20" customHeight="1">
      <c r="A416" s="125" t="s">
        <v>239</v>
      </c>
      <c r="B416" s="126" t="s">
        <v>67</v>
      </c>
      <c r="C416" s="127">
        <v>15044</v>
      </c>
      <c r="D416" s="128">
        <v>109483</v>
      </c>
      <c r="E416" s="129" t="s">
        <v>4126</v>
      </c>
      <c r="F416" s="129" t="s">
        <v>4126</v>
      </c>
      <c r="G416" s="130">
        <v>24000</v>
      </c>
      <c r="H416" s="130">
        <v>5</v>
      </c>
      <c r="I416" s="129" t="s">
        <v>209</v>
      </c>
      <c r="J416" s="129" t="s">
        <v>4127</v>
      </c>
      <c r="K416" s="129" t="s">
        <v>4128</v>
      </c>
      <c r="L416" s="130">
        <v>0</v>
      </c>
      <c r="M416" s="130">
        <v>1</v>
      </c>
      <c r="N416" s="129" t="s">
        <v>1544</v>
      </c>
      <c r="O416" s="130">
        <v>57</v>
      </c>
      <c r="P416" s="130">
        <v>15</v>
      </c>
      <c r="Q416" s="130">
        <v>17</v>
      </c>
      <c r="R416" s="129" t="s">
        <v>190</v>
      </c>
      <c r="S416" s="129" t="s">
        <v>191</v>
      </c>
      <c r="T416" s="130">
        <v>168</v>
      </c>
      <c r="U416" s="129" t="s">
        <v>1569</v>
      </c>
      <c r="V416" s="129" t="s">
        <v>1570</v>
      </c>
      <c r="W416" s="130">
        <v>1</v>
      </c>
      <c r="X416" s="130">
        <v>2</v>
      </c>
      <c r="Y416" s="129" t="s">
        <v>194</v>
      </c>
      <c r="Z416" s="129" t="s">
        <v>195</v>
      </c>
      <c r="AA416" s="129" t="s">
        <v>196</v>
      </c>
      <c r="AB416" s="129" t="s">
        <v>209</v>
      </c>
      <c r="AC416" s="129" t="s">
        <v>187</v>
      </c>
      <c r="AD416" s="131"/>
      <c r="AE416" s="129" t="s">
        <v>209</v>
      </c>
      <c r="AF416" s="130">
        <v>17.2453100002563</v>
      </c>
      <c r="AG416" s="132">
        <v>120.718160000084</v>
      </c>
      <c r="AM416" s="133" t="str" cm="1">
        <f t="array" ref="AM416">IF(ROWS($AN$2:$AN415)&lt;=$AN$2,INDEX($V$3:$V$3000,_xlfn.AGGREGATE(15,3,($B$3:$B$3000=$AM$2)/($B$3:$B$3000=$AM$2)*(ROW($B$3:$B$3000)-ROW($B$2)),ROWS($AN$2:$AN415))),"")</f>
        <v/>
      </c>
      <c r="AN416" s="134" t="str" cm="1">
        <f t="array" ref="AN416">IF(ROWS($AN$2:$AN415)&lt;=$AN$2,INDEX($F$3:$F$3000,_xlfn.AGGREGATE(15,3,($B$3:$B$3000=$AM$2)/($B$3:$B$3000=$AM$2)*(ROW($B$3:$B$3000)-ROW($B$2)),ROWS($AN$2:$AN415))),"")</f>
        <v/>
      </c>
      <c r="AO416" s="135" t="str" cm="1">
        <f t="array" ref="AO416">IF(ROWS($AN$2:$AN415)&lt;=$AN$2,INDEX($G$3:$G$3000,_xlfn.AGGREGATE(15,3,($B$3:$B$3000=$AM$2)/($B$3:$B$3000=$AM$2)*(ROW($B$3:$B$3000)-ROW($B$2)),ROWS($AN$2:$AN415))),"")</f>
        <v/>
      </c>
      <c r="AP416" s="121"/>
      <c r="AT416" s="111"/>
      <c r="AW416" s="134"/>
      <c r="AX416" s="136"/>
      <c r="AY416" s="134"/>
    </row>
    <row r="417" spans="1:51" s="110" customFormat="1" ht="20" customHeight="1">
      <c r="A417" s="125" t="s">
        <v>239</v>
      </c>
      <c r="B417" s="126" t="s">
        <v>67</v>
      </c>
      <c r="C417" s="127">
        <v>11047</v>
      </c>
      <c r="D417" s="128">
        <v>101809</v>
      </c>
      <c r="E417" s="129" t="s">
        <v>3998</v>
      </c>
      <c r="F417" s="129" t="s">
        <v>3998</v>
      </c>
      <c r="G417" s="130">
        <v>18000</v>
      </c>
      <c r="H417" s="130">
        <v>5</v>
      </c>
      <c r="I417" s="129" t="s">
        <v>209</v>
      </c>
      <c r="J417" s="129" t="s">
        <v>3999</v>
      </c>
      <c r="K417" s="129" t="s">
        <v>3998</v>
      </c>
      <c r="L417" s="130">
        <v>4</v>
      </c>
      <c r="M417" s="130">
        <v>1</v>
      </c>
      <c r="N417" s="129" t="s">
        <v>1544</v>
      </c>
      <c r="O417" s="130">
        <v>60</v>
      </c>
      <c r="P417" s="130">
        <v>16</v>
      </c>
      <c r="Q417" s="130">
        <v>17</v>
      </c>
      <c r="R417" s="129" t="s">
        <v>190</v>
      </c>
      <c r="S417" s="129" t="s">
        <v>191</v>
      </c>
      <c r="T417" s="130">
        <v>168</v>
      </c>
      <c r="U417" s="129" t="s">
        <v>1569</v>
      </c>
      <c r="V417" s="129" t="s">
        <v>1570</v>
      </c>
      <c r="W417" s="130">
        <v>1</v>
      </c>
      <c r="X417" s="130">
        <v>2</v>
      </c>
      <c r="Y417" s="129" t="s">
        <v>194</v>
      </c>
      <c r="Z417" s="129" t="s">
        <v>195</v>
      </c>
      <c r="AA417" s="129" t="s">
        <v>196</v>
      </c>
      <c r="AB417" s="129" t="s">
        <v>209</v>
      </c>
      <c r="AC417" s="129" t="s">
        <v>187</v>
      </c>
      <c r="AD417" s="131"/>
      <c r="AE417" s="129" t="s">
        <v>209</v>
      </c>
      <c r="AF417" s="130">
        <v>17.223940000430702</v>
      </c>
      <c r="AG417" s="132">
        <v>121.09113000014899</v>
      </c>
      <c r="AM417" s="133" t="str" cm="1">
        <f t="array" ref="AM417">IF(ROWS($AN$2:$AN416)&lt;=$AN$2,INDEX($V$3:$V$3000,_xlfn.AGGREGATE(15,3,($B$3:$B$3000=$AM$2)/($B$3:$B$3000=$AM$2)*(ROW($B$3:$B$3000)-ROW($B$2)),ROWS($AN$2:$AN416))),"")</f>
        <v/>
      </c>
      <c r="AN417" s="134" t="str" cm="1">
        <f t="array" ref="AN417">IF(ROWS($AN$2:$AN416)&lt;=$AN$2,INDEX($F$3:$F$3000,_xlfn.AGGREGATE(15,3,($B$3:$B$3000=$AM$2)/($B$3:$B$3000=$AM$2)*(ROW($B$3:$B$3000)-ROW($B$2)),ROWS($AN$2:$AN416))),"")</f>
        <v/>
      </c>
      <c r="AO417" s="135" t="str" cm="1">
        <f t="array" ref="AO417">IF(ROWS($AN$2:$AN416)&lt;=$AN$2,INDEX($G$3:$G$3000,_xlfn.AGGREGATE(15,3,($B$3:$B$3000=$AM$2)/($B$3:$B$3000=$AM$2)*(ROW($B$3:$B$3000)-ROW($B$2)),ROWS($AN$2:$AN416))),"")</f>
        <v/>
      </c>
      <c r="AP417" s="121"/>
      <c r="AT417" s="111"/>
      <c r="AW417" s="134"/>
      <c r="AX417" s="136"/>
      <c r="AY417" s="134"/>
    </row>
    <row r="418" spans="1:51" s="110" customFormat="1" ht="20" customHeight="1">
      <c r="A418" s="125" t="s">
        <v>239</v>
      </c>
      <c r="B418" s="126" t="s">
        <v>67</v>
      </c>
      <c r="C418" s="127">
        <v>19570</v>
      </c>
      <c r="D418" s="128">
        <v>115477</v>
      </c>
      <c r="E418" s="129" t="s">
        <v>3931</v>
      </c>
      <c r="F418" s="129" t="s">
        <v>3931</v>
      </c>
      <c r="G418" s="130">
        <v>16000</v>
      </c>
      <c r="H418" s="130">
        <v>5</v>
      </c>
      <c r="I418" s="129" t="s">
        <v>209</v>
      </c>
      <c r="J418" s="129" t="s">
        <v>3932</v>
      </c>
      <c r="K418" s="129" t="s">
        <v>3931</v>
      </c>
      <c r="L418" s="130">
        <v>0</v>
      </c>
      <c r="M418" s="130">
        <v>1</v>
      </c>
      <c r="N418" s="129" t="s">
        <v>1544</v>
      </c>
      <c r="O418" s="130">
        <v>80</v>
      </c>
      <c r="P418" s="130">
        <v>12</v>
      </c>
      <c r="Q418" s="130">
        <v>17</v>
      </c>
      <c r="R418" s="129" t="s">
        <v>190</v>
      </c>
      <c r="S418" s="129" t="s">
        <v>191</v>
      </c>
      <c r="T418" s="130">
        <v>168</v>
      </c>
      <c r="U418" s="129" t="s">
        <v>1569</v>
      </c>
      <c r="V418" s="129" t="s">
        <v>1570</v>
      </c>
      <c r="W418" s="130">
        <v>1</v>
      </c>
      <c r="X418" s="130">
        <v>2</v>
      </c>
      <c r="Y418" s="129" t="s">
        <v>194</v>
      </c>
      <c r="Z418" s="129" t="s">
        <v>195</v>
      </c>
      <c r="AA418" s="129" t="s">
        <v>196</v>
      </c>
      <c r="AB418" s="129" t="s">
        <v>209</v>
      </c>
      <c r="AC418" s="129" t="s">
        <v>187</v>
      </c>
      <c r="AD418" s="131"/>
      <c r="AE418" s="129" t="s">
        <v>209</v>
      </c>
      <c r="AF418" s="130">
        <v>17.42381</v>
      </c>
      <c r="AG418" s="132">
        <v>120.70055000000001</v>
      </c>
      <c r="AM418" s="133" t="str" cm="1">
        <f t="array" ref="AM418">IF(ROWS($AN$2:$AN417)&lt;=$AN$2,INDEX($V$3:$V$3000,_xlfn.AGGREGATE(15,3,($B$3:$B$3000=$AM$2)/($B$3:$B$3000=$AM$2)*(ROW($B$3:$B$3000)-ROW($B$2)),ROWS($AN$2:$AN417))),"")</f>
        <v/>
      </c>
      <c r="AN418" s="134" t="str" cm="1">
        <f t="array" ref="AN418">IF(ROWS($AN$2:$AN417)&lt;=$AN$2,INDEX($F$3:$F$3000,_xlfn.AGGREGATE(15,3,($B$3:$B$3000=$AM$2)/($B$3:$B$3000=$AM$2)*(ROW($B$3:$B$3000)-ROW($B$2)),ROWS($AN$2:$AN417))),"")</f>
        <v/>
      </c>
      <c r="AO418" s="135" t="str" cm="1">
        <f t="array" ref="AO418">IF(ROWS($AN$2:$AN417)&lt;=$AN$2,INDEX($G$3:$G$3000,_xlfn.AGGREGATE(15,3,($B$3:$B$3000=$AM$2)/($B$3:$B$3000=$AM$2)*(ROW($B$3:$B$3000)-ROW($B$2)),ROWS($AN$2:$AN417))),"")</f>
        <v/>
      </c>
      <c r="AP418" s="121"/>
      <c r="AT418" s="111"/>
      <c r="AW418" s="134"/>
      <c r="AX418" s="136"/>
      <c r="AY418" s="134"/>
    </row>
    <row r="419" spans="1:51" s="110" customFormat="1" ht="20" customHeight="1">
      <c r="A419" s="125" t="s">
        <v>239</v>
      </c>
      <c r="B419" s="126" t="s">
        <v>67</v>
      </c>
      <c r="C419" s="127">
        <v>15384</v>
      </c>
      <c r="D419" s="128">
        <v>110805</v>
      </c>
      <c r="E419" s="129" t="s">
        <v>3604</v>
      </c>
      <c r="F419" s="129" t="s">
        <v>3604</v>
      </c>
      <c r="G419" s="130">
        <v>9700</v>
      </c>
      <c r="H419" s="130">
        <v>5</v>
      </c>
      <c r="I419" s="129" t="s">
        <v>209</v>
      </c>
      <c r="J419" s="129" t="s">
        <v>3605</v>
      </c>
      <c r="K419" s="129" t="s">
        <v>3606</v>
      </c>
      <c r="L419" s="130">
        <v>4</v>
      </c>
      <c r="M419" s="130">
        <v>1</v>
      </c>
      <c r="N419" s="129" t="s">
        <v>1544</v>
      </c>
      <c r="O419" s="130">
        <v>85</v>
      </c>
      <c r="P419" s="130">
        <v>15</v>
      </c>
      <c r="Q419" s="130">
        <v>17</v>
      </c>
      <c r="R419" s="129" t="s">
        <v>190</v>
      </c>
      <c r="S419" s="129" t="s">
        <v>191</v>
      </c>
      <c r="T419" s="130">
        <v>168</v>
      </c>
      <c r="U419" s="129" t="s">
        <v>1569</v>
      </c>
      <c r="V419" s="129" t="s">
        <v>1570</v>
      </c>
      <c r="W419" s="130">
        <v>1</v>
      </c>
      <c r="X419" s="130">
        <v>2</v>
      </c>
      <c r="Y419" s="129" t="s">
        <v>194</v>
      </c>
      <c r="Z419" s="129" t="s">
        <v>195</v>
      </c>
      <c r="AA419" s="129" t="s">
        <v>196</v>
      </c>
      <c r="AB419" s="129" t="s">
        <v>209</v>
      </c>
      <c r="AC419" s="129" t="s">
        <v>187</v>
      </c>
      <c r="AD419" s="131"/>
      <c r="AE419" s="129" t="s">
        <v>209</v>
      </c>
      <c r="AF419" s="130">
        <v>12.8226900001434</v>
      </c>
      <c r="AG419" s="132">
        <v>121.025969999916</v>
      </c>
      <c r="AM419" s="133" t="str" cm="1">
        <f t="array" ref="AM419">IF(ROWS($AN$2:$AN418)&lt;=$AN$2,INDEX($V$3:$V$3000,_xlfn.AGGREGATE(15,3,($B$3:$B$3000=$AM$2)/($B$3:$B$3000=$AM$2)*(ROW($B$3:$B$3000)-ROW($B$2)),ROWS($AN$2:$AN418))),"")</f>
        <v/>
      </c>
      <c r="AN419" s="134" t="str" cm="1">
        <f t="array" ref="AN419">IF(ROWS($AN$2:$AN418)&lt;=$AN$2,INDEX($F$3:$F$3000,_xlfn.AGGREGATE(15,3,($B$3:$B$3000=$AM$2)/($B$3:$B$3000=$AM$2)*(ROW($B$3:$B$3000)-ROW($B$2)),ROWS($AN$2:$AN418))),"")</f>
        <v/>
      </c>
      <c r="AO419" s="135" t="str" cm="1">
        <f t="array" ref="AO419">IF(ROWS($AN$2:$AN418)&lt;=$AN$2,INDEX($G$3:$G$3000,_xlfn.AGGREGATE(15,3,($B$3:$B$3000=$AM$2)/($B$3:$B$3000=$AM$2)*(ROW($B$3:$B$3000)-ROW($B$2)),ROWS($AN$2:$AN418))),"")</f>
        <v/>
      </c>
      <c r="AP419" s="121"/>
      <c r="AT419" s="111"/>
      <c r="AW419" s="134"/>
      <c r="AX419" s="136"/>
      <c r="AY419" s="134"/>
    </row>
    <row r="420" spans="1:51" s="110" customFormat="1" ht="20" customHeight="1">
      <c r="A420" s="125" t="s">
        <v>239</v>
      </c>
      <c r="B420" s="126" t="s">
        <v>67</v>
      </c>
      <c r="C420" s="127">
        <v>21070</v>
      </c>
      <c r="D420" s="128">
        <v>117900</v>
      </c>
      <c r="E420" s="129" t="s">
        <v>2940</v>
      </c>
      <c r="F420" s="129" t="s">
        <v>2940</v>
      </c>
      <c r="G420" s="130">
        <v>3300</v>
      </c>
      <c r="H420" s="130">
        <v>5</v>
      </c>
      <c r="I420" s="129" t="s">
        <v>209</v>
      </c>
      <c r="J420" s="129" t="s">
        <v>2941</v>
      </c>
      <c r="K420" s="129" t="s">
        <v>2942</v>
      </c>
      <c r="L420" s="130">
        <v>5</v>
      </c>
      <c r="M420" s="130">
        <v>1</v>
      </c>
      <c r="N420" s="129" t="s">
        <v>1544</v>
      </c>
      <c r="O420" s="130">
        <v>75</v>
      </c>
      <c r="P420" s="130">
        <v>11</v>
      </c>
      <c r="Q420" s="130">
        <v>17</v>
      </c>
      <c r="R420" s="129" t="s">
        <v>190</v>
      </c>
      <c r="S420" s="129" t="s">
        <v>191</v>
      </c>
      <c r="T420" s="130">
        <v>168</v>
      </c>
      <c r="U420" s="129" t="s">
        <v>1569</v>
      </c>
      <c r="V420" s="129" t="s">
        <v>1570</v>
      </c>
      <c r="W420" s="130">
        <v>1</v>
      </c>
      <c r="X420" s="130">
        <v>2</v>
      </c>
      <c r="Y420" s="129" t="s">
        <v>194</v>
      </c>
      <c r="Z420" s="129" t="s">
        <v>195</v>
      </c>
      <c r="AA420" s="129" t="s">
        <v>196</v>
      </c>
      <c r="AB420" s="129" t="s">
        <v>209</v>
      </c>
      <c r="AC420" s="129" t="s">
        <v>187</v>
      </c>
      <c r="AD420" s="131"/>
      <c r="AE420" s="129" t="s">
        <v>209</v>
      </c>
      <c r="AF420" s="130">
        <v>9.8994269999999993</v>
      </c>
      <c r="AG420" s="132">
        <v>124.43804299999999</v>
      </c>
      <c r="AM420" s="133" t="str" cm="1">
        <f t="array" ref="AM420">IF(ROWS($AN$2:$AN419)&lt;=$AN$2,INDEX($V$3:$V$3000,_xlfn.AGGREGATE(15,3,($B$3:$B$3000=$AM$2)/($B$3:$B$3000=$AM$2)*(ROW($B$3:$B$3000)-ROW($B$2)),ROWS($AN$2:$AN419))),"")</f>
        <v/>
      </c>
      <c r="AN420" s="134" t="str" cm="1">
        <f t="array" ref="AN420">IF(ROWS($AN$2:$AN419)&lt;=$AN$2,INDEX($F$3:$F$3000,_xlfn.AGGREGATE(15,3,($B$3:$B$3000=$AM$2)/($B$3:$B$3000=$AM$2)*(ROW($B$3:$B$3000)-ROW($B$2)),ROWS($AN$2:$AN419))),"")</f>
        <v/>
      </c>
      <c r="AO420" s="135" t="str" cm="1">
        <f t="array" ref="AO420">IF(ROWS($AN$2:$AN419)&lt;=$AN$2,INDEX($G$3:$G$3000,_xlfn.AGGREGATE(15,3,($B$3:$B$3000=$AM$2)/($B$3:$B$3000=$AM$2)*(ROW($B$3:$B$3000)-ROW($B$2)),ROWS($AN$2:$AN419))),"")</f>
        <v/>
      </c>
      <c r="AP420" s="121"/>
      <c r="AT420" s="111"/>
      <c r="AW420" s="134"/>
      <c r="AX420" s="136"/>
      <c r="AY420" s="134"/>
    </row>
    <row r="421" spans="1:51" s="110" customFormat="1" ht="20" customHeight="1">
      <c r="A421" s="125" t="s">
        <v>239</v>
      </c>
      <c r="B421" s="126" t="s">
        <v>67</v>
      </c>
      <c r="C421" s="127">
        <v>10245</v>
      </c>
      <c r="D421" s="128">
        <v>100214</v>
      </c>
      <c r="E421" s="129" t="s">
        <v>2868</v>
      </c>
      <c r="F421" s="129" t="s">
        <v>2868</v>
      </c>
      <c r="G421" s="130">
        <v>2900</v>
      </c>
      <c r="H421" s="130">
        <v>5</v>
      </c>
      <c r="I421" s="129" t="s">
        <v>209</v>
      </c>
      <c r="J421" s="129" t="s">
        <v>2869</v>
      </c>
      <c r="K421" s="129" t="s">
        <v>2868</v>
      </c>
      <c r="L421" s="130">
        <v>4</v>
      </c>
      <c r="M421" s="130">
        <v>1</v>
      </c>
      <c r="N421" s="129" t="s">
        <v>1544</v>
      </c>
      <c r="O421" s="130">
        <v>70</v>
      </c>
      <c r="P421" s="130">
        <v>15</v>
      </c>
      <c r="Q421" s="130">
        <v>17</v>
      </c>
      <c r="R421" s="129" t="s">
        <v>190</v>
      </c>
      <c r="S421" s="129" t="s">
        <v>191</v>
      </c>
      <c r="T421" s="130">
        <v>168</v>
      </c>
      <c r="U421" s="129" t="s">
        <v>1569</v>
      </c>
      <c r="V421" s="129" t="s">
        <v>1570</v>
      </c>
      <c r="W421" s="130">
        <v>1</v>
      </c>
      <c r="X421" s="130">
        <v>2</v>
      </c>
      <c r="Y421" s="129" t="s">
        <v>194</v>
      </c>
      <c r="Z421" s="129" t="s">
        <v>195</v>
      </c>
      <c r="AA421" s="129" t="s">
        <v>196</v>
      </c>
      <c r="AB421" s="129" t="s">
        <v>209</v>
      </c>
      <c r="AC421" s="129" t="s">
        <v>187</v>
      </c>
      <c r="AD421" s="131"/>
      <c r="AE421" s="129" t="s">
        <v>209</v>
      </c>
      <c r="AF421" s="130">
        <v>13.098210000191299</v>
      </c>
      <c r="AG421" s="132">
        <v>121.02196999981599</v>
      </c>
      <c r="AM421" s="133" t="str" cm="1">
        <f t="array" ref="AM421">IF(ROWS($AN$2:$AN420)&lt;=$AN$2,INDEX($V$3:$V$3000,_xlfn.AGGREGATE(15,3,($B$3:$B$3000=$AM$2)/($B$3:$B$3000=$AM$2)*(ROW($B$3:$B$3000)-ROW($B$2)),ROWS($AN$2:$AN420))),"")</f>
        <v/>
      </c>
      <c r="AN421" s="134" t="str" cm="1">
        <f t="array" ref="AN421">IF(ROWS($AN$2:$AN420)&lt;=$AN$2,INDEX($F$3:$F$3000,_xlfn.AGGREGATE(15,3,($B$3:$B$3000=$AM$2)/($B$3:$B$3000=$AM$2)*(ROW($B$3:$B$3000)-ROW($B$2)),ROWS($AN$2:$AN420))),"")</f>
        <v/>
      </c>
      <c r="AO421" s="135" t="str" cm="1">
        <f t="array" ref="AO421">IF(ROWS($AN$2:$AN420)&lt;=$AN$2,INDEX($G$3:$G$3000,_xlfn.AGGREGATE(15,3,($B$3:$B$3000=$AM$2)/($B$3:$B$3000=$AM$2)*(ROW($B$3:$B$3000)-ROW($B$2)),ROWS($AN$2:$AN420))),"")</f>
        <v/>
      </c>
      <c r="AP421" s="121"/>
      <c r="AT421" s="111"/>
      <c r="AW421" s="134"/>
      <c r="AX421" s="136"/>
      <c r="AY421" s="134"/>
    </row>
    <row r="422" spans="1:51" s="110" customFormat="1" ht="20" customHeight="1">
      <c r="A422" s="125" t="s">
        <v>239</v>
      </c>
      <c r="B422" s="126" t="s">
        <v>67</v>
      </c>
      <c r="C422" s="127">
        <v>10545</v>
      </c>
      <c r="D422" s="128">
        <v>100701</v>
      </c>
      <c r="E422" s="129" t="s">
        <v>2629</v>
      </c>
      <c r="F422" s="129" t="s">
        <v>2629</v>
      </c>
      <c r="G422" s="130">
        <v>1700</v>
      </c>
      <c r="H422" s="130">
        <v>5</v>
      </c>
      <c r="I422" s="129" t="s">
        <v>209</v>
      </c>
      <c r="J422" s="129" t="s">
        <v>2630</v>
      </c>
      <c r="K422" s="129" t="s">
        <v>2631</v>
      </c>
      <c r="L422" s="130">
        <v>4</v>
      </c>
      <c r="M422" s="130">
        <v>1</v>
      </c>
      <c r="N422" s="129" t="s">
        <v>1544</v>
      </c>
      <c r="O422" s="130">
        <v>90</v>
      </c>
      <c r="P422" s="130">
        <v>18</v>
      </c>
      <c r="Q422" s="130">
        <v>17</v>
      </c>
      <c r="R422" s="129" t="s">
        <v>190</v>
      </c>
      <c r="S422" s="129" t="s">
        <v>191</v>
      </c>
      <c r="T422" s="130">
        <v>168</v>
      </c>
      <c r="U422" s="129" t="s">
        <v>1569</v>
      </c>
      <c r="V422" s="129" t="s">
        <v>1570</v>
      </c>
      <c r="W422" s="130">
        <v>1</v>
      </c>
      <c r="X422" s="130">
        <v>2</v>
      </c>
      <c r="Y422" s="129" t="s">
        <v>194</v>
      </c>
      <c r="Z422" s="129" t="s">
        <v>195</v>
      </c>
      <c r="AA422" s="129" t="s">
        <v>196</v>
      </c>
      <c r="AB422" s="129" t="s">
        <v>209</v>
      </c>
      <c r="AC422" s="129" t="s">
        <v>187</v>
      </c>
      <c r="AD422" s="131"/>
      <c r="AE422" s="129" t="s">
        <v>209</v>
      </c>
      <c r="AF422" s="130">
        <v>18.966519999999999</v>
      </c>
      <c r="AG422" s="132">
        <v>121.92634</v>
      </c>
      <c r="AM422" s="133" t="str" cm="1">
        <f t="array" ref="AM422">IF(ROWS($AN$2:$AN421)&lt;=$AN$2,INDEX($V$3:$V$3000,_xlfn.AGGREGATE(15,3,($B$3:$B$3000=$AM$2)/($B$3:$B$3000=$AM$2)*(ROW($B$3:$B$3000)-ROW($B$2)),ROWS($AN$2:$AN421))),"")</f>
        <v/>
      </c>
      <c r="AN422" s="134" t="str" cm="1">
        <f t="array" ref="AN422">IF(ROWS($AN$2:$AN421)&lt;=$AN$2,INDEX($F$3:$F$3000,_xlfn.AGGREGATE(15,3,($B$3:$B$3000=$AM$2)/($B$3:$B$3000=$AM$2)*(ROW($B$3:$B$3000)-ROW($B$2)),ROWS($AN$2:$AN421))),"")</f>
        <v/>
      </c>
      <c r="AO422" s="135" t="str" cm="1">
        <f t="array" ref="AO422">IF(ROWS($AN$2:$AN421)&lt;=$AN$2,INDEX($G$3:$G$3000,_xlfn.AGGREGATE(15,3,($B$3:$B$3000=$AM$2)/($B$3:$B$3000=$AM$2)*(ROW($B$3:$B$3000)-ROW($B$2)),ROWS($AN$2:$AN421))),"")</f>
        <v/>
      </c>
      <c r="AP422" s="121"/>
      <c r="AT422" s="111"/>
      <c r="AW422" s="134"/>
      <c r="AX422" s="136"/>
      <c r="AY422" s="134"/>
    </row>
    <row r="423" spans="1:51" s="110" customFormat="1" ht="20" customHeight="1">
      <c r="A423" s="125" t="s">
        <v>239</v>
      </c>
      <c r="B423" s="126" t="s">
        <v>67</v>
      </c>
      <c r="C423" s="127">
        <v>19156</v>
      </c>
      <c r="D423" s="128">
        <v>115234</v>
      </c>
      <c r="E423" s="129" t="s">
        <v>2532</v>
      </c>
      <c r="F423" s="129" t="s">
        <v>2532</v>
      </c>
      <c r="G423" s="130">
        <v>1500</v>
      </c>
      <c r="H423" s="130">
        <v>5</v>
      </c>
      <c r="I423" s="129" t="s">
        <v>209</v>
      </c>
      <c r="J423" s="129" t="s">
        <v>2533</v>
      </c>
      <c r="K423" s="129" t="s">
        <v>2534</v>
      </c>
      <c r="L423" s="130">
        <v>4</v>
      </c>
      <c r="M423" s="130">
        <v>1</v>
      </c>
      <c r="N423" s="129" t="s">
        <v>1544</v>
      </c>
      <c r="O423" s="130">
        <v>85</v>
      </c>
      <c r="P423" s="130">
        <v>15</v>
      </c>
      <c r="Q423" s="130">
        <v>17</v>
      </c>
      <c r="R423" s="129" t="s">
        <v>190</v>
      </c>
      <c r="S423" s="129" t="s">
        <v>191</v>
      </c>
      <c r="T423" s="130">
        <v>168</v>
      </c>
      <c r="U423" s="129" t="s">
        <v>1569</v>
      </c>
      <c r="V423" s="129" t="s">
        <v>1570</v>
      </c>
      <c r="W423" s="130">
        <v>1</v>
      </c>
      <c r="X423" s="130">
        <v>2</v>
      </c>
      <c r="Y423" s="129" t="s">
        <v>194</v>
      </c>
      <c r="Z423" s="129" t="s">
        <v>195</v>
      </c>
      <c r="AA423" s="129" t="s">
        <v>196</v>
      </c>
      <c r="AB423" s="129" t="s">
        <v>209</v>
      </c>
      <c r="AC423" s="129" t="s">
        <v>187</v>
      </c>
      <c r="AD423" s="131"/>
      <c r="AE423" s="129" t="s">
        <v>209</v>
      </c>
      <c r="AF423" s="130">
        <v>12.896809999881601</v>
      </c>
      <c r="AG423" s="132">
        <v>121.176519999798</v>
      </c>
      <c r="AM423" s="133" t="str" cm="1">
        <f t="array" ref="AM423">IF(ROWS($AN$2:$AN422)&lt;=$AN$2,INDEX($V$3:$V$3000,_xlfn.AGGREGATE(15,3,($B$3:$B$3000=$AM$2)/($B$3:$B$3000=$AM$2)*(ROW($B$3:$B$3000)-ROW($B$2)),ROWS($AN$2:$AN422))),"")</f>
        <v/>
      </c>
      <c r="AN423" s="134" t="str" cm="1">
        <f t="array" ref="AN423">IF(ROWS($AN$2:$AN422)&lt;=$AN$2,INDEX($F$3:$F$3000,_xlfn.AGGREGATE(15,3,($B$3:$B$3000=$AM$2)/($B$3:$B$3000=$AM$2)*(ROW($B$3:$B$3000)-ROW($B$2)),ROWS($AN$2:$AN422))),"")</f>
        <v/>
      </c>
      <c r="AO423" s="135" t="str" cm="1">
        <f t="array" ref="AO423">IF(ROWS($AN$2:$AN422)&lt;=$AN$2,INDEX($G$3:$G$3000,_xlfn.AGGREGATE(15,3,($B$3:$B$3000=$AM$2)/($B$3:$B$3000=$AM$2)*(ROW($B$3:$B$3000)-ROW($B$2)),ROWS($AN$2:$AN422))),"")</f>
        <v/>
      </c>
      <c r="AP423" s="121"/>
      <c r="AT423" s="111"/>
      <c r="AW423" s="134"/>
      <c r="AX423" s="136"/>
      <c r="AY423" s="134"/>
    </row>
    <row r="424" spans="1:51" s="110" customFormat="1" ht="20" customHeight="1">
      <c r="A424" s="125" t="s">
        <v>185</v>
      </c>
      <c r="B424" s="126" t="s">
        <v>59</v>
      </c>
      <c r="C424" s="127">
        <v>13504</v>
      </c>
      <c r="D424" s="151">
        <v>106256</v>
      </c>
      <c r="E424" s="152" t="s">
        <v>4839</v>
      </c>
      <c r="F424" s="152" t="s">
        <v>4839</v>
      </c>
      <c r="G424" s="153">
        <v>766000</v>
      </c>
      <c r="H424" s="153">
        <v>3</v>
      </c>
      <c r="I424" s="152" t="s">
        <v>209</v>
      </c>
      <c r="J424" s="152" t="s">
        <v>4840</v>
      </c>
      <c r="K424" s="152" t="s">
        <v>4839</v>
      </c>
      <c r="L424" s="153">
        <v>4</v>
      </c>
      <c r="M424" s="153">
        <v>1</v>
      </c>
      <c r="N424" s="152" t="s">
        <v>1544</v>
      </c>
      <c r="O424" s="153">
        <v>60</v>
      </c>
      <c r="P424" s="153">
        <v>2</v>
      </c>
      <c r="Q424" s="153">
        <v>17</v>
      </c>
      <c r="R424" s="152" t="s">
        <v>190</v>
      </c>
      <c r="S424" s="152" t="s">
        <v>191</v>
      </c>
      <c r="T424" s="153">
        <v>171</v>
      </c>
      <c r="U424" s="152" t="s">
        <v>251</v>
      </c>
      <c r="V424" s="152" t="s">
        <v>252</v>
      </c>
      <c r="W424" s="153">
        <v>1</v>
      </c>
      <c r="X424" s="153">
        <v>2</v>
      </c>
      <c r="Y424" s="152" t="s">
        <v>194</v>
      </c>
      <c r="Z424" s="152" t="s">
        <v>195</v>
      </c>
      <c r="AA424" s="152" t="s">
        <v>196</v>
      </c>
      <c r="AB424" s="152" t="s">
        <v>187</v>
      </c>
      <c r="AC424" s="152" t="s">
        <v>187</v>
      </c>
      <c r="AD424" s="154"/>
      <c r="AE424" s="152" t="s">
        <v>209</v>
      </c>
      <c r="AF424" s="153">
        <v>-8.5616599999999998</v>
      </c>
      <c r="AG424" s="155">
        <v>120.34209</v>
      </c>
      <c r="AM424" s="133" t="str" cm="1">
        <f t="array" ref="AM424">IF(ROWS($AN$2:$AN423)&lt;=$AN$2,INDEX($V$3:$V$3000,_xlfn.AGGREGATE(15,3,($B$3:$B$3000=$AM$2)/($B$3:$B$3000=$AM$2)*(ROW($B$3:$B$3000)-ROW($B$2)),ROWS($AN$2:$AN423))),"")</f>
        <v/>
      </c>
      <c r="AN424" s="134" t="str" cm="1">
        <f t="array" ref="AN424">IF(ROWS($AN$2:$AN423)&lt;=$AN$2,INDEX($F$3:$F$3000,_xlfn.AGGREGATE(15,3,($B$3:$B$3000=$AM$2)/($B$3:$B$3000=$AM$2)*(ROW($B$3:$B$3000)-ROW($B$2)),ROWS($AN$2:$AN423))),"")</f>
        <v/>
      </c>
      <c r="AO424" s="135" t="str" cm="1">
        <f t="array" ref="AO424">IF(ROWS($AN$2:$AN423)&lt;=$AN$2,INDEX($G$3:$G$3000,_xlfn.AGGREGATE(15,3,($B$3:$B$3000=$AM$2)/($B$3:$B$3000=$AM$2)*(ROW($B$3:$B$3000)-ROW($B$2)),ROWS($AN$2:$AN423))),"")</f>
        <v/>
      </c>
      <c r="AP424" s="121"/>
      <c r="AT424" s="111"/>
      <c r="AW424" s="134"/>
      <c r="AX424" s="136"/>
      <c r="AY424" s="134"/>
    </row>
    <row r="425" spans="1:51" s="110" customFormat="1" ht="20" customHeight="1">
      <c r="A425" s="125" t="s">
        <v>185</v>
      </c>
      <c r="B425" s="126" t="s">
        <v>59</v>
      </c>
      <c r="C425" s="127">
        <v>18967</v>
      </c>
      <c r="D425" s="151">
        <v>115416</v>
      </c>
      <c r="E425" s="152" t="s">
        <v>3114</v>
      </c>
      <c r="F425" s="152" t="s">
        <v>3114</v>
      </c>
      <c r="G425" s="153">
        <v>4600</v>
      </c>
      <c r="H425" s="153">
        <v>3</v>
      </c>
      <c r="I425" s="152" t="s">
        <v>209</v>
      </c>
      <c r="J425" s="152" t="s">
        <v>3115</v>
      </c>
      <c r="K425" s="152" t="s">
        <v>3114</v>
      </c>
      <c r="L425" s="153">
        <v>1</v>
      </c>
      <c r="M425" s="153">
        <v>1</v>
      </c>
      <c r="N425" s="152" t="s">
        <v>1544</v>
      </c>
      <c r="O425" s="153">
        <v>60</v>
      </c>
      <c r="P425" s="153">
        <v>0.4</v>
      </c>
      <c r="Q425" s="153">
        <v>17</v>
      </c>
      <c r="R425" s="152" t="s">
        <v>190</v>
      </c>
      <c r="S425" s="152" t="s">
        <v>191</v>
      </c>
      <c r="T425" s="153">
        <v>171</v>
      </c>
      <c r="U425" s="152" t="s">
        <v>251</v>
      </c>
      <c r="V425" s="152" t="s">
        <v>252</v>
      </c>
      <c r="W425" s="153">
        <v>1</v>
      </c>
      <c r="X425" s="153">
        <v>2</v>
      </c>
      <c r="Y425" s="152" t="s">
        <v>194</v>
      </c>
      <c r="Z425" s="152" t="s">
        <v>195</v>
      </c>
      <c r="AA425" s="152" t="s">
        <v>196</v>
      </c>
      <c r="AB425" s="152" t="s">
        <v>187</v>
      </c>
      <c r="AC425" s="152" t="s">
        <v>187</v>
      </c>
      <c r="AD425" s="154"/>
      <c r="AE425" s="152" t="s">
        <v>209</v>
      </c>
      <c r="AF425" s="153">
        <v>-8.3974499999999992</v>
      </c>
      <c r="AG425" s="155">
        <v>123.58098</v>
      </c>
      <c r="AM425" s="133" t="str" cm="1">
        <f t="array" ref="AM425">IF(ROWS($AN$2:$AN424)&lt;=$AN$2,INDEX($V$3:$V$3000,_xlfn.AGGREGATE(15,3,($B$3:$B$3000=$AM$2)/($B$3:$B$3000=$AM$2)*(ROW($B$3:$B$3000)-ROW($B$2)),ROWS($AN$2:$AN424))),"")</f>
        <v/>
      </c>
      <c r="AN425" s="134" t="str" cm="1">
        <f t="array" ref="AN425">IF(ROWS($AN$2:$AN424)&lt;=$AN$2,INDEX($F$3:$F$3000,_xlfn.AGGREGATE(15,3,($B$3:$B$3000=$AM$2)/($B$3:$B$3000=$AM$2)*(ROW($B$3:$B$3000)-ROW($B$2)),ROWS($AN$2:$AN424))),"")</f>
        <v/>
      </c>
      <c r="AO425" s="135" t="str" cm="1">
        <f t="array" ref="AO425">IF(ROWS($AN$2:$AN424)&lt;=$AN$2,INDEX($G$3:$G$3000,_xlfn.AGGREGATE(15,3,($B$3:$B$3000=$AM$2)/($B$3:$B$3000=$AM$2)*(ROW($B$3:$B$3000)-ROW($B$2)),ROWS($AN$2:$AN424))),"")</f>
        <v/>
      </c>
      <c r="AP425" s="121"/>
      <c r="AT425" s="111"/>
      <c r="AW425" s="134"/>
      <c r="AX425" s="136"/>
      <c r="AY425" s="134"/>
    </row>
    <row r="426" spans="1:51" s="110" customFormat="1" ht="20" customHeight="1">
      <c r="A426" s="125" t="s">
        <v>185</v>
      </c>
      <c r="B426" s="126" t="s">
        <v>59</v>
      </c>
      <c r="C426" s="127">
        <v>18969</v>
      </c>
      <c r="D426" s="151">
        <v>115419</v>
      </c>
      <c r="E426" s="152" t="s">
        <v>3116</v>
      </c>
      <c r="F426" s="152" t="s">
        <v>3116</v>
      </c>
      <c r="G426" s="153">
        <v>4600</v>
      </c>
      <c r="H426" s="153">
        <v>3</v>
      </c>
      <c r="I426" s="152" t="s">
        <v>209</v>
      </c>
      <c r="J426" s="152" t="s">
        <v>3117</v>
      </c>
      <c r="K426" s="152" t="s">
        <v>3116</v>
      </c>
      <c r="L426" s="153">
        <v>1</v>
      </c>
      <c r="M426" s="153">
        <v>1</v>
      </c>
      <c r="N426" s="152" t="s">
        <v>1544</v>
      </c>
      <c r="O426" s="153">
        <v>60</v>
      </c>
      <c r="P426" s="153">
        <v>0.8</v>
      </c>
      <c r="Q426" s="153">
        <v>17</v>
      </c>
      <c r="R426" s="152" t="s">
        <v>190</v>
      </c>
      <c r="S426" s="152" t="s">
        <v>191</v>
      </c>
      <c r="T426" s="153">
        <v>171</v>
      </c>
      <c r="U426" s="152" t="s">
        <v>251</v>
      </c>
      <c r="V426" s="152" t="s">
        <v>252</v>
      </c>
      <c r="W426" s="153">
        <v>1</v>
      </c>
      <c r="X426" s="153">
        <v>2</v>
      </c>
      <c r="Y426" s="152" t="s">
        <v>194</v>
      </c>
      <c r="Z426" s="152" t="s">
        <v>195</v>
      </c>
      <c r="AA426" s="152" t="s">
        <v>196</v>
      </c>
      <c r="AB426" s="152" t="s">
        <v>187</v>
      </c>
      <c r="AC426" s="152" t="s">
        <v>187</v>
      </c>
      <c r="AD426" s="154"/>
      <c r="AE426" s="152" t="s">
        <v>209</v>
      </c>
      <c r="AF426" s="153">
        <v>-8.4733900000000002</v>
      </c>
      <c r="AG426" s="155">
        <v>123.43289</v>
      </c>
      <c r="AM426" s="133" t="str" cm="1">
        <f t="array" ref="AM426">IF(ROWS($AN$2:$AN425)&lt;=$AN$2,INDEX($V$3:$V$3000,_xlfn.AGGREGATE(15,3,($B$3:$B$3000=$AM$2)/($B$3:$B$3000=$AM$2)*(ROW($B$3:$B$3000)-ROW($B$2)),ROWS($AN$2:$AN425))),"")</f>
        <v/>
      </c>
      <c r="AN426" s="134" t="str" cm="1">
        <f t="array" ref="AN426">IF(ROWS($AN$2:$AN425)&lt;=$AN$2,INDEX($F$3:$F$3000,_xlfn.AGGREGATE(15,3,($B$3:$B$3000=$AM$2)/($B$3:$B$3000=$AM$2)*(ROW($B$3:$B$3000)-ROW($B$2)),ROWS($AN$2:$AN425))),"")</f>
        <v/>
      </c>
      <c r="AO426" s="135" t="str" cm="1">
        <f t="array" ref="AO426">IF(ROWS($AN$2:$AN425)&lt;=$AN$2,INDEX($G$3:$G$3000,_xlfn.AGGREGATE(15,3,($B$3:$B$3000=$AM$2)/($B$3:$B$3000=$AM$2)*(ROW($B$3:$B$3000)-ROW($B$2)),ROWS($AN$2:$AN425))),"")</f>
        <v/>
      </c>
      <c r="AP426" s="121"/>
      <c r="AT426" s="111"/>
      <c r="AW426" s="134"/>
      <c r="AX426" s="136"/>
      <c r="AY426" s="134"/>
    </row>
    <row r="427" spans="1:51" s="110" customFormat="1" ht="20" customHeight="1">
      <c r="A427" s="125" t="s">
        <v>185</v>
      </c>
      <c r="B427" s="126" t="s">
        <v>59</v>
      </c>
      <c r="C427" s="127">
        <v>18970</v>
      </c>
      <c r="D427" s="151">
        <v>115420</v>
      </c>
      <c r="E427" s="152" t="s">
        <v>3118</v>
      </c>
      <c r="F427" s="152" t="s">
        <v>3118</v>
      </c>
      <c r="G427" s="153">
        <v>4600</v>
      </c>
      <c r="H427" s="153">
        <v>3</v>
      </c>
      <c r="I427" s="152" t="s">
        <v>209</v>
      </c>
      <c r="J427" s="152" t="s">
        <v>3119</v>
      </c>
      <c r="K427" s="152" t="s">
        <v>3118</v>
      </c>
      <c r="L427" s="153">
        <v>1</v>
      </c>
      <c r="M427" s="153">
        <v>1</v>
      </c>
      <c r="N427" s="152" t="s">
        <v>1544</v>
      </c>
      <c r="O427" s="153">
        <v>60</v>
      </c>
      <c r="P427" s="153">
        <v>0.6</v>
      </c>
      <c r="Q427" s="153">
        <v>17</v>
      </c>
      <c r="R427" s="152" t="s">
        <v>190</v>
      </c>
      <c r="S427" s="152" t="s">
        <v>191</v>
      </c>
      <c r="T427" s="153">
        <v>171</v>
      </c>
      <c r="U427" s="152" t="s">
        <v>251</v>
      </c>
      <c r="V427" s="152" t="s">
        <v>252</v>
      </c>
      <c r="W427" s="153">
        <v>1</v>
      </c>
      <c r="X427" s="153">
        <v>2</v>
      </c>
      <c r="Y427" s="152" t="s">
        <v>194</v>
      </c>
      <c r="Z427" s="152" t="s">
        <v>195</v>
      </c>
      <c r="AA427" s="152" t="s">
        <v>196</v>
      </c>
      <c r="AB427" s="152" t="s">
        <v>187</v>
      </c>
      <c r="AC427" s="152" t="s">
        <v>187</v>
      </c>
      <c r="AD427" s="154"/>
      <c r="AE427" s="152" t="s">
        <v>209</v>
      </c>
      <c r="AF427" s="153">
        <v>-8.3400700000000008</v>
      </c>
      <c r="AG427" s="155">
        <v>123.65376000000001</v>
      </c>
      <c r="AM427" s="133" t="str" cm="1">
        <f t="array" ref="AM427">IF(ROWS($AN$2:$AN426)&lt;=$AN$2,INDEX($V$3:$V$3000,_xlfn.AGGREGATE(15,3,($B$3:$B$3000=$AM$2)/($B$3:$B$3000=$AM$2)*(ROW($B$3:$B$3000)-ROW($B$2)),ROWS($AN$2:$AN426))),"")</f>
        <v/>
      </c>
      <c r="AN427" s="134" t="str" cm="1">
        <f t="array" ref="AN427">IF(ROWS($AN$2:$AN426)&lt;=$AN$2,INDEX($F$3:$F$3000,_xlfn.AGGREGATE(15,3,($B$3:$B$3000=$AM$2)/($B$3:$B$3000=$AM$2)*(ROW($B$3:$B$3000)-ROW($B$2)),ROWS($AN$2:$AN426))),"")</f>
        <v/>
      </c>
      <c r="AO427" s="135" t="str" cm="1">
        <f t="array" ref="AO427">IF(ROWS($AN$2:$AN426)&lt;=$AN$2,INDEX($G$3:$G$3000,_xlfn.AGGREGATE(15,3,($B$3:$B$3000=$AM$2)/($B$3:$B$3000=$AM$2)*(ROW($B$3:$B$3000)-ROW($B$2)),ROWS($AN$2:$AN426))),"")</f>
        <v/>
      </c>
      <c r="AP427" s="121"/>
      <c r="AT427" s="111"/>
      <c r="AW427" s="134"/>
      <c r="AX427" s="136"/>
      <c r="AY427" s="134"/>
    </row>
    <row r="428" spans="1:51" s="110" customFormat="1" ht="20" customHeight="1">
      <c r="A428" s="125" t="s">
        <v>185</v>
      </c>
      <c r="B428" s="126" t="s">
        <v>59</v>
      </c>
      <c r="C428" s="127">
        <v>19303</v>
      </c>
      <c r="D428" s="151">
        <v>115375</v>
      </c>
      <c r="E428" s="152" t="s">
        <v>2957</v>
      </c>
      <c r="F428" s="152" t="s">
        <v>2957</v>
      </c>
      <c r="G428" s="153">
        <v>3400</v>
      </c>
      <c r="H428" s="153">
        <v>3</v>
      </c>
      <c r="I428" s="152" t="s">
        <v>209</v>
      </c>
      <c r="J428" s="152" t="s">
        <v>2958</v>
      </c>
      <c r="K428" s="152" t="s">
        <v>2957</v>
      </c>
      <c r="L428" s="153">
        <v>1</v>
      </c>
      <c r="M428" s="153">
        <v>1</v>
      </c>
      <c r="N428" s="152" t="s">
        <v>1544</v>
      </c>
      <c r="O428" s="153">
        <v>80</v>
      </c>
      <c r="P428" s="153">
        <v>1</v>
      </c>
      <c r="Q428" s="153">
        <v>17</v>
      </c>
      <c r="R428" s="152" t="s">
        <v>190</v>
      </c>
      <c r="S428" s="152" t="s">
        <v>191</v>
      </c>
      <c r="T428" s="153">
        <v>171</v>
      </c>
      <c r="U428" s="152" t="s">
        <v>251</v>
      </c>
      <c r="V428" s="152" t="s">
        <v>252</v>
      </c>
      <c r="W428" s="153">
        <v>1</v>
      </c>
      <c r="X428" s="153">
        <v>2</v>
      </c>
      <c r="Y428" s="152" t="s">
        <v>194</v>
      </c>
      <c r="Z428" s="152" t="s">
        <v>195</v>
      </c>
      <c r="AA428" s="152" t="s">
        <v>196</v>
      </c>
      <c r="AB428" s="152" t="s">
        <v>187</v>
      </c>
      <c r="AC428" s="152" t="s">
        <v>187</v>
      </c>
      <c r="AD428" s="154"/>
      <c r="AE428" s="152" t="s">
        <v>209</v>
      </c>
      <c r="AF428" s="153">
        <v>-8.7529900000000005</v>
      </c>
      <c r="AG428" s="155">
        <v>120.76533000000001</v>
      </c>
      <c r="AM428" s="133" t="str" cm="1">
        <f t="array" ref="AM428">IF(ROWS($AN$2:$AN427)&lt;=$AN$2,INDEX($V$3:$V$3000,_xlfn.AGGREGATE(15,3,($B$3:$B$3000=$AM$2)/($B$3:$B$3000=$AM$2)*(ROW($B$3:$B$3000)-ROW($B$2)),ROWS($AN$2:$AN427))),"")</f>
        <v/>
      </c>
      <c r="AN428" s="134" t="str" cm="1">
        <f t="array" ref="AN428">IF(ROWS($AN$2:$AN427)&lt;=$AN$2,INDEX($F$3:$F$3000,_xlfn.AGGREGATE(15,3,($B$3:$B$3000=$AM$2)/($B$3:$B$3000=$AM$2)*(ROW($B$3:$B$3000)-ROW($B$2)),ROWS($AN$2:$AN427))),"")</f>
        <v/>
      </c>
      <c r="AO428" s="135" t="str" cm="1">
        <f t="array" ref="AO428">IF(ROWS($AN$2:$AN427)&lt;=$AN$2,INDEX($G$3:$G$3000,_xlfn.AGGREGATE(15,3,($B$3:$B$3000=$AM$2)/($B$3:$B$3000=$AM$2)*(ROW($B$3:$B$3000)-ROW($B$2)),ROWS($AN$2:$AN427))),"")</f>
        <v/>
      </c>
      <c r="AP428" s="121"/>
      <c r="AT428" s="111"/>
      <c r="AW428" s="134"/>
      <c r="AX428" s="136"/>
      <c r="AY428" s="134"/>
    </row>
    <row r="429" spans="1:51" s="110" customFormat="1" ht="20" customHeight="1">
      <c r="A429" s="125" t="s">
        <v>185</v>
      </c>
      <c r="B429" s="126" t="s">
        <v>59</v>
      </c>
      <c r="C429" s="127">
        <v>12965</v>
      </c>
      <c r="D429" s="145">
        <v>105608</v>
      </c>
      <c r="E429" s="146" t="s">
        <v>4413</v>
      </c>
      <c r="F429" s="146" t="s">
        <v>4746</v>
      </c>
      <c r="G429" s="147">
        <v>204000</v>
      </c>
      <c r="H429" s="147">
        <v>4</v>
      </c>
      <c r="I429" s="146" t="s">
        <v>209</v>
      </c>
      <c r="J429" s="146" t="s">
        <v>4414</v>
      </c>
      <c r="K429" s="146" t="s">
        <v>4413</v>
      </c>
      <c r="L429" s="147">
        <v>1</v>
      </c>
      <c r="M429" s="147">
        <v>1</v>
      </c>
      <c r="N429" s="146" t="s">
        <v>1544</v>
      </c>
      <c r="O429" s="147">
        <v>75</v>
      </c>
      <c r="P429" s="147">
        <v>10</v>
      </c>
      <c r="Q429" s="147">
        <v>17</v>
      </c>
      <c r="R429" s="146" t="s">
        <v>190</v>
      </c>
      <c r="S429" s="146" t="s">
        <v>191</v>
      </c>
      <c r="T429" s="147">
        <v>171</v>
      </c>
      <c r="U429" s="146" t="s">
        <v>251</v>
      </c>
      <c r="V429" s="146" t="s">
        <v>252</v>
      </c>
      <c r="W429" s="147">
        <v>2</v>
      </c>
      <c r="X429" s="147">
        <v>2</v>
      </c>
      <c r="Y429" s="146" t="s">
        <v>194</v>
      </c>
      <c r="Z429" s="146" t="s">
        <v>195</v>
      </c>
      <c r="AA429" s="146" t="s">
        <v>196</v>
      </c>
      <c r="AB429" s="146" t="s">
        <v>187</v>
      </c>
      <c r="AC429" s="146" t="s">
        <v>187</v>
      </c>
      <c r="AD429" s="148"/>
      <c r="AE429" s="146" t="s">
        <v>209</v>
      </c>
      <c r="AF429" s="147">
        <v>-8.2060238053543308</v>
      </c>
      <c r="AG429" s="149">
        <v>122.78684882901</v>
      </c>
      <c r="AM429" s="133" t="str" cm="1">
        <f t="array" ref="AM429">IF(ROWS($AN$2:$AN428)&lt;=$AN$2,INDEX($V$3:$V$3000,_xlfn.AGGREGATE(15,3,($B$3:$B$3000=$AM$2)/($B$3:$B$3000=$AM$2)*(ROW($B$3:$B$3000)-ROW($B$2)),ROWS($AN$2:$AN428))),"")</f>
        <v/>
      </c>
      <c r="AN429" s="134" t="str" cm="1">
        <f t="array" ref="AN429">IF(ROWS($AN$2:$AN428)&lt;=$AN$2,INDEX($F$3:$F$3000,_xlfn.AGGREGATE(15,3,($B$3:$B$3000=$AM$2)/($B$3:$B$3000=$AM$2)*(ROW($B$3:$B$3000)-ROW($B$2)),ROWS($AN$2:$AN428))),"")</f>
        <v/>
      </c>
      <c r="AO429" s="135" t="str" cm="1">
        <f t="array" ref="AO429">IF(ROWS($AN$2:$AN428)&lt;=$AN$2,INDEX($G$3:$G$3000,_xlfn.AGGREGATE(15,3,($B$3:$B$3000=$AM$2)/($B$3:$B$3000=$AM$2)*(ROW($B$3:$B$3000)-ROW($B$2)),ROWS($AN$2:$AN428))),"")</f>
        <v/>
      </c>
      <c r="AP429" s="121"/>
      <c r="AT429" s="111"/>
      <c r="AW429" s="134"/>
      <c r="AX429" s="136"/>
      <c r="AY429" s="134"/>
    </row>
    <row r="430" spans="1:51" s="110" customFormat="1" ht="20" customHeight="1">
      <c r="A430" s="125" t="s">
        <v>185</v>
      </c>
      <c r="B430" s="126" t="s">
        <v>59</v>
      </c>
      <c r="C430" s="127">
        <v>11758</v>
      </c>
      <c r="D430" s="145">
        <v>102920</v>
      </c>
      <c r="E430" s="146" t="s">
        <v>4668</v>
      </c>
      <c r="F430" s="146" t="s">
        <v>4668</v>
      </c>
      <c r="G430" s="147">
        <v>126000</v>
      </c>
      <c r="H430" s="147">
        <v>4</v>
      </c>
      <c r="I430" s="146" t="s">
        <v>209</v>
      </c>
      <c r="J430" s="146" t="s">
        <v>4669</v>
      </c>
      <c r="K430" s="146" t="s">
        <v>4668</v>
      </c>
      <c r="L430" s="147">
        <v>3</v>
      </c>
      <c r="M430" s="147">
        <v>1</v>
      </c>
      <c r="N430" s="146" t="s">
        <v>1544</v>
      </c>
      <c r="O430" s="147">
        <v>60</v>
      </c>
      <c r="P430" s="147">
        <v>5</v>
      </c>
      <c r="Q430" s="147">
        <v>17</v>
      </c>
      <c r="R430" s="146" t="s">
        <v>190</v>
      </c>
      <c r="S430" s="146" t="s">
        <v>191</v>
      </c>
      <c r="T430" s="147">
        <v>171</v>
      </c>
      <c r="U430" s="146" t="s">
        <v>251</v>
      </c>
      <c r="V430" s="146" t="s">
        <v>252</v>
      </c>
      <c r="W430" s="147">
        <v>1</v>
      </c>
      <c r="X430" s="147">
        <v>2</v>
      </c>
      <c r="Y430" s="146" t="s">
        <v>194</v>
      </c>
      <c r="Z430" s="146" t="s">
        <v>195</v>
      </c>
      <c r="AA430" s="146" t="s">
        <v>196</v>
      </c>
      <c r="AB430" s="146" t="s">
        <v>187</v>
      </c>
      <c r="AC430" s="146" t="s">
        <v>187</v>
      </c>
      <c r="AD430" s="148"/>
      <c r="AE430" s="146" t="s">
        <v>209</v>
      </c>
      <c r="AF430" s="147">
        <v>-8.7522300000000008</v>
      </c>
      <c r="AG430" s="149">
        <v>121.55303000000001</v>
      </c>
      <c r="AM430" s="133" t="str" cm="1">
        <f t="array" ref="AM430">IF(ROWS($AN$2:$AN429)&lt;=$AN$2,INDEX($V$3:$V$3000,_xlfn.AGGREGATE(15,3,($B$3:$B$3000=$AM$2)/($B$3:$B$3000=$AM$2)*(ROW($B$3:$B$3000)-ROW($B$2)),ROWS($AN$2:$AN429))),"")</f>
        <v/>
      </c>
      <c r="AN430" s="134" t="str" cm="1">
        <f t="array" ref="AN430">IF(ROWS($AN$2:$AN429)&lt;=$AN$2,INDEX($F$3:$F$3000,_xlfn.AGGREGATE(15,3,($B$3:$B$3000=$AM$2)/($B$3:$B$3000=$AM$2)*(ROW($B$3:$B$3000)-ROW($B$2)),ROWS($AN$2:$AN429))),"")</f>
        <v/>
      </c>
      <c r="AO430" s="135" t="str" cm="1">
        <f t="array" ref="AO430">IF(ROWS($AN$2:$AN429)&lt;=$AN$2,INDEX($G$3:$G$3000,_xlfn.AGGREGATE(15,3,($B$3:$B$3000=$AM$2)/($B$3:$B$3000=$AM$2)*(ROW($B$3:$B$3000)-ROW($B$2)),ROWS($AN$2:$AN429))),"")</f>
        <v/>
      </c>
      <c r="AP430" s="121"/>
      <c r="AT430" s="111"/>
      <c r="AW430" s="134"/>
      <c r="AX430" s="136"/>
      <c r="AY430" s="134"/>
    </row>
    <row r="431" spans="1:51" s="110" customFormat="1" ht="20" customHeight="1">
      <c r="A431" s="125" t="s">
        <v>185</v>
      </c>
      <c r="B431" s="126" t="s">
        <v>59</v>
      </c>
      <c r="C431" s="127">
        <v>19289</v>
      </c>
      <c r="D431" s="145">
        <v>115032</v>
      </c>
      <c r="E431" s="146" t="s">
        <v>4628</v>
      </c>
      <c r="F431" s="146" t="s">
        <v>4628</v>
      </c>
      <c r="G431" s="147">
        <v>114000</v>
      </c>
      <c r="H431" s="147">
        <v>4</v>
      </c>
      <c r="I431" s="146" t="s">
        <v>209</v>
      </c>
      <c r="J431" s="146" t="s">
        <v>4629</v>
      </c>
      <c r="K431" s="146" t="s">
        <v>4628</v>
      </c>
      <c r="L431" s="147">
        <v>1</v>
      </c>
      <c r="M431" s="147">
        <v>1</v>
      </c>
      <c r="N431" s="146" t="s">
        <v>1544</v>
      </c>
      <c r="O431" s="147">
        <v>70</v>
      </c>
      <c r="P431" s="147">
        <v>6</v>
      </c>
      <c r="Q431" s="147">
        <v>17</v>
      </c>
      <c r="R431" s="146" t="s">
        <v>190</v>
      </c>
      <c r="S431" s="146" t="s">
        <v>191</v>
      </c>
      <c r="T431" s="147">
        <v>171</v>
      </c>
      <c r="U431" s="146" t="s">
        <v>251</v>
      </c>
      <c r="V431" s="146" t="s">
        <v>252</v>
      </c>
      <c r="W431" s="147">
        <v>1</v>
      </c>
      <c r="X431" s="147">
        <v>2</v>
      </c>
      <c r="Y431" s="146" t="s">
        <v>194</v>
      </c>
      <c r="Z431" s="146" t="s">
        <v>195</v>
      </c>
      <c r="AA431" s="146" t="s">
        <v>196</v>
      </c>
      <c r="AB431" s="146" t="s">
        <v>187</v>
      </c>
      <c r="AC431" s="146" t="s">
        <v>187</v>
      </c>
      <c r="AD431" s="148"/>
      <c r="AE431" s="146" t="s">
        <v>209</v>
      </c>
      <c r="AF431" s="147">
        <v>-8.3446200000000008</v>
      </c>
      <c r="AG431" s="149">
        <v>123.15446</v>
      </c>
      <c r="AM431" s="133" t="str" cm="1">
        <f t="array" ref="AM431">IF(ROWS($AN$2:$AN430)&lt;=$AN$2,INDEX($V$3:$V$3000,_xlfn.AGGREGATE(15,3,($B$3:$B$3000=$AM$2)/($B$3:$B$3000=$AM$2)*(ROW($B$3:$B$3000)-ROW($B$2)),ROWS($AN$2:$AN430))),"")</f>
        <v/>
      </c>
      <c r="AN431" s="134" t="str" cm="1">
        <f t="array" ref="AN431">IF(ROWS($AN$2:$AN430)&lt;=$AN$2,INDEX($F$3:$F$3000,_xlfn.AGGREGATE(15,3,($B$3:$B$3000=$AM$2)/($B$3:$B$3000=$AM$2)*(ROW($B$3:$B$3000)-ROW($B$2)),ROWS($AN$2:$AN430))),"")</f>
        <v/>
      </c>
      <c r="AO431" s="135" t="str" cm="1">
        <f t="array" ref="AO431">IF(ROWS($AN$2:$AN430)&lt;=$AN$2,INDEX($G$3:$G$3000,_xlfn.AGGREGATE(15,3,($B$3:$B$3000=$AM$2)/($B$3:$B$3000=$AM$2)*(ROW($B$3:$B$3000)-ROW($B$2)),ROWS($AN$2:$AN430))),"")</f>
        <v/>
      </c>
      <c r="AP431" s="121"/>
      <c r="AT431" s="111"/>
      <c r="AW431" s="134"/>
      <c r="AX431" s="136"/>
      <c r="AY431" s="134"/>
    </row>
    <row r="432" spans="1:51" s="110" customFormat="1" ht="20" customHeight="1">
      <c r="A432" s="125" t="s">
        <v>185</v>
      </c>
      <c r="B432" s="126" t="s">
        <v>59</v>
      </c>
      <c r="C432" s="127">
        <v>13327</v>
      </c>
      <c r="D432" s="145">
        <v>107225</v>
      </c>
      <c r="E432" s="146" t="s">
        <v>4583</v>
      </c>
      <c r="F432" s="146" t="s">
        <v>4583</v>
      </c>
      <c r="G432" s="147">
        <v>91000</v>
      </c>
      <c r="H432" s="147">
        <v>4</v>
      </c>
      <c r="I432" s="146" t="s">
        <v>209</v>
      </c>
      <c r="J432" s="146" t="s">
        <v>4584</v>
      </c>
      <c r="K432" s="146" t="s">
        <v>4583</v>
      </c>
      <c r="L432" s="147">
        <v>1</v>
      </c>
      <c r="M432" s="147">
        <v>1</v>
      </c>
      <c r="N432" s="146" t="s">
        <v>1544</v>
      </c>
      <c r="O432" s="147">
        <v>96</v>
      </c>
      <c r="P432" s="147">
        <v>6</v>
      </c>
      <c r="Q432" s="147">
        <v>17</v>
      </c>
      <c r="R432" s="146" t="s">
        <v>190</v>
      </c>
      <c r="S432" s="146" t="s">
        <v>191</v>
      </c>
      <c r="T432" s="147">
        <v>171</v>
      </c>
      <c r="U432" s="146" t="s">
        <v>251</v>
      </c>
      <c r="V432" s="146" t="s">
        <v>252</v>
      </c>
      <c r="W432" s="147">
        <v>1</v>
      </c>
      <c r="X432" s="147">
        <v>2</v>
      </c>
      <c r="Y432" s="146" t="s">
        <v>194</v>
      </c>
      <c r="Z432" s="146" t="s">
        <v>195</v>
      </c>
      <c r="AA432" s="146" t="s">
        <v>196</v>
      </c>
      <c r="AB432" s="146" t="s">
        <v>187</v>
      </c>
      <c r="AC432" s="146" t="s">
        <v>187</v>
      </c>
      <c r="AD432" s="148"/>
      <c r="AE432" s="146" t="s">
        <v>209</v>
      </c>
      <c r="AF432" s="147">
        <v>-8.7894699999999997</v>
      </c>
      <c r="AG432" s="149">
        <v>120.9798</v>
      </c>
      <c r="AM432" s="133" t="str" cm="1">
        <f t="array" ref="AM432">IF(ROWS($AN$2:$AN431)&lt;=$AN$2,INDEX($V$3:$V$3000,_xlfn.AGGREGATE(15,3,($B$3:$B$3000=$AM$2)/($B$3:$B$3000=$AM$2)*(ROW($B$3:$B$3000)-ROW($B$2)),ROWS($AN$2:$AN431))),"")</f>
        <v/>
      </c>
      <c r="AN432" s="134" t="str" cm="1">
        <f t="array" ref="AN432">IF(ROWS($AN$2:$AN431)&lt;=$AN$2,INDEX($F$3:$F$3000,_xlfn.AGGREGATE(15,3,($B$3:$B$3000=$AM$2)/($B$3:$B$3000=$AM$2)*(ROW($B$3:$B$3000)-ROW($B$2)),ROWS($AN$2:$AN431))),"")</f>
        <v/>
      </c>
      <c r="AO432" s="135" t="str" cm="1">
        <f t="array" ref="AO432">IF(ROWS($AN$2:$AN431)&lt;=$AN$2,INDEX($G$3:$G$3000,_xlfn.AGGREGATE(15,3,($B$3:$B$3000=$AM$2)/($B$3:$B$3000=$AM$2)*(ROW($B$3:$B$3000)-ROW($B$2)),ROWS($AN$2:$AN431))),"")</f>
        <v/>
      </c>
      <c r="AP432" s="121"/>
      <c r="AT432" s="111"/>
      <c r="AW432" s="134"/>
      <c r="AX432" s="136"/>
      <c r="AY432" s="134"/>
    </row>
    <row r="433" spans="1:51" s="110" customFormat="1" ht="20" customHeight="1">
      <c r="A433" s="125" t="s">
        <v>185</v>
      </c>
      <c r="B433" s="126" t="s">
        <v>59</v>
      </c>
      <c r="C433" s="127">
        <v>13918</v>
      </c>
      <c r="D433" s="145">
        <v>107014</v>
      </c>
      <c r="E433" s="146" t="s">
        <v>4518</v>
      </c>
      <c r="F433" s="146" t="s">
        <v>4518</v>
      </c>
      <c r="G433" s="147">
        <v>72000</v>
      </c>
      <c r="H433" s="147">
        <v>4</v>
      </c>
      <c r="I433" s="146" t="s">
        <v>209</v>
      </c>
      <c r="J433" s="146" t="s">
        <v>4519</v>
      </c>
      <c r="K433" s="146" t="s">
        <v>4518</v>
      </c>
      <c r="L433" s="147">
        <v>1</v>
      </c>
      <c r="M433" s="147">
        <v>1</v>
      </c>
      <c r="N433" s="146" t="s">
        <v>1544</v>
      </c>
      <c r="O433" s="147">
        <v>80</v>
      </c>
      <c r="P433" s="147">
        <v>4</v>
      </c>
      <c r="Q433" s="147">
        <v>17</v>
      </c>
      <c r="R433" s="146" t="s">
        <v>190</v>
      </c>
      <c r="S433" s="146" t="s">
        <v>191</v>
      </c>
      <c r="T433" s="147">
        <v>171</v>
      </c>
      <c r="U433" s="146" t="s">
        <v>251</v>
      </c>
      <c r="V433" s="146" t="s">
        <v>252</v>
      </c>
      <c r="W433" s="147">
        <v>1</v>
      </c>
      <c r="X433" s="147">
        <v>2</v>
      </c>
      <c r="Y433" s="146" t="s">
        <v>194</v>
      </c>
      <c r="Z433" s="146" t="s">
        <v>195</v>
      </c>
      <c r="AA433" s="146" t="s">
        <v>196</v>
      </c>
      <c r="AB433" s="146" t="s">
        <v>187</v>
      </c>
      <c r="AC433" s="146" t="s">
        <v>187</v>
      </c>
      <c r="AD433" s="148"/>
      <c r="AE433" s="146" t="s">
        <v>209</v>
      </c>
      <c r="AF433" s="147">
        <v>-8.6956399999999991</v>
      </c>
      <c r="AG433" s="149">
        <v>121.29183</v>
      </c>
      <c r="AM433" s="133" t="str" cm="1">
        <f t="array" ref="AM433">IF(ROWS($AN$2:$AN432)&lt;=$AN$2,INDEX($V$3:$V$3000,_xlfn.AGGREGATE(15,3,($B$3:$B$3000=$AM$2)/($B$3:$B$3000=$AM$2)*(ROW($B$3:$B$3000)-ROW($B$2)),ROWS($AN$2:$AN432))),"")</f>
        <v/>
      </c>
      <c r="AN433" s="134" t="str" cm="1">
        <f t="array" ref="AN433">IF(ROWS($AN$2:$AN432)&lt;=$AN$2,INDEX($F$3:$F$3000,_xlfn.AGGREGATE(15,3,($B$3:$B$3000=$AM$2)/($B$3:$B$3000=$AM$2)*(ROW($B$3:$B$3000)-ROW($B$2)),ROWS($AN$2:$AN432))),"")</f>
        <v/>
      </c>
      <c r="AO433" s="135" t="str" cm="1">
        <f t="array" ref="AO433">IF(ROWS($AN$2:$AN432)&lt;=$AN$2,INDEX($G$3:$G$3000,_xlfn.AGGREGATE(15,3,($B$3:$B$3000=$AM$2)/($B$3:$B$3000=$AM$2)*(ROW($B$3:$B$3000)-ROW($B$2)),ROWS($AN$2:$AN432))),"")</f>
        <v/>
      </c>
      <c r="AP433" s="121"/>
      <c r="AT433" s="111"/>
      <c r="AW433" s="134"/>
      <c r="AX433" s="136"/>
      <c r="AY433" s="134"/>
    </row>
    <row r="434" spans="1:51" s="110" customFormat="1" ht="20" customHeight="1">
      <c r="A434" s="125" t="s">
        <v>185</v>
      </c>
      <c r="B434" s="126" t="s">
        <v>59</v>
      </c>
      <c r="C434" s="127">
        <v>15393</v>
      </c>
      <c r="D434" s="145">
        <v>110817</v>
      </c>
      <c r="E434" s="146" t="s">
        <v>4469</v>
      </c>
      <c r="F434" s="146" t="s">
        <v>4469</v>
      </c>
      <c r="G434" s="147">
        <v>61000</v>
      </c>
      <c r="H434" s="147">
        <v>4</v>
      </c>
      <c r="I434" s="146" t="s">
        <v>209</v>
      </c>
      <c r="J434" s="146" t="s">
        <v>4470</v>
      </c>
      <c r="K434" s="146" t="s">
        <v>4471</v>
      </c>
      <c r="L434" s="147">
        <v>4</v>
      </c>
      <c r="M434" s="147">
        <v>1</v>
      </c>
      <c r="N434" s="146" t="s">
        <v>1544</v>
      </c>
      <c r="O434" s="147">
        <v>55</v>
      </c>
      <c r="P434" s="147">
        <v>4</v>
      </c>
      <c r="Q434" s="147">
        <v>17</v>
      </c>
      <c r="R434" s="146" t="s">
        <v>190</v>
      </c>
      <c r="S434" s="146" t="s">
        <v>191</v>
      </c>
      <c r="T434" s="147">
        <v>171</v>
      </c>
      <c r="U434" s="146" t="s">
        <v>251</v>
      </c>
      <c r="V434" s="146" t="s">
        <v>252</v>
      </c>
      <c r="W434" s="147">
        <v>1</v>
      </c>
      <c r="X434" s="147">
        <v>2</v>
      </c>
      <c r="Y434" s="146" t="s">
        <v>194</v>
      </c>
      <c r="Z434" s="146" t="s">
        <v>195</v>
      </c>
      <c r="AA434" s="146" t="s">
        <v>196</v>
      </c>
      <c r="AB434" s="146" t="s">
        <v>187</v>
      </c>
      <c r="AC434" s="146" t="s">
        <v>187</v>
      </c>
      <c r="AD434" s="148"/>
      <c r="AE434" s="146" t="s">
        <v>209</v>
      </c>
      <c r="AF434" s="147">
        <v>-9.5457000000000001</v>
      </c>
      <c r="AG434" s="149">
        <v>119.35057999999999</v>
      </c>
      <c r="AM434" s="133" t="str" cm="1">
        <f t="array" ref="AM434">IF(ROWS($AN$2:$AN433)&lt;=$AN$2,INDEX($V$3:$V$3000,_xlfn.AGGREGATE(15,3,($B$3:$B$3000=$AM$2)/($B$3:$B$3000=$AM$2)*(ROW($B$3:$B$3000)-ROW($B$2)),ROWS($AN$2:$AN433))),"")</f>
        <v/>
      </c>
      <c r="AN434" s="134" t="str" cm="1">
        <f t="array" ref="AN434">IF(ROWS($AN$2:$AN433)&lt;=$AN$2,INDEX($F$3:$F$3000,_xlfn.AGGREGATE(15,3,($B$3:$B$3000=$AM$2)/($B$3:$B$3000=$AM$2)*(ROW($B$3:$B$3000)-ROW($B$2)),ROWS($AN$2:$AN433))),"")</f>
        <v/>
      </c>
      <c r="AO434" s="135" t="str" cm="1">
        <f t="array" ref="AO434">IF(ROWS($AN$2:$AN433)&lt;=$AN$2,INDEX($G$3:$G$3000,_xlfn.AGGREGATE(15,3,($B$3:$B$3000=$AM$2)/($B$3:$B$3000=$AM$2)*(ROW($B$3:$B$3000)-ROW($B$2)),ROWS($AN$2:$AN433))),"")</f>
        <v/>
      </c>
      <c r="AP434" s="121"/>
      <c r="AT434" s="111"/>
      <c r="AW434" s="134"/>
      <c r="AX434" s="136"/>
      <c r="AY434" s="134"/>
    </row>
    <row r="435" spans="1:51" s="110" customFormat="1" ht="20" customHeight="1">
      <c r="A435" s="125" t="s">
        <v>185</v>
      </c>
      <c r="B435" s="126" t="s">
        <v>59</v>
      </c>
      <c r="C435" s="127">
        <v>12603</v>
      </c>
      <c r="D435" s="145">
        <v>104798</v>
      </c>
      <c r="E435" s="146" t="s">
        <v>4291</v>
      </c>
      <c r="F435" s="146" t="s">
        <v>4291</v>
      </c>
      <c r="G435" s="147">
        <v>35000</v>
      </c>
      <c r="H435" s="147">
        <v>4</v>
      </c>
      <c r="I435" s="146" t="s">
        <v>209</v>
      </c>
      <c r="J435" s="146" t="s">
        <v>4292</v>
      </c>
      <c r="K435" s="146" t="s">
        <v>4291</v>
      </c>
      <c r="L435" s="147">
        <v>1</v>
      </c>
      <c r="M435" s="147">
        <v>1</v>
      </c>
      <c r="N435" s="146" t="s">
        <v>1544</v>
      </c>
      <c r="O435" s="147">
        <v>48</v>
      </c>
      <c r="P435" s="147">
        <v>4</v>
      </c>
      <c r="Q435" s="147">
        <v>17</v>
      </c>
      <c r="R435" s="146" t="s">
        <v>190</v>
      </c>
      <c r="S435" s="146" t="s">
        <v>191</v>
      </c>
      <c r="T435" s="147">
        <v>171</v>
      </c>
      <c r="U435" s="146" t="s">
        <v>251</v>
      </c>
      <c r="V435" s="146" t="s">
        <v>252</v>
      </c>
      <c r="W435" s="147">
        <v>1</v>
      </c>
      <c r="X435" s="147">
        <v>2</v>
      </c>
      <c r="Y435" s="146" t="s">
        <v>194</v>
      </c>
      <c r="Z435" s="146" t="s">
        <v>195</v>
      </c>
      <c r="AA435" s="146" t="s">
        <v>196</v>
      </c>
      <c r="AB435" s="146" t="s">
        <v>187</v>
      </c>
      <c r="AC435" s="146" t="s">
        <v>187</v>
      </c>
      <c r="AD435" s="148"/>
      <c r="AE435" s="146" t="s">
        <v>209</v>
      </c>
      <c r="AF435" s="147">
        <v>-8.2453599999999998</v>
      </c>
      <c r="AG435" s="149">
        <v>123.76931</v>
      </c>
      <c r="AM435" s="133" t="str" cm="1">
        <f t="array" ref="AM435">IF(ROWS($AN$2:$AN434)&lt;=$AN$2,INDEX($V$3:$V$3000,_xlfn.AGGREGATE(15,3,($B$3:$B$3000=$AM$2)/($B$3:$B$3000=$AM$2)*(ROW($B$3:$B$3000)-ROW($B$2)),ROWS($AN$2:$AN434))),"")</f>
        <v/>
      </c>
      <c r="AN435" s="134" t="str" cm="1">
        <f t="array" ref="AN435">IF(ROWS($AN$2:$AN434)&lt;=$AN$2,INDEX($F$3:$F$3000,_xlfn.AGGREGATE(15,3,($B$3:$B$3000=$AM$2)/($B$3:$B$3000=$AM$2)*(ROW($B$3:$B$3000)-ROW($B$2)),ROWS($AN$2:$AN434))),"")</f>
        <v/>
      </c>
      <c r="AO435" s="135" t="str" cm="1">
        <f t="array" ref="AO435">IF(ROWS($AN$2:$AN434)&lt;=$AN$2,INDEX($G$3:$G$3000,_xlfn.AGGREGATE(15,3,($B$3:$B$3000=$AM$2)/($B$3:$B$3000=$AM$2)*(ROW($B$3:$B$3000)-ROW($B$2)),ROWS($AN$2:$AN434))),"")</f>
        <v/>
      </c>
      <c r="AP435" s="121"/>
      <c r="AT435" s="111"/>
      <c r="AW435" s="134"/>
      <c r="AX435" s="136"/>
      <c r="AY435" s="134"/>
    </row>
    <row r="436" spans="1:51" s="110" customFormat="1" ht="20" customHeight="1">
      <c r="A436" s="125" t="s">
        <v>185</v>
      </c>
      <c r="B436" s="126" t="s">
        <v>59</v>
      </c>
      <c r="C436" s="127">
        <v>12969</v>
      </c>
      <c r="D436" s="145">
        <v>105615</v>
      </c>
      <c r="E436" s="146" t="s">
        <v>4273</v>
      </c>
      <c r="F436" s="146" t="s">
        <v>4273</v>
      </c>
      <c r="G436" s="147">
        <v>34000</v>
      </c>
      <c r="H436" s="147">
        <v>4</v>
      </c>
      <c r="I436" s="146" t="s">
        <v>209</v>
      </c>
      <c r="J436" s="146" t="s">
        <v>4274</v>
      </c>
      <c r="K436" s="146" t="s">
        <v>4273</v>
      </c>
      <c r="L436" s="147">
        <v>2</v>
      </c>
      <c r="M436" s="147">
        <v>1</v>
      </c>
      <c r="N436" s="146" t="s">
        <v>1544</v>
      </c>
      <c r="O436" s="147">
        <v>45</v>
      </c>
      <c r="P436" s="147">
        <v>3</v>
      </c>
      <c r="Q436" s="147">
        <v>17</v>
      </c>
      <c r="R436" s="146" t="s">
        <v>190</v>
      </c>
      <c r="S436" s="146" t="s">
        <v>191</v>
      </c>
      <c r="T436" s="147">
        <v>171</v>
      </c>
      <c r="U436" s="146" t="s">
        <v>251</v>
      </c>
      <c r="V436" s="146" t="s">
        <v>252</v>
      </c>
      <c r="W436" s="147">
        <v>1</v>
      </c>
      <c r="X436" s="147">
        <v>2</v>
      </c>
      <c r="Y436" s="146" t="s">
        <v>194</v>
      </c>
      <c r="Z436" s="146" t="s">
        <v>195</v>
      </c>
      <c r="AA436" s="146" t="s">
        <v>196</v>
      </c>
      <c r="AB436" s="146" t="s">
        <v>187</v>
      </c>
      <c r="AC436" s="146" t="s">
        <v>187</v>
      </c>
      <c r="AD436" s="148"/>
      <c r="AE436" s="146" t="s">
        <v>209</v>
      </c>
      <c r="AF436" s="147">
        <v>-9.7139699999999998</v>
      </c>
      <c r="AG436" s="149">
        <v>119.34171000000001</v>
      </c>
      <c r="AM436" s="133" t="str" cm="1">
        <f t="array" ref="AM436">IF(ROWS($AN$2:$AN435)&lt;=$AN$2,INDEX($V$3:$V$3000,_xlfn.AGGREGATE(15,3,($B$3:$B$3000=$AM$2)/($B$3:$B$3000=$AM$2)*(ROW($B$3:$B$3000)-ROW($B$2)),ROWS($AN$2:$AN435))),"")</f>
        <v/>
      </c>
      <c r="AN436" s="134" t="str" cm="1">
        <f t="array" ref="AN436">IF(ROWS($AN$2:$AN435)&lt;=$AN$2,INDEX($F$3:$F$3000,_xlfn.AGGREGATE(15,3,($B$3:$B$3000=$AM$2)/($B$3:$B$3000=$AM$2)*(ROW($B$3:$B$3000)-ROW($B$2)),ROWS($AN$2:$AN435))),"")</f>
        <v/>
      </c>
      <c r="AO436" s="135" t="str" cm="1">
        <f t="array" ref="AO436">IF(ROWS($AN$2:$AN435)&lt;=$AN$2,INDEX($G$3:$G$3000,_xlfn.AGGREGATE(15,3,($B$3:$B$3000=$AM$2)/($B$3:$B$3000=$AM$2)*(ROW($B$3:$B$3000)-ROW($B$2)),ROWS($AN$2:$AN435))),"")</f>
        <v/>
      </c>
      <c r="AP436" s="121"/>
      <c r="AT436" s="111"/>
      <c r="AW436" s="134"/>
      <c r="AX436" s="136"/>
      <c r="AY436" s="134"/>
    </row>
    <row r="437" spans="1:51" s="110" customFormat="1" ht="20" customHeight="1">
      <c r="A437" s="125" t="s">
        <v>185</v>
      </c>
      <c r="B437" s="126" t="s">
        <v>59</v>
      </c>
      <c r="C437" s="127">
        <v>10771</v>
      </c>
      <c r="D437" s="145">
        <v>101218</v>
      </c>
      <c r="E437" s="146" t="s">
        <v>4034</v>
      </c>
      <c r="F437" s="146" t="s">
        <v>4035</v>
      </c>
      <c r="G437" s="147">
        <v>20000</v>
      </c>
      <c r="H437" s="147">
        <v>4</v>
      </c>
      <c r="I437" s="146" t="s">
        <v>209</v>
      </c>
      <c r="J437" s="146" t="s">
        <v>4036</v>
      </c>
      <c r="K437" s="146" t="s">
        <v>4037</v>
      </c>
      <c r="L437" s="147">
        <v>3</v>
      </c>
      <c r="M437" s="147">
        <v>1</v>
      </c>
      <c r="N437" s="146" t="s">
        <v>1544</v>
      </c>
      <c r="O437" s="147">
        <v>80</v>
      </c>
      <c r="P437" s="147">
        <v>8</v>
      </c>
      <c r="Q437" s="147">
        <v>17</v>
      </c>
      <c r="R437" s="146" t="s">
        <v>190</v>
      </c>
      <c r="S437" s="146" t="s">
        <v>191</v>
      </c>
      <c r="T437" s="147">
        <v>171</v>
      </c>
      <c r="U437" s="146" t="s">
        <v>251</v>
      </c>
      <c r="V437" s="146" t="s">
        <v>252</v>
      </c>
      <c r="W437" s="147">
        <v>1</v>
      </c>
      <c r="X437" s="147">
        <v>2</v>
      </c>
      <c r="Y437" s="146" t="s">
        <v>194</v>
      </c>
      <c r="Z437" s="146" t="s">
        <v>195</v>
      </c>
      <c r="AA437" s="146" t="s">
        <v>196</v>
      </c>
      <c r="AB437" s="146" t="s">
        <v>187</v>
      </c>
      <c r="AC437" s="146" t="s">
        <v>187</v>
      </c>
      <c r="AD437" s="148"/>
      <c r="AE437" s="146" t="s">
        <v>209</v>
      </c>
      <c r="AF437" s="147">
        <v>-8.3018599999999996</v>
      </c>
      <c r="AG437" s="149">
        <v>124.2838</v>
      </c>
      <c r="AM437" s="133" t="str" cm="1">
        <f t="array" ref="AM437">IF(ROWS($AN$2:$AN436)&lt;=$AN$2,INDEX($V$3:$V$3000,_xlfn.AGGREGATE(15,3,($B$3:$B$3000=$AM$2)/($B$3:$B$3000=$AM$2)*(ROW($B$3:$B$3000)-ROW($B$2)),ROWS($AN$2:$AN436))),"")</f>
        <v/>
      </c>
      <c r="AN437" s="134" t="str" cm="1">
        <f t="array" ref="AN437">IF(ROWS($AN$2:$AN436)&lt;=$AN$2,INDEX($F$3:$F$3000,_xlfn.AGGREGATE(15,3,($B$3:$B$3000=$AM$2)/($B$3:$B$3000=$AM$2)*(ROW($B$3:$B$3000)-ROW($B$2)),ROWS($AN$2:$AN436))),"")</f>
        <v/>
      </c>
      <c r="AO437" s="135" t="str" cm="1">
        <f t="array" ref="AO437">IF(ROWS($AN$2:$AN436)&lt;=$AN$2,INDEX($G$3:$G$3000,_xlfn.AGGREGATE(15,3,($B$3:$B$3000=$AM$2)/($B$3:$B$3000=$AM$2)*(ROW($B$3:$B$3000)-ROW($B$2)),ROWS($AN$2:$AN436))),"")</f>
        <v/>
      </c>
      <c r="AP437" s="121"/>
      <c r="AT437" s="111"/>
      <c r="AW437" s="134"/>
      <c r="AX437" s="136"/>
      <c r="AY437" s="134"/>
    </row>
    <row r="438" spans="1:51" s="110" customFormat="1" ht="20" customHeight="1">
      <c r="A438" s="125" t="s">
        <v>185</v>
      </c>
      <c r="B438" s="126" t="s">
        <v>59</v>
      </c>
      <c r="C438" s="127">
        <v>10306</v>
      </c>
      <c r="D438" s="145">
        <v>100312</v>
      </c>
      <c r="E438" s="146" t="s">
        <v>3945</v>
      </c>
      <c r="F438" s="146" t="s">
        <v>3945</v>
      </c>
      <c r="G438" s="147">
        <v>17000</v>
      </c>
      <c r="H438" s="147">
        <v>4</v>
      </c>
      <c r="I438" s="146" t="s">
        <v>209</v>
      </c>
      <c r="J438" s="146" t="s">
        <v>3946</v>
      </c>
      <c r="K438" s="146" t="s">
        <v>3945</v>
      </c>
      <c r="L438" s="147">
        <v>2</v>
      </c>
      <c r="M438" s="147">
        <v>1</v>
      </c>
      <c r="N438" s="146" t="s">
        <v>1544</v>
      </c>
      <c r="O438" s="147">
        <v>55</v>
      </c>
      <c r="P438" s="147">
        <v>6</v>
      </c>
      <c r="Q438" s="147">
        <v>17</v>
      </c>
      <c r="R438" s="146" t="s">
        <v>190</v>
      </c>
      <c r="S438" s="146" t="s">
        <v>191</v>
      </c>
      <c r="T438" s="147">
        <v>171</v>
      </c>
      <c r="U438" s="146" t="s">
        <v>251</v>
      </c>
      <c r="V438" s="146" t="s">
        <v>252</v>
      </c>
      <c r="W438" s="147">
        <v>1</v>
      </c>
      <c r="X438" s="147">
        <v>2</v>
      </c>
      <c r="Y438" s="146" t="s">
        <v>194</v>
      </c>
      <c r="Z438" s="146" t="s">
        <v>195</v>
      </c>
      <c r="AA438" s="146" t="s">
        <v>196</v>
      </c>
      <c r="AB438" s="146" t="s">
        <v>187</v>
      </c>
      <c r="AC438" s="146" t="s">
        <v>187</v>
      </c>
      <c r="AD438" s="148"/>
      <c r="AE438" s="146" t="s">
        <v>209</v>
      </c>
      <c r="AF438" s="147">
        <v>-9.6582299999999996</v>
      </c>
      <c r="AG438" s="149">
        <v>119.6185</v>
      </c>
      <c r="AM438" s="133" t="str" cm="1">
        <f t="array" ref="AM438">IF(ROWS($AN$2:$AN437)&lt;=$AN$2,INDEX($V$3:$V$3000,_xlfn.AGGREGATE(15,3,($B$3:$B$3000=$AM$2)/($B$3:$B$3000=$AM$2)*(ROW($B$3:$B$3000)-ROW($B$2)),ROWS($AN$2:$AN437))),"")</f>
        <v/>
      </c>
      <c r="AN438" s="134" t="str" cm="1">
        <f t="array" ref="AN438">IF(ROWS($AN$2:$AN437)&lt;=$AN$2,INDEX($F$3:$F$3000,_xlfn.AGGREGATE(15,3,($B$3:$B$3000=$AM$2)/($B$3:$B$3000=$AM$2)*(ROW($B$3:$B$3000)-ROW($B$2)),ROWS($AN$2:$AN437))),"")</f>
        <v/>
      </c>
      <c r="AO438" s="135" t="str" cm="1">
        <f t="array" ref="AO438">IF(ROWS($AN$2:$AN437)&lt;=$AN$2,INDEX($G$3:$G$3000,_xlfn.AGGREGATE(15,3,($B$3:$B$3000=$AM$2)/($B$3:$B$3000=$AM$2)*(ROW($B$3:$B$3000)-ROW($B$2)),ROWS($AN$2:$AN437))),"")</f>
        <v/>
      </c>
      <c r="AP438" s="121"/>
      <c r="AT438" s="111"/>
      <c r="AW438" s="134"/>
      <c r="AX438" s="136"/>
      <c r="AY438" s="134"/>
    </row>
    <row r="439" spans="1:51" s="110" customFormat="1" ht="20" customHeight="1">
      <c r="A439" s="125" t="s">
        <v>185</v>
      </c>
      <c r="B439" s="126" t="s">
        <v>59</v>
      </c>
      <c r="C439" s="127">
        <v>14968</v>
      </c>
      <c r="D439" s="145">
        <v>109367</v>
      </c>
      <c r="E439" s="146" t="s">
        <v>3839</v>
      </c>
      <c r="F439" s="146" t="s">
        <v>3839</v>
      </c>
      <c r="G439" s="147">
        <v>14000</v>
      </c>
      <c r="H439" s="147">
        <v>4</v>
      </c>
      <c r="I439" s="146" t="s">
        <v>209</v>
      </c>
      <c r="J439" s="146" t="s">
        <v>3840</v>
      </c>
      <c r="K439" s="146" t="s">
        <v>3839</v>
      </c>
      <c r="L439" s="147">
        <v>1</v>
      </c>
      <c r="M439" s="147">
        <v>1</v>
      </c>
      <c r="N439" s="146" t="s">
        <v>1544</v>
      </c>
      <c r="O439" s="147">
        <v>97</v>
      </c>
      <c r="P439" s="147">
        <v>3</v>
      </c>
      <c r="Q439" s="147">
        <v>17</v>
      </c>
      <c r="R439" s="146" t="s">
        <v>190</v>
      </c>
      <c r="S439" s="146" t="s">
        <v>191</v>
      </c>
      <c r="T439" s="147">
        <v>171</v>
      </c>
      <c r="U439" s="146" t="s">
        <v>251</v>
      </c>
      <c r="V439" s="146" t="s">
        <v>252</v>
      </c>
      <c r="W439" s="147">
        <v>1</v>
      </c>
      <c r="X439" s="147">
        <v>2</v>
      </c>
      <c r="Y439" s="146" t="s">
        <v>194</v>
      </c>
      <c r="Z439" s="146" t="s">
        <v>195</v>
      </c>
      <c r="AA439" s="146" t="s">
        <v>196</v>
      </c>
      <c r="AB439" s="146" t="s">
        <v>187</v>
      </c>
      <c r="AC439" s="146" t="s">
        <v>187</v>
      </c>
      <c r="AD439" s="148"/>
      <c r="AE439" s="146" t="s">
        <v>209</v>
      </c>
      <c r="AF439" s="147">
        <v>-8.6773100000000003</v>
      </c>
      <c r="AG439" s="149">
        <v>121.05029999999999</v>
      </c>
      <c r="AM439" s="133" t="str" cm="1">
        <f t="array" ref="AM439">IF(ROWS($AN$2:$AN438)&lt;=$AN$2,INDEX($V$3:$V$3000,_xlfn.AGGREGATE(15,3,($B$3:$B$3000=$AM$2)/($B$3:$B$3000=$AM$2)*(ROW($B$3:$B$3000)-ROW($B$2)),ROWS($AN$2:$AN438))),"")</f>
        <v/>
      </c>
      <c r="AN439" s="134" t="str" cm="1">
        <f t="array" ref="AN439">IF(ROWS($AN$2:$AN438)&lt;=$AN$2,INDEX($F$3:$F$3000,_xlfn.AGGREGATE(15,3,($B$3:$B$3000=$AM$2)/($B$3:$B$3000=$AM$2)*(ROW($B$3:$B$3000)-ROW($B$2)),ROWS($AN$2:$AN438))),"")</f>
        <v/>
      </c>
      <c r="AO439" s="135" t="str" cm="1">
        <f t="array" ref="AO439">IF(ROWS($AN$2:$AN438)&lt;=$AN$2,INDEX($G$3:$G$3000,_xlfn.AGGREGATE(15,3,($B$3:$B$3000=$AM$2)/($B$3:$B$3000=$AM$2)*(ROW($B$3:$B$3000)-ROW($B$2)),ROWS($AN$2:$AN438))),"")</f>
        <v/>
      </c>
      <c r="AP439" s="121"/>
      <c r="AT439" s="111"/>
      <c r="AW439" s="134"/>
      <c r="AX439" s="136"/>
      <c r="AY439" s="134"/>
    </row>
    <row r="440" spans="1:51" s="110" customFormat="1" ht="20" customHeight="1">
      <c r="A440" s="125" t="s">
        <v>185</v>
      </c>
      <c r="B440" s="126" t="s">
        <v>59</v>
      </c>
      <c r="C440" s="127">
        <v>14280</v>
      </c>
      <c r="D440" s="145">
        <v>107798</v>
      </c>
      <c r="E440" s="146" t="s">
        <v>3802</v>
      </c>
      <c r="F440" s="146" t="s">
        <v>3802</v>
      </c>
      <c r="G440" s="147">
        <v>13000</v>
      </c>
      <c r="H440" s="147">
        <v>4</v>
      </c>
      <c r="I440" s="146" t="s">
        <v>209</v>
      </c>
      <c r="J440" s="146" t="s">
        <v>3803</v>
      </c>
      <c r="K440" s="146" t="s">
        <v>3804</v>
      </c>
      <c r="L440" s="147">
        <v>1</v>
      </c>
      <c r="M440" s="147">
        <v>1</v>
      </c>
      <c r="N440" s="146" t="s">
        <v>1544</v>
      </c>
      <c r="O440" s="147">
        <v>85</v>
      </c>
      <c r="P440" s="147">
        <v>3</v>
      </c>
      <c r="Q440" s="147">
        <v>17</v>
      </c>
      <c r="R440" s="146" t="s">
        <v>190</v>
      </c>
      <c r="S440" s="146" t="s">
        <v>191</v>
      </c>
      <c r="T440" s="147">
        <v>171</v>
      </c>
      <c r="U440" s="146" t="s">
        <v>251</v>
      </c>
      <c r="V440" s="146" t="s">
        <v>252</v>
      </c>
      <c r="W440" s="147">
        <v>1</v>
      </c>
      <c r="X440" s="147">
        <v>2</v>
      </c>
      <c r="Y440" s="146" t="s">
        <v>194</v>
      </c>
      <c r="Z440" s="146" t="s">
        <v>195</v>
      </c>
      <c r="AA440" s="146" t="s">
        <v>196</v>
      </c>
      <c r="AB440" s="146" t="s">
        <v>187</v>
      </c>
      <c r="AC440" s="146" t="s">
        <v>187</v>
      </c>
      <c r="AD440" s="148"/>
      <c r="AE440" s="146" t="s">
        <v>209</v>
      </c>
      <c r="AF440" s="147">
        <v>-8.3408160000000002</v>
      </c>
      <c r="AG440" s="149">
        <v>121.68490799999999</v>
      </c>
      <c r="AM440" s="133" t="str" cm="1">
        <f t="array" ref="AM440">IF(ROWS($AN$2:$AN439)&lt;=$AN$2,INDEX($V$3:$V$3000,_xlfn.AGGREGATE(15,3,($B$3:$B$3000=$AM$2)/($B$3:$B$3000=$AM$2)*(ROW($B$3:$B$3000)-ROW($B$2)),ROWS($AN$2:$AN439))),"")</f>
        <v/>
      </c>
      <c r="AN440" s="134" t="str" cm="1">
        <f t="array" ref="AN440">IF(ROWS($AN$2:$AN439)&lt;=$AN$2,INDEX($F$3:$F$3000,_xlfn.AGGREGATE(15,3,($B$3:$B$3000=$AM$2)/($B$3:$B$3000=$AM$2)*(ROW($B$3:$B$3000)-ROW($B$2)),ROWS($AN$2:$AN439))),"")</f>
        <v/>
      </c>
      <c r="AO440" s="135" t="str" cm="1">
        <f t="array" ref="AO440">IF(ROWS($AN$2:$AN439)&lt;=$AN$2,INDEX($G$3:$G$3000,_xlfn.AGGREGATE(15,3,($B$3:$B$3000=$AM$2)/($B$3:$B$3000=$AM$2)*(ROW($B$3:$B$3000)-ROW($B$2)),ROWS($AN$2:$AN439))),"")</f>
        <v/>
      </c>
      <c r="AP440" s="121"/>
      <c r="AT440" s="111"/>
      <c r="AW440" s="134"/>
      <c r="AX440" s="136"/>
      <c r="AY440" s="134"/>
    </row>
    <row r="441" spans="1:51" s="110" customFormat="1" ht="20" customHeight="1">
      <c r="A441" s="125" t="s">
        <v>185</v>
      </c>
      <c r="B441" s="126" t="s">
        <v>59</v>
      </c>
      <c r="C441" s="127">
        <v>13326</v>
      </c>
      <c r="D441" s="145">
        <v>107224</v>
      </c>
      <c r="E441" s="146" t="s">
        <v>3505</v>
      </c>
      <c r="F441" s="146" t="s">
        <v>3505</v>
      </c>
      <c r="G441" s="147">
        <v>8300</v>
      </c>
      <c r="H441" s="147">
        <v>4</v>
      </c>
      <c r="I441" s="146" t="s">
        <v>209</v>
      </c>
      <c r="J441" s="146" t="s">
        <v>3506</v>
      </c>
      <c r="K441" s="146" t="s">
        <v>3507</v>
      </c>
      <c r="L441" s="147">
        <v>1</v>
      </c>
      <c r="M441" s="147">
        <v>1</v>
      </c>
      <c r="N441" s="146" t="s">
        <v>1544</v>
      </c>
      <c r="O441" s="147">
        <v>90</v>
      </c>
      <c r="P441" s="147">
        <v>8</v>
      </c>
      <c r="Q441" s="147">
        <v>17</v>
      </c>
      <c r="R441" s="146" t="s">
        <v>190</v>
      </c>
      <c r="S441" s="146" t="s">
        <v>191</v>
      </c>
      <c r="T441" s="147">
        <v>171</v>
      </c>
      <c r="U441" s="146" t="s">
        <v>251</v>
      </c>
      <c r="V441" s="146" t="s">
        <v>252</v>
      </c>
      <c r="W441" s="147">
        <v>1</v>
      </c>
      <c r="X441" s="147">
        <v>2</v>
      </c>
      <c r="Y441" s="146" t="s">
        <v>194</v>
      </c>
      <c r="Z441" s="146" t="s">
        <v>195</v>
      </c>
      <c r="AA441" s="146" t="s">
        <v>196</v>
      </c>
      <c r="AB441" s="146" t="s">
        <v>187</v>
      </c>
      <c r="AC441" s="146" t="s">
        <v>187</v>
      </c>
      <c r="AD441" s="148"/>
      <c r="AE441" s="146" t="s">
        <v>209</v>
      </c>
      <c r="AF441" s="147">
        <v>-8.8410100000000007</v>
      </c>
      <c r="AG441" s="149">
        <v>121.11918</v>
      </c>
      <c r="AM441" s="133" t="str" cm="1">
        <f t="array" ref="AM441">IF(ROWS($AN$2:$AN440)&lt;=$AN$2,INDEX($V$3:$V$3000,_xlfn.AGGREGATE(15,3,($B$3:$B$3000=$AM$2)/($B$3:$B$3000=$AM$2)*(ROW($B$3:$B$3000)-ROW($B$2)),ROWS($AN$2:$AN440))),"")</f>
        <v/>
      </c>
      <c r="AN441" s="134" t="str" cm="1">
        <f t="array" ref="AN441">IF(ROWS($AN$2:$AN440)&lt;=$AN$2,INDEX($F$3:$F$3000,_xlfn.AGGREGATE(15,3,($B$3:$B$3000=$AM$2)/($B$3:$B$3000=$AM$2)*(ROW($B$3:$B$3000)-ROW($B$2)),ROWS($AN$2:$AN440))),"")</f>
        <v/>
      </c>
      <c r="AO441" s="135" t="str" cm="1">
        <f t="array" ref="AO441">IF(ROWS($AN$2:$AN440)&lt;=$AN$2,INDEX($G$3:$G$3000,_xlfn.AGGREGATE(15,3,($B$3:$B$3000=$AM$2)/($B$3:$B$3000=$AM$2)*(ROW($B$3:$B$3000)-ROW($B$2)),ROWS($AN$2:$AN440))),"")</f>
        <v/>
      </c>
      <c r="AP441" s="121"/>
      <c r="AT441" s="111"/>
      <c r="AW441" s="134"/>
      <c r="AX441" s="136"/>
      <c r="AY441" s="134"/>
    </row>
    <row r="442" spans="1:51" s="110" customFormat="1" ht="20" customHeight="1">
      <c r="A442" s="125" t="s">
        <v>185</v>
      </c>
      <c r="B442" s="126" t="s">
        <v>59</v>
      </c>
      <c r="C442" s="127">
        <v>15408</v>
      </c>
      <c r="D442" s="145">
        <v>110850</v>
      </c>
      <c r="E442" s="146" t="s">
        <v>3379</v>
      </c>
      <c r="F442" s="146" t="s">
        <v>3380</v>
      </c>
      <c r="G442" s="147">
        <v>6700</v>
      </c>
      <c r="H442" s="147">
        <v>4</v>
      </c>
      <c r="I442" s="146" t="s">
        <v>209</v>
      </c>
      <c r="J442" s="146" t="s">
        <v>3381</v>
      </c>
      <c r="K442" s="146" t="s">
        <v>3382</v>
      </c>
      <c r="L442" s="147">
        <v>1</v>
      </c>
      <c r="M442" s="147">
        <v>1</v>
      </c>
      <c r="N442" s="146" t="s">
        <v>1544</v>
      </c>
      <c r="O442" s="147">
        <v>55</v>
      </c>
      <c r="P442" s="147">
        <v>6</v>
      </c>
      <c r="Q442" s="147">
        <v>17</v>
      </c>
      <c r="R442" s="146" t="s">
        <v>190</v>
      </c>
      <c r="S442" s="146" t="s">
        <v>191</v>
      </c>
      <c r="T442" s="147">
        <v>171</v>
      </c>
      <c r="U442" s="146" t="s">
        <v>251</v>
      </c>
      <c r="V442" s="146" t="s">
        <v>252</v>
      </c>
      <c r="W442" s="147">
        <v>1</v>
      </c>
      <c r="X442" s="147">
        <v>2</v>
      </c>
      <c r="Y442" s="146" t="s">
        <v>194</v>
      </c>
      <c r="Z442" s="146" t="s">
        <v>195</v>
      </c>
      <c r="AA442" s="146" t="s">
        <v>196</v>
      </c>
      <c r="AB442" s="146" t="s">
        <v>187</v>
      </c>
      <c r="AC442" s="146" t="s">
        <v>187</v>
      </c>
      <c r="AD442" s="148"/>
      <c r="AE442" s="146" t="s">
        <v>209</v>
      </c>
      <c r="AF442" s="147">
        <v>-8.2575800000000008</v>
      </c>
      <c r="AG442" s="149">
        <v>124.80097000000001</v>
      </c>
      <c r="AM442" s="133" t="str" cm="1">
        <f t="array" ref="AM442">IF(ROWS($AN$2:$AN441)&lt;=$AN$2,INDEX($V$3:$V$3000,_xlfn.AGGREGATE(15,3,($B$3:$B$3000=$AM$2)/($B$3:$B$3000=$AM$2)*(ROW($B$3:$B$3000)-ROW($B$2)),ROWS($AN$2:$AN441))),"")</f>
        <v/>
      </c>
      <c r="AN442" s="134" t="str" cm="1">
        <f t="array" ref="AN442">IF(ROWS($AN$2:$AN441)&lt;=$AN$2,INDEX($F$3:$F$3000,_xlfn.AGGREGATE(15,3,($B$3:$B$3000=$AM$2)/($B$3:$B$3000=$AM$2)*(ROW($B$3:$B$3000)-ROW($B$2)),ROWS($AN$2:$AN441))),"")</f>
        <v/>
      </c>
      <c r="AO442" s="135" t="str" cm="1">
        <f t="array" ref="AO442">IF(ROWS($AN$2:$AN441)&lt;=$AN$2,INDEX($G$3:$G$3000,_xlfn.AGGREGATE(15,3,($B$3:$B$3000=$AM$2)/($B$3:$B$3000=$AM$2)*(ROW($B$3:$B$3000)-ROW($B$2)),ROWS($AN$2:$AN441))),"")</f>
        <v/>
      </c>
      <c r="AP442" s="121"/>
      <c r="AT442" s="111"/>
      <c r="AW442" s="134"/>
      <c r="AX442" s="136"/>
      <c r="AY442" s="134"/>
    </row>
    <row r="443" spans="1:51" s="110" customFormat="1" ht="20" customHeight="1">
      <c r="A443" s="125" t="s">
        <v>185</v>
      </c>
      <c r="B443" s="126" t="s">
        <v>59</v>
      </c>
      <c r="C443" s="127">
        <v>12613</v>
      </c>
      <c r="D443" s="145">
        <v>104817</v>
      </c>
      <c r="E443" s="146" t="s">
        <v>3284</v>
      </c>
      <c r="F443" s="146" t="s">
        <v>3285</v>
      </c>
      <c r="G443" s="147">
        <v>5800</v>
      </c>
      <c r="H443" s="147">
        <v>4</v>
      </c>
      <c r="I443" s="146" t="s">
        <v>209</v>
      </c>
      <c r="J443" s="146" t="s">
        <v>3286</v>
      </c>
      <c r="K443" s="146" t="s">
        <v>3287</v>
      </c>
      <c r="L443" s="147">
        <v>2</v>
      </c>
      <c r="M443" s="147">
        <v>1</v>
      </c>
      <c r="N443" s="146" t="s">
        <v>1544</v>
      </c>
      <c r="O443" s="147">
        <v>55</v>
      </c>
      <c r="P443" s="147">
        <v>4</v>
      </c>
      <c r="Q443" s="147">
        <v>17</v>
      </c>
      <c r="R443" s="146" t="s">
        <v>190</v>
      </c>
      <c r="S443" s="146" t="s">
        <v>191</v>
      </c>
      <c r="T443" s="147">
        <v>171</v>
      </c>
      <c r="U443" s="146" t="s">
        <v>251</v>
      </c>
      <c r="V443" s="146" t="s">
        <v>252</v>
      </c>
      <c r="W443" s="147">
        <v>1</v>
      </c>
      <c r="X443" s="147">
        <v>2</v>
      </c>
      <c r="Y443" s="146" t="s">
        <v>194</v>
      </c>
      <c r="Z443" s="146" t="s">
        <v>195</v>
      </c>
      <c r="AA443" s="146" t="s">
        <v>196</v>
      </c>
      <c r="AB443" s="146" t="s">
        <v>187</v>
      </c>
      <c r="AC443" s="146" t="s">
        <v>187</v>
      </c>
      <c r="AD443" s="148"/>
      <c r="AE443" s="146" t="s">
        <v>209</v>
      </c>
      <c r="AF443" s="147">
        <v>-8.4</v>
      </c>
      <c r="AG443" s="149">
        <v>124.41601</v>
      </c>
      <c r="AM443" s="133" t="str" cm="1">
        <f t="array" ref="AM443">IF(ROWS($AN$2:$AN442)&lt;=$AN$2,INDEX($V$3:$V$3000,_xlfn.AGGREGATE(15,3,($B$3:$B$3000=$AM$2)/($B$3:$B$3000=$AM$2)*(ROW($B$3:$B$3000)-ROW($B$2)),ROWS($AN$2:$AN442))),"")</f>
        <v/>
      </c>
      <c r="AN443" s="134" t="str" cm="1">
        <f t="array" ref="AN443">IF(ROWS($AN$2:$AN442)&lt;=$AN$2,INDEX($F$3:$F$3000,_xlfn.AGGREGATE(15,3,($B$3:$B$3000=$AM$2)/($B$3:$B$3000=$AM$2)*(ROW($B$3:$B$3000)-ROW($B$2)),ROWS($AN$2:$AN442))),"")</f>
        <v/>
      </c>
      <c r="AO443" s="135" t="str" cm="1">
        <f t="array" ref="AO443">IF(ROWS($AN$2:$AN442)&lt;=$AN$2,INDEX($G$3:$G$3000,_xlfn.AGGREGATE(15,3,($B$3:$B$3000=$AM$2)/($B$3:$B$3000=$AM$2)*(ROW($B$3:$B$3000)-ROW($B$2)),ROWS($AN$2:$AN442))),"")</f>
        <v/>
      </c>
      <c r="AP443" s="121"/>
      <c r="AT443" s="111"/>
      <c r="AW443" s="134"/>
      <c r="AX443" s="136"/>
      <c r="AY443" s="134"/>
    </row>
    <row r="444" spans="1:51" s="110" customFormat="1" ht="20" customHeight="1">
      <c r="A444" s="125" t="s">
        <v>185</v>
      </c>
      <c r="B444" s="126" t="s">
        <v>59</v>
      </c>
      <c r="C444" s="127">
        <v>14540</v>
      </c>
      <c r="D444" s="145">
        <v>108350</v>
      </c>
      <c r="E444" s="146" t="s">
        <v>3278</v>
      </c>
      <c r="F444" s="146" t="s">
        <v>3278</v>
      </c>
      <c r="G444" s="147">
        <v>5700</v>
      </c>
      <c r="H444" s="147">
        <v>4</v>
      </c>
      <c r="I444" s="146" t="s">
        <v>209</v>
      </c>
      <c r="J444" s="146" t="s">
        <v>3279</v>
      </c>
      <c r="K444" s="146" t="s">
        <v>3278</v>
      </c>
      <c r="L444" s="147">
        <v>1</v>
      </c>
      <c r="M444" s="147">
        <v>1</v>
      </c>
      <c r="N444" s="146" t="s">
        <v>1544</v>
      </c>
      <c r="O444" s="147">
        <v>80</v>
      </c>
      <c r="P444" s="147">
        <v>3</v>
      </c>
      <c r="Q444" s="147">
        <v>17</v>
      </c>
      <c r="R444" s="146" t="s">
        <v>190</v>
      </c>
      <c r="S444" s="146" t="s">
        <v>191</v>
      </c>
      <c r="T444" s="147">
        <v>171</v>
      </c>
      <c r="U444" s="146" t="s">
        <v>251</v>
      </c>
      <c r="V444" s="146" t="s">
        <v>252</v>
      </c>
      <c r="W444" s="147">
        <v>1</v>
      </c>
      <c r="X444" s="147">
        <v>2</v>
      </c>
      <c r="Y444" s="146" t="s">
        <v>194</v>
      </c>
      <c r="Z444" s="146" t="s">
        <v>195</v>
      </c>
      <c r="AA444" s="146" t="s">
        <v>196</v>
      </c>
      <c r="AB444" s="146" t="s">
        <v>187</v>
      </c>
      <c r="AC444" s="146" t="s">
        <v>187</v>
      </c>
      <c r="AD444" s="148"/>
      <c r="AE444" s="146" t="s">
        <v>209</v>
      </c>
      <c r="AF444" s="147">
        <v>-8.5086499999999994</v>
      </c>
      <c r="AG444" s="149">
        <v>120.95689</v>
      </c>
      <c r="AM444" s="133" t="str" cm="1">
        <f t="array" ref="AM444">IF(ROWS($AN$2:$AN443)&lt;=$AN$2,INDEX($V$3:$V$3000,_xlfn.AGGREGATE(15,3,($B$3:$B$3000=$AM$2)/($B$3:$B$3000=$AM$2)*(ROW($B$3:$B$3000)-ROW($B$2)),ROWS($AN$2:$AN443))),"")</f>
        <v/>
      </c>
      <c r="AN444" s="134" t="str" cm="1">
        <f t="array" ref="AN444">IF(ROWS($AN$2:$AN443)&lt;=$AN$2,INDEX($F$3:$F$3000,_xlfn.AGGREGATE(15,3,($B$3:$B$3000=$AM$2)/($B$3:$B$3000=$AM$2)*(ROW($B$3:$B$3000)-ROW($B$2)),ROWS($AN$2:$AN443))),"")</f>
        <v/>
      </c>
      <c r="AO444" s="135" t="str" cm="1">
        <f t="array" ref="AO444">IF(ROWS($AN$2:$AN443)&lt;=$AN$2,INDEX($G$3:$G$3000,_xlfn.AGGREGATE(15,3,($B$3:$B$3000=$AM$2)/($B$3:$B$3000=$AM$2)*(ROW($B$3:$B$3000)-ROW($B$2)),ROWS($AN$2:$AN443))),"")</f>
        <v/>
      </c>
      <c r="AP444" s="121"/>
      <c r="AT444" s="111"/>
      <c r="AW444" s="134"/>
      <c r="AX444" s="136"/>
      <c r="AY444" s="134"/>
    </row>
    <row r="445" spans="1:51" s="110" customFormat="1" ht="20" customHeight="1">
      <c r="A445" s="125" t="s">
        <v>185</v>
      </c>
      <c r="B445" s="126" t="s">
        <v>59</v>
      </c>
      <c r="C445" s="127">
        <v>12395</v>
      </c>
      <c r="D445" s="145">
        <v>104356</v>
      </c>
      <c r="E445" s="146" t="s">
        <v>3242</v>
      </c>
      <c r="F445" s="146" t="s">
        <v>3243</v>
      </c>
      <c r="G445" s="147">
        <v>5400</v>
      </c>
      <c r="H445" s="147">
        <v>4</v>
      </c>
      <c r="I445" s="146" t="s">
        <v>209</v>
      </c>
      <c r="J445" s="146" t="s">
        <v>3244</v>
      </c>
      <c r="K445" s="146" t="s">
        <v>3242</v>
      </c>
      <c r="L445" s="147">
        <v>2</v>
      </c>
      <c r="M445" s="147">
        <v>1</v>
      </c>
      <c r="N445" s="146" t="s">
        <v>1544</v>
      </c>
      <c r="O445" s="147">
        <v>60</v>
      </c>
      <c r="P445" s="147">
        <v>5</v>
      </c>
      <c r="Q445" s="147">
        <v>17</v>
      </c>
      <c r="R445" s="146" t="s">
        <v>190</v>
      </c>
      <c r="S445" s="146" t="s">
        <v>191</v>
      </c>
      <c r="T445" s="147">
        <v>171</v>
      </c>
      <c r="U445" s="146" t="s">
        <v>251</v>
      </c>
      <c r="V445" s="146" t="s">
        <v>252</v>
      </c>
      <c r="W445" s="147">
        <v>1</v>
      </c>
      <c r="X445" s="147">
        <v>2</v>
      </c>
      <c r="Y445" s="146" t="s">
        <v>194</v>
      </c>
      <c r="Z445" s="146" t="s">
        <v>195</v>
      </c>
      <c r="AA445" s="146" t="s">
        <v>196</v>
      </c>
      <c r="AB445" s="146" t="s">
        <v>187</v>
      </c>
      <c r="AC445" s="146" t="s">
        <v>187</v>
      </c>
      <c r="AD445" s="148"/>
      <c r="AE445" s="146" t="s">
        <v>209</v>
      </c>
      <c r="AF445" s="147">
        <v>-8.1716599999999993</v>
      </c>
      <c r="AG445" s="149">
        <v>124.53522</v>
      </c>
      <c r="AM445" s="133" t="str" cm="1">
        <f t="array" ref="AM445">IF(ROWS($AN$2:$AN444)&lt;=$AN$2,INDEX($V$3:$V$3000,_xlfn.AGGREGATE(15,3,($B$3:$B$3000=$AM$2)/($B$3:$B$3000=$AM$2)*(ROW($B$3:$B$3000)-ROW($B$2)),ROWS($AN$2:$AN444))),"")</f>
        <v/>
      </c>
      <c r="AN445" s="134" t="str" cm="1">
        <f t="array" ref="AN445">IF(ROWS($AN$2:$AN444)&lt;=$AN$2,INDEX($F$3:$F$3000,_xlfn.AGGREGATE(15,3,($B$3:$B$3000=$AM$2)/($B$3:$B$3000=$AM$2)*(ROW($B$3:$B$3000)-ROW($B$2)),ROWS($AN$2:$AN444))),"")</f>
        <v/>
      </c>
      <c r="AO445" s="135" t="str" cm="1">
        <f t="array" ref="AO445">IF(ROWS($AN$2:$AN444)&lt;=$AN$2,INDEX($G$3:$G$3000,_xlfn.AGGREGATE(15,3,($B$3:$B$3000=$AM$2)/($B$3:$B$3000=$AM$2)*(ROW($B$3:$B$3000)-ROW($B$2)),ROWS($AN$2:$AN444))),"")</f>
        <v/>
      </c>
      <c r="AP445" s="121"/>
      <c r="AT445" s="111"/>
      <c r="AW445" s="134"/>
      <c r="AX445" s="136"/>
      <c r="AY445" s="134"/>
    </row>
    <row r="446" spans="1:51" s="110" customFormat="1" ht="20" customHeight="1">
      <c r="A446" s="125" t="s">
        <v>185</v>
      </c>
      <c r="B446" s="126" t="s">
        <v>59</v>
      </c>
      <c r="C446" s="127">
        <v>12752</v>
      </c>
      <c r="D446" s="145">
        <v>105118</v>
      </c>
      <c r="E446" s="146" t="s">
        <v>3183</v>
      </c>
      <c r="F446" s="146" t="s">
        <v>3184</v>
      </c>
      <c r="G446" s="147">
        <v>5000</v>
      </c>
      <c r="H446" s="147">
        <v>4</v>
      </c>
      <c r="I446" s="146" t="s">
        <v>209</v>
      </c>
      <c r="J446" s="146" t="s">
        <v>3185</v>
      </c>
      <c r="K446" s="146" t="s">
        <v>3186</v>
      </c>
      <c r="L446" s="147">
        <v>2</v>
      </c>
      <c r="M446" s="147">
        <v>1</v>
      </c>
      <c r="N446" s="146" t="s">
        <v>1544</v>
      </c>
      <c r="O446" s="147">
        <v>60</v>
      </c>
      <c r="P446" s="147">
        <v>7</v>
      </c>
      <c r="Q446" s="147">
        <v>17</v>
      </c>
      <c r="R446" s="146" t="s">
        <v>190</v>
      </c>
      <c r="S446" s="146" t="s">
        <v>191</v>
      </c>
      <c r="T446" s="147">
        <v>171</v>
      </c>
      <c r="U446" s="146" t="s">
        <v>251</v>
      </c>
      <c r="V446" s="146" t="s">
        <v>252</v>
      </c>
      <c r="W446" s="147">
        <v>1</v>
      </c>
      <c r="X446" s="147">
        <v>2</v>
      </c>
      <c r="Y446" s="146" t="s">
        <v>194</v>
      </c>
      <c r="Z446" s="146" t="s">
        <v>195</v>
      </c>
      <c r="AA446" s="146" t="s">
        <v>196</v>
      </c>
      <c r="AB446" s="146" t="s">
        <v>187</v>
      </c>
      <c r="AC446" s="146" t="s">
        <v>187</v>
      </c>
      <c r="AD446" s="148"/>
      <c r="AE446" s="146" t="s">
        <v>209</v>
      </c>
      <c r="AF446" s="147">
        <v>-8.3365799999999997</v>
      </c>
      <c r="AG446" s="149">
        <v>124.9528</v>
      </c>
      <c r="AM446" s="133" t="str" cm="1">
        <f t="array" ref="AM446">IF(ROWS($AN$2:$AN445)&lt;=$AN$2,INDEX($V$3:$V$3000,_xlfn.AGGREGATE(15,3,($B$3:$B$3000=$AM$2)/($B$3:$B$3000=$AM$2)*(ROW($B$3:$B$3000)-ROW($B$2)),ROWS($AN$2:$AN445))),"")</f>
        <v/>
      </c>
      <c r="AN446" s="134" t="str" cm="1">
        <f t="array" ref="AN446">IF(ROWS($AN$2:$AN445)&lt;=$AN$2,INDEX($F$3:$F$3000,_xlfn.AGGREGATE(15,3,($B$3:$B$3000=$AM$2)/($B$3:$B$3000=$AM$2)*(ROW($B$3:$B$3000)-ROW($B$2)),ROWS($AN$2:$AN445))),"")</f>
        <v/>
      </c>
      <c r="AO446" s="135" t="str" cm="1">
        <f t="array" ref="AO446">IF(ROWS($AN$2:$AN445)&lt;=$AN$2,INDEX($G$3:$G$3000,_xlfn.AGGREGATE(15,3,($B$3:$B$3000=$AM$2)/($B$3:$B$3000=$AM$2)*(ROW($B$3:$B$3000)-ROW($B$2)),ROWS($AN$2:$AN445))),"")</f>
        <v/>
      </c>
      <c r="AP446" s="121"/>
      <c r="AT446" s="111"/>
      <c r="AW446" s="134"/>
      <c r="AX446" s="136"/>
      <c r="AY446" s="134"/>
    </row>
    <row r="447" spans="1:51" s="110" customFormat="1" ht="20" customHeight="1">
      <c r="A447" s="125" t="s">
        <v>185</v>
      </c>
      <c r="B447" s="126" t="s">
        <v>59</v>
      </c>
      <c r="C447" s="127">
        <v>14793</v>
      </c>
      <c r="D447" s="145">
        <v>108761</v>
      </c>
      <c r="E447" s="146" t="s">
        <v>3051</v>
      </c>
      <c r="F447" s="146" t="s">
        <v>3051</v>
      </c>
      <c r="G447" s="147">
        <v>4100</v>
      </c>
      <c r="H447" s="147">
        <v>4</v>
      </c>
      <c r="I447" s="146" t="s">
        <v>209</v>
      </c>
      <c r="J447" s="146" t="s">
        <v>3052</v>
      </c>
      <c r="K447" s="146" t="s">
        <v>3051</v>
      </c>
      <c r="L447" s="147">
        <v>1</v>
      </c>
      <c r="M447" s="147">
        <v>1</v>
      </c>
      <c r="N447" s="146" t="s">
        <v>1544</v>
      </c>
      <c r="O447" s="147">
        <v>45</v>
      </c>
      <c r="P447" s="147">
        <v>4</v>
      </c>
      <c r="Q447" s="147">
        <v>17</v>
      </c>
      <c r="R447" s="146" t="s">
        <v>190</v>
      </c>
      <c r="S447" s="146" t="s">
        <v>191</v>
      </c>
      <c r="T447" s="147">
        <v>171</v>
      </c>
      <c r="U447" s="146" t="s">
        <v>251</v>
      </c>
      <c r="V447" s="146" t="s">
        <v>252</v>
      </c>
      <c r="W447" s="147">
        <v>1</v>
      </c>
      <c r="X447" s="147">
        <v>2</v>
      </c>
      <c r="Y447" s="146" t="s">
        <v>194</v>
      </c>
      <c r="Z447" s="146" t="s">
        <v>195</v>
      </c>
      <c r="AA447" s="146" t="s">
        <v>196</v>
      </c>
      <c r="AB447" s="146" t="s">
        <v>187</v>
      </c>
      <c r="AC447" s="146" t="s">
        <v>187</v>
      </c>
      <c r="AD447" s="148"/>
      <c r="AE447" s="146" t="s">
        <v>209</v>
      </c>
      <c r="AF447" s="147">
        <v>-8.2899600000000007</v>
      </c>
      <c r="AG447" s="149">
        <v>125.07563</v>
      </c>
      <c r="AM447" s="133" t="str" cm="1">
        <f t="array" ref="AM447">IF(ROWS($AN$2:$AN446)&lt;=$AN$2,INDEX($V$3:$V$3000,_xlfn.AGGREGATE(15,3,($B$3:$B$3000=$AM$2)/($B$3:$B$3000=$AM$2)*(ROW($B$3:$B$3000)-ROW($B$2)),ROWS($AN$2:$AN446))),"")</f>
        <v/>
      </c>
      <c r="AN447" s="134" t="str" cm="1">
        <f t="array" ref="AN447">IF(ROWS($AN$2:$AN446)&lt;=$AN$2,INDEX($F$3:$F$3000,_xlfn.AGGREGATE(15,3,($B$3:$B$3000=$AM$2)/($B$3:$B$3000=$AM$2)*(ROW($B$3:$B$3000)-ROW($B$2)),ROWS($AN$2:$AN446))),"")</f>
        <v/>
      </c>
      <c r="AO447" s="135" t="str" cm="1">
        <f t="array" ref="AO447">IF(ROWS($AN$2:$AN446)&lt;=$AN$2,INDEX($G$3:$G$3000,_xlfn.AGGREGATE(15,3,($B$3:$B$3000=$AM$2)/($B$3:$B$3000=$AM$2)*(ROW($B$3:$B$3000)-ROW($B$2)),ROWS($AN$2:$AN446))),"")</f>
        <v/>
      </c>
      <c r="AP447" s="121"/>
      <c r="AT447" s="111"/>
      <c r="AW447" s="134"/>
      <c r="AX447" s="136"/>
      <c r="AY447" s="134"/>
    </row>
    <row r="448" spans="1:51" s="110" customFormat="1" ht="20" customHeight="1">
      <c r="A448" s="125" t="s">
        <v>185</v>
      </c>
      <c r="B448" s="126" t="s">
        <v>59</v>
      </c>
      <c r="C448" s="127">
        <v>19539</v>
      </c>
      <c r="D448" s="145">
        <v>115031</v>
      </c>
      <c r="E448" s="146" t="s">
        <v>2899</v>
      </c>
      <c r="F448" s="146" t="s">
        <v>2899</v>
      </c>
      <c r="G448" s="147">
        <v>3100</v>
      </c>
      <c r="H448" s="147">
        <v>4</v>
      </c>
      <c r="I448" s="146" t="s">
        <v>209</v>
      </c>
      <c r="J448" s="146" t="s">
        <v>2900</v>
      </c>
      <c r="K448" s="146" t="s">
        <v>2899</v>
      </c>
      <c r="L448" s="147">
        <v>1</v>
      </c>
      <c r="M448" s="147">
        <v>1</v>
      </c>
      <c r="N448" s="146" t="s">
        <v>1544</v>
      </c>
      <c r="O448" s="147">
        <v>70</v>
      </c>
      <c r="P448" s="147">
        <v>4</v>
      </c>
      <c r="Q448" s="147">
        <v>17</v>
      </c>
      <c r="R448" s="146" t="s">
        <v>190</v>
      </c>
      <c r="S448" s="146" t="s">
        <v>191</v>
      </c>
      <c r="T448" s="147">
        <v>171</v>
      </c>
      <c r="U448" s="146" t="s">
        <v>251</v>
      </c>
      <c r="V448" s="146" t="s">
        <v>252</v>
      </c>
      <c r="W448" s="147">
        <v>1</v>
      </c>
      <c r="X448" s="147">
        <v>2</v>
      </c>
      <c r="Y448" s="146" t="s">
        <v>194</v>
      </c>
      <c r="Z448" s="146" t="s">
        <v>195</v>
      </c>
      <c r="AA448" s="146" t="s">
        <v>196</v>
      </c>
      <c r="AB448" s="146" t="s">
        <v>187</v>
      </c>
      <c r="AC448" s="146" t="s">
        <v>187</v>
      </c>
      <c r="AD448" s="148"/>
      <c r="AE448" s="146" t="s">
        <v>209</v>
      </c>
      <c r="AF448" s="147">
        <v>-8.1890800000000006</v>
      </c>
      <c r="AG448" s="149">
        <v>124.45263</v>
      </c>
      <c r="AM448" s="133" t="str" cm="1">
        <f t="array" ref="AM448">IF(ROWS($AN$2:$AN447)&lt;=$AN$2,INDEX($V$3:$V$3000,_xlfn.AGGREGATE(15,3,($B$3:$B$3000=$AM$2)/($B$3:$B$3000=$AM$2)*(ROW($B$3:$B$3000)-ROW($B$2)),ROWS($AN$2:$AN447))),"")</f>
        <v/>
      </c>
      <c r="AN448" s="134" t="str" cm="1">
        <f t="array" ref="AN448">IF(ROWS($AN$2:$AN447)&lt;=$AN$2,INDEX($F$3:$F$3000,_xlfn.AGGREGATE(15,3,($B$3:$B$3000=$AM$2)/($B$3:$B$3000=$AM$2)*(ROW($B$3:$B$3000)-ROW($B$2)),ROWS($AN$2:$AN447))),"")</f>
        <v/>
      </c>
      <c r="AO448" s="135" t="str" cm="1">
        <f t="array" ref="AO448">IF(ROWS($AN$2:$AN447)&lt;=$AN$2,INDEX($G$3:$G$3000,_xlfn.AGGREGATE(15,3,($B$3:$B$3000=$AM$2)/($B$3:$B$3000=$AM$2)*(ROW($B$3:$B$3000)-ROW($B$2)),ROWS($AN$2:$AN447))),"")</f>
        <v/>
      </c>
      <c r="AP448" s="121"/>
      <c r="AT448" s="111"/>
      <c r="AW448" s="134"/>
      <c r="AX448" s="136"/>
      <c r="AY448" s="134"/>
    </row>
    <row r="449" spans="1:51" s="110" customFormat="1" ht="20" customHeight="1">
      <c r="A449" s="125" t="s">
        <v>185</v>
      </c>
      <c r="B449" s="126" t="s">
        <v>59</v>
      </c>
      <c r="C449" s="127">
        <v>19075</v>
      </c>
      <c r="D449" s="145">
        <v>115134</v>
      </c>
      <c r="E449" s="146" t="s">
        <v>2838</v>
      </c>
      <c r="F449" s="146" t="s">
        <v>2838</v>
      </c>
      <c r="G449" s="147">
        <v>2700</v>
      </c>
      <c r="H449" s="147">
        <v>4</v>
      </c>
      <c r="I449" s="146" t="s">
        <v>209</v>
      </c>
      <c r="J449" s="146" t="s">
        <v>2839</v>
      </c>
      <c r="K449" s="146" t="s">
        <v>2840</v>
      </c>
      <c r="L449" s="147">
        <v>1</v>
      </c>
      <c r="M449" s="147">
        <v>1</v>
      </c>
      <c r="N449" s="146" t="s">
        <v>1544</v>
      </c>
      <c r="O449" s="147">
        <v>55</v>
      </c>
      <c r="P449" s="147">
        <v>3</v>
      </c>
      <c r="Q449" s="147">
        <v>17</v>
      </c>
      <c r="R449" s="146" t="s">
        <v>190</v>
      </c>
      <c r="S449" s="146" t="s">
        <v>191</v>
      </c>
      <c r="T449" s="147">
        <v>171</v>
      </c>
      <c r="U449" s="146" t="s">
        <v>251</v>
      </c>
      <c r="V449" s="146" t="s">
        <v>252</v>
      </c>
      <c r="W449" s="147">
        <v>1</v>
      </c>
      <c r="X449" s="147">
        <v>2</v>
      </c>
      <c r="Y449" s="146" t="s">
        <v>194</v>
      </c>
      <c r="Z449" s="146" t="s">
        <v>195</v>
      </c>
      <c r="AA449" s="146" t="s">
        <v>196</v>
      </c>
      <c r="AB449" s="146" t="s">
        <v>187</v>
      </c>
      <c r="AC449" s="146" t="s">
        <v>187</v>
      </c>
      <c r="AD449" s="148"/>
      <c r="AE449" s="146" t="s">
        <v>209</v>
      </c>
      <c r="AF449" s="147">
        <v>-8.3820400002458104</v>
      </c>
      <c r="AG449" s="149">
        <v>124.791219999603</v>
      </c>
      <c r="AM449" s="133" t="str" cm="1">
        <f t="array" ref="AM449">IF(ROWS($AN$2:$AN448)&lt;=$AN$2,INDEX($V$3:$V$3000,_xlfn.AGGREGATE(15,3,($B$3:$B$3000=$AM$2)/($B$3:$B$3000=$AM$2)*(ROW($B$3:$B$3000)-ROW($B$2)),ROWS($AN$2:$AN448))),"")</f>
        <v/>
      </c>
      <c r="AN449" s="134" t="str" cm="1">
        <f t="array" ref="AN449">IF(ROWS($AN$2:$AN448)&lt;=$AN$2,INDEX($F$3:$F$3000,_xlfn.AGGREGATE(15,3,($B$3:$B$3000=$AM$2)/($B$3:$B$3000=$AM$2)*(ROW($B$3:$B$3000)-ROW($B$2)),ROWS($AN$2:$AN448))),"")</f>
        <v/>
      </c>
      <c r="AO449" s="135" t="str" cm="1">
        <f t="array" ref="AO449">IF(ROWS($AN$2:$AN448)&lt;=$AN$2,INDEX($G$3:$G$3000,_xlfn.AGGREGATE(15,3,($B$3:$B$3000=$AM$2)/($B$3:$B$3000=$AM$2)*(ROW($B$3:$B$3000)-ROW($B$2)),ROWS($AN$2:$AN448))),"")</f>
        <v/>
      </c>
      <c r="AP449" s="121"/>
      <c r="AT449" s="111"/>
      <c r="AW449" s="134"/>
      <c r="AX449" s="136"/>
      <c r="AY449" s="134"/>
    </row>
    <row r="450" spans="1:51" s="110" customFormat="1" ht="20" customHeight="1">
      <c r="A450" s="125" t="s">
        <v>185</v>
      </c>
      <c r="B450" s="126" t="s">
        <v>59</v>
      </c>
      <c r="C450" s="127">
        <v>12409</v>
      </c>
      <c r="D450" s="145">
        <v>104393</v>
      </c>
      <c r="E450" s="146" t="s">
        <v>2636</v>
      </c>
      <c r="F450" s="146" t="s">
        <v>2636</v>
      </c>
      <c r="G450" s="147">
        <v>1800</v>
      </c>
      <c r="H450" s="147">
        <v>4</v>
      </c>
      <c r="I450" s="146" t="s">
        <v>209</v>
      </c>
      <c r="J450" s="146" t="s">
        <v>2637</v>
      </c>
      <c r="K450" s="146" t="s">
        <v>2636</v>
      </c>
      <c r="L450" s="147">
        <v>1</v>
      </c>
      <c r="M450" s="147">
        <v>1</v>
      </c>
      <c r="N450" s="146" t="s">
        <v>1544</v>
      </c>
      <c r="O450" s="147">
        <v>45</v>
      </c>
      <c r="P450" s="147">
        <v>3</v>
      </c>
      <c r="Q450" s="147">
        <v>17</v>
      </c>
      <c r="R450" s="146" t="s">
        <v>190</v>
      </c>
      <c r="S450" s="146" t="s">
        <v>191</v>
      </c>
      <c r="T450" s="147">
        <v>171</v>
      </c>
      <c r="U450" s="146" t="s">
        <v>251</v>
      </c>
      <c r="V450" s="146" t="s">
        <v>252</v>
      </c>
      <c r="W450" s="147">
        <v>1</v>
      </c>
      <c r="X450" s="147">
        <v>2</v>
      </c>
      <c r="Y450" s="146" t="s">
        <v>194</v>
      </c>
      <c r="Z450" s="146" t="s">
        <v>195</v>
      </c>
      <c r="AA450" s="146" t="s">
        <v>196</v>
      </c>
      <c r="AB450" s="146" t="s">
        <v>187</v>
      </c>
      <c r="AC450" s="146" t="s">
        <v>187</v>
      </c>
      <c r="AD450" s="148"/>
      <c r="AE450" s="146" t="s">
        <v>209</v>
      </c>
      <c r="AF450" s="147">
        <v>-8.3629200000000008</v>
      </c>
      <c r="AG450" s="149">
        <v>124.43976000000001</v>
      </c>
      <c r="AM450" s="133" t="str" cm="1">
        <f t="array" ref="AM450">IF(ROWS($AN$2:$AN449)&lt;=$AN$2,INDEX($V$3:$V$3000,_xlfn.AGGREGATE(15,3,($B$3:$B$3000=$AM$2)/($B$3:$B$3000=$AM$2)*(ROW($B$3:$B$3000)-ROW($B$2)),ROWS($AN$2:$AN449))),"")</f>
        <v/>
      </c>
      <c r="AN450" s="134" t="str" cm="1">
        <f t="array" ref="AN450">IF(ROWS($AN$2:$AN449)&lt;=$AN$2,INDEX($F$3:$F$3000,_xlfn.AGGREGATE(15,3,($B$3:$B$3000=$AM$2)/($B$3:$B$3000=$AM$2)*(ROW($B$3:$B$3000)-ROW($B$2)),ROWS($AN$2:$AN449))),"")</f>
        <v/>
      </c>
      <c r="AO450" s="135" t="str" cm="1">
        <f t="array" ref="AO450">IF(ROWS($AN$2:$AN449)&lt;=$AN$2,INDEX($G$3:$G$3000,_xlfn.AGGREGATE(15,3,($B$3:$B$3000=$AM$2)/($B$3:$B$3000=$AM$2)*(ROW($B$3:$B$3000)-ROW($B$2)),ROWS($AN$2:$AN449))),"")</f>
        <v/>
      </c>
      <c r="AP450" s="121"/>
      <c r="AT450" s="111"/>
      <c r="AW450" s="134"/>
      <c r="AX450" s="136"/>
      <c r="AY450" s="134"/>
    </row>
    <row r="451" spans="1:51" s="110" customFormat="1" ht="20" customHeight="1">
      <c r="A451" s="125" t="s">
        <v>185</v>
      </c>
      <c r="B451" s="126" t="s">
        <v>59</v>
      </c>
      <c r="C451" s="127">
        <v>12047</v>
      </c>
      <c r="D451" s="145">
        <v>103675</v>
      </c>
      <c r="E451" s="146" t="s">
        <v>2623</v>
      </c>
      <c r="F451" s="146" t="s">
        <v>2623</v>
      </c>
      <c r="G451" s="147">
        <v>1700</v>
      </c>
      <c r="H451" s="147">
        <v>4</v>
      </c>
      <c r="I451" s="146" t="s">
        <v>209</v>
      </c>
      <c r="J451" s="146" t="s">
        <v>2624</v>
      </c>
      <c r="K451" s="146" t="s">
        <v>2623</v>
      </c>
      <c r="L451" s="147">
        <v>1</v>
      </c>
      <c r="M451" s="147">
        <v>1</v>
      </c>
      <c r="N451" s="146" t="s">
        <v>1544</v>
      </c>
      <c r="O451" s="147">
        <v>80</v>
      </c>
      <c r="P451" s="147">
        <v>4</v>
      </c>
      <c r="Q451" s="147">
        <v>17</v>
      </c>
      <c r="R451" s="146" t="s">
        <v>190</v>
      </c>
      <c r="S451" s="146" t="s">
        <v>191</v>
      </c>
      <c r="T451" s="147">
        <v>171</v>
      </c>
      <c r="U451" s="146" t="s">
        <v>251</v>
      </c>
      <c r="V451" s="146" t="s">
        <v>252</v>
      </c>
      <c r="W451" s="147">
        <v>1</v>
      </c>
      <c r="X451" s="147">
        <v>2</v>
      </c>
      <c r="Y451" s="146" t="s">
        <v>194</v>
      </c>
      <c r="Z451" s="146" t="s">
        <v>195</v>
      </c>
      <c r="AA451" s="146" t="s">
        <v>196</v>
      </c>
      <c r="AB451" s="146" t="s">
        <v>187</v>
      </c>
      <c r="AC451" s="146" t="s">
        <v>187</v>
      </c>
      <c r="AD451" s="148"/>
      <c r="AE451" s="146" t="s">
        <v>209</v>
      </c>
      <c r="AF451" s="147">
        <v>-8.2464700000000004</v>
      </c>
      <c r="AG451" s="149">
        <v>124.53798</v>
      </c>
      <c r="AM451" s="133" t="str" cm="1">
        <f t="array" ref="AM451">IF(ROWS($AN$2:$AN450)&lt;=$AN$2,INDEX($V$3:$V$3000,_xlfn.AGGREGATE(15,3,($B$3:$B$3000=$AM$2)/($B$3:$B$3000=$AM$2)*(ROW($B$3:$B$3000)-ROW($B$2)),ROWS($AN$2:$AN450))),"")</f>
        <v/>
      </c>
      <c r="AN451" s="134" t="str" cm="1">
        <f t="array" ref="AN451">IF(ROWS($AN$2:$AN450)&lt;=$AN$2,INDEX($F$3:$F$3000,_xlfn.AGGREGATE(15,3,($B$3:$B$3000=$AM$2)/($B$3:$B$3000=$AM$2)*(ROW($B$3:$B$3000)-ROW($B$2)),ROWS($AN$2:$AN450))),"")</f>
        <v/>
      </c>
      <c r="AO451" s="135" t="str" cm="1">
        <f t="array" ref="AO451">IF(ROWS($AN$2:$AN450)&lt;=$AN$2,INDEX($G$3:$G$3000,_xlfn.AGGREGATE(15,3,($B$3:$B$3000=$AM$2)/($B$3:$B$3000=$AM$2)*(ROW($B$3:$B$3000)-ROW($B$2)),ROWS($AN$2:$AN450))),"")</f>
        <v/>
      </c>
      <c r="AP451" s="121"/>
      <c r="AT451" s="111"/>
      <c r="AW451" s="134"/>
      <c r="AX451" s="136"/>
      <c r="AY451" s="134"/>
    </row>
    <row r="452" spans="1:51" s="110" customFormat="1" ht="20" customHeight="1">
      <c r="A452" s="125" t="s">
        <v>185</v>
      </c>
      <c r="B452" s="126" t="s">
        <v>59</v>
      </c>
      <c r="C452" s="127">
        <v>18768</v>
      </c>
      <c r="D452" s="128">
        <v>114440</v>
      </c>
      <c r="E452" s="129" t="s">
        <v>4787</v>
      </c>
      <c r="F452" s="129" t="s">
        <v>4787</v>
      </c>
      <c r="G452" s="130">
        <v>276000</v>
      </c>
      <c r="H452" s="130">
        <v>5</v>
      </c>
      <c r="I452" s="129" t="s">
        <v>209</v>
      </c>
      <c r="J452" s="129" t="s">
        <v>4788</v>
      </c>
      <c r="K452" s="129" t="s">
        <v>4789</v>
      </c>
      <c r="L452" s="130">
        <v>5</v>
      </c>
      <c r="M452" s="130">
        <v>1</v>
      </c>
      <c r="N452" s="129" t="s">
        <v>1544</v>
      </c>
      <c r="O452" s="130">
        <v>98</v>
      </c>
      <c r="P452" s="130">
        <v>25</v>
      </c>
      <c r="Q452" s="130">
        <v>17</v>
      </c>
      <c r="R452" s="129" t="s">
        <v>190</v>
      </c>
      <c r="S452" s="129" t="s">
        <v>191</v>
      </c>
      <c r="T452" s="130">
        <v>171</v>
      </c>
      <c r="U452" s="129" t="s">
        <v>251</v>
      </c>
      <c r="V452" s="129" t="s">
        <v>252</v>
      </c>
      <c r="W452" s="130">
        <v>1</v>
      </c>
      <c r="X452" s="130">
        <v>2</v>
      </c>
      <c r="Y452" s="129" t="s">
        <v>194</v>
      </c>
      <c r="Z452" s="129" t="s">
        <v>195</v>
      </c>
      <c r="AA452" s="129" t="s">
        <v>196</v>
      </c>
      <c r="AB452" s="129" t="s">
        <v>187</v>
      </c>
      <c r="AC452" s="129" t="s">
        <v>187</v>
      </c>
      <c r="AD452" s="131"/>
      <c r="AE452" s="129" t="s">
        <v>209</v>
      </c>
      <c r="AF452" s="130">
        <v>-9.8446999999999996</v>
      </c>
      <c r="AG452" s="132">
        <v>120.19976</v>
      </c>
      <c r="AM452" s="133" t="str" cm="1">
        <f t="array" ref="AM452">IF(ROWS($AN$2:$AN451)&lt;=$AN$2,INDEX($V$3:$V$3000,_xlfn.AGGREGATE(15,3,($B$3:$B$3000=$AM$2)/($B$3:$B$3000=$AM$2)*(ROW($B$3:$B$3000)-ROW($B$2)),ROWS($AN$2:$AN451))),"")</f>
        <v/>
      </c>
      <c r="AN452" s="134" t="str" cm="1">
        <f t="array" ref="AN452">IF(ROWS($AN$2:$AN451)&lt;=$AN$2,INDEX($F$3:$F$3000,_xlfn.AGGREGATE(15,3,($B$3:$B$3000=$AM$2)/($B$3:$B$3000=$AM$2)*(ROW($B$3:$B$3000)-ROW($B$2)),ROWS($AN$2:$AN451))),"")</f>
        <v/>
      </c>
      <c r="AO452" s="135" t="str" cm="1">
        <f t="array" ref="AO452">IF(ROWS($AN$2:$AN451)&lt;=$AN$2,INDEX($G$3:$G$3000,_xlfn.AGGREGATE(15,3,($B$3:$B$3000=$AM$2)/($B$3:$B$3000=$AM$2)*(ROW($B$3:$B$3000)-ROW($B$2)),ROWS($AN$2:$AN451))),"")</f>
        <v/>
      </c>
      <c r="AP452" s="121"/>
      <c r="AT452" s="111"/>
      <c r="AW452" s="134"/>
      <c r="AX452" s="136"/>
      <c r="AY452" s="134"/>
    </row>
    <row r="453" spans="1:51" s="110" customFormat="1" ht="20" customHeight="1">
      <c r="A453" s="125" t="s">
        <v>185</v>
      </c>
      <c r="B453" s="126" t="s">
        <v>59</v>
      </c>
      <c r="C453" s="127">
        <v>14173</v>
      </c>
      <c r="D453" s="128">
        <v>108998</v>
      </c>
      <c r="E453" s="129" t="s">
        <v>4768</v>
      </c>
      <c r="F453" s="129" t="s">
        <v>4768</v>
      </c>
      <c r="G453" s="130">
        <v>250000</v>
      </c>
      <c r="H453" s="130">
        <v>5</v>
      </c>
      <c r="I453" s="129" t="s">
        <v>209</v>
      </c>
      <c r="J453" s="129" t="s">
        <v>4769</v>
      </c>
      <c r="K453" s="129" t="s">
        <v>4770</v>
      </c>
      <c r="L453" s="130">
        <v>1</v>
      </c>
      <c r="M453" s="130">
        <v>1</v>
      </c>
      <c r="N453" s="129" t="s">
        <v>1544</v>
      </c>
      <c r="O453" s="130">
        <v>100</v>
      </c>
      <c r="P453" s="130">
        <v>17</v>
      </c>
      <c r="Q453" s="130">
        <v>17</v>
      </c>
      <c r="R453" s="129" t="s">
        <v>190</v>
      </c>
      <c r="S453" s="129" t="s">
        <v>191</v>
      </c>
      <c r="T453" s="130">
        <v>171</v>
      </c>
      <c r="U453" s="129" t="s">
        <v>251</v>
      </c>
      <c r="V453" s="129" t="s">
        <v>252</v>
      </c>
      <c r="W453" s="130">
        <v>1</v>
      </c>
      <c r="X453" s="130">
        <v>2</v>
      </c>
      <c r="Y453" s="129" t="s">
        <v>194</v>
      </c>
      <c r="Z453" s="129" t="s">
        <v>195</v>
      </c>
      <c r="AA453" s="129" t="s">
        <v>196</v>
      </c>
      <c r="AB453" s="129" t="s">
        <v>187</v>
      </c>
      <c r="AC453" s="129" t="s">
        <v>187</v>
      </c>
      <c r="AD453" s="131"/>
      <c r="AE453" s="129" t="s">
        <v>209</v>
      </c>
      <c r="AF453" s="130">
        <v>-8.5878399999999999</v>
      </c>
      <c r="AG453" s="132">
        <v>122.56690999999999</v>
      </c>
      <c r="AM453" s="133" t="str" cm="1">
        <f t="array" ref="AM453">IF(ROWS($AN$2:$AN452)&lt;=$AN$2,INDEX($V$3:$V$3000,_xlfn.AGGREGATE(15,3,($B$3:$B$3000=$AM$2)/($B$3:$B$3000=$AM$2)*(ROW($B$3:$B$3000)-ROW($B$2)),ROWS($AN$2:$AN452))),"")</f>
        <v/>
      </c>
      <c r="AN453" s="134" t="str" cm="1">
        <f t="array" ref="AN453">IF(ROWS($AN$2:$AN452)&lt;=$AN$2,INDEX($F$3:$F$3000,_xlfn.AGGREGATE(15,3,($B$3:$B$3000=$AM$2)/($B$3:$B$3000=$AM$2)*(ROW($B$3:$B$3000)-ROW($B$2)),ROWS($AN$2:$AN452))),"")</f>
        <v/>
      </c>
      <c r="AO453" s="135" t="str" cm="1">
        <f t="array" ref="AO453">IF(ROWS($AN$2:$AN452)&lt;=$AN$2,INDEX($G$3:$G$3000,_xlfn.AGGREGATE(15,3,($B$3:$B$3000=$AM$2)/($B$3:$B$3000=$AM$2)*(ROW($B$3:$B$3000)-ROW($B$2)),ROWS($AN$2:$AN452))),"")</f>
        <v/>
      </c>
      <c r="AP453" s="121"/>
      <c r="AT453" s="111"/>
      <c r="AW453" s="134"/>
      <c r="AX453" s="136"/>
      <c r="AY453" s="134"/>
    </row>
    <row r="454" spans="1:51" s="110" customFormat="1" ht="20" customHeight="1">
      <c r="A454" s="125" t="s">
        <v>185</v>
      </c>
      <c r="B454" s="126" t="s">
        <v>59</v>
      </c>
      <c r="C454" s="127">
        <v>13071</v>
      </c>
      <c r="D454" s="128">
        <v>105792</v>
      </c>
      <c r="E454" s="129" t="s">
        <v>4654</v>
      </c>
      <c r="F454" s="129" t="s">
        <v>4655</v>
      </c>
      <c r="G454" s="130">
        <v>121000</v>
      </c>
      <c r="H454" s="130">
        <v>5</v>
      </c>
      <c r="I454" s="129" t="s">
        <v>209</v>
      </c>
      <c r="J454" s="129" t="s">
        <v>4656</v>
      </c>
      <c r="K454" s="129" t="s">
        <v>4654</v>
      </c>
      <c r="L454" s="130">
        <v>1</v>
      </c>
      <c r="M454" s="130">
        <v>1</v>
      </c>
      <c r="N454" s="129" t="s">
        <v>1544</v>
      </c>
      <c r="O454" s="130">
        <v>80</v>
      </c>
      <c r="P454" s="130">
        <v>12</v>
      </c>
      <c r="Q454" s="130">
        <v>17</v>
      </c>
      <c r="R454" s="129" t="s">
        <v>190</v>
      </c>
      <c r="S454" s="129" t="s">
        <v>191</v>
      </c>
      <c r="T454" s="130">
        <v>171</v>
      </c>
      <c r="U454" s="129" t="s">
        <v>251</v>
      </c>
      <c r="V454" s="129" t="s">
        <v>252</v>
      </c>
      <c r="W454" s="130">
        <v>1</v>
      </c>
      <c r="X454" s="130">
        <v>2</v>
      </c>
      <c r="Y454" s="129" t="s">
        <v>194</v>
      </c>
      <c r="Z454" s="129" t="s">
        <v>195</v>
      </c>
      <c r="AA454" s="129" t="s">
        <v>196</v>
      </c>
      <c r="AB454" s="129" t="s">
        <v>187</v>
      </c>
      <c r="AC454" s="129" t="s">
        <v>187</v>
      </c>
      <c r="AD454" s="131"/>
      <c r="AE454" s="129" t="s">
        <v>209</v>
      </c>
      <c r="AF454" s="130">
        <v>-8.6580899999999996</v>
      </c>
      <c r="AG454" s="132">
        <v>121.84607</v>
      </c>
      <c r="AM454" s="133" t="str" cm="1">
        <f t="array" ref="AM454">IF(ROWS($AN$2:$AN453)&lt;=$AN$2,INDEX($V$3:$V$3000,_xlfn.AGGREGATE(15,3,($B$3:$B$3000=$AM$2)/($B$3:$B$3000=$AM$2)*(ROW($B$3:$B$3000)-ROW($B$2)),ROWS($AN$2:$AN453))),"")</f>
        <v/>
      </c>
      <c r="AN454" s="134" t="str" cm="1">
        <f t="array" ref="AN454">IF(ROWS($AN$2:$AN453)&lt;=$AN$2,INDEX($F$3:$F$3000,_xlfn.AGGREGATE(15,3,($B$3:$B$3000=$AM$2)/($B$3:$B$3000=$AM$2)*(ROW($B$3:$B$3000)-ROW($B$2)),ROWS($AN$2:$AN453))),"")</f>
        <v/>
      </c>
      <c r="AO454" s="135" t="str" cm="1">
        <f t="array" ref="AO454">IF(ROWS($AN$2:$AN453)&lt;=$AN$2,INDEX($G$3:$G$3000,_xlfn.AGGREGATE(15,3,($B$3:$B$3000=$AM$2)/($B$3:$B$3000=$AM$2)*(ROW($B$3:$B$3000)-ROW($B$2)),ROWS($AN$2:$AN453))),"")</f>
        <v/>
      </c>
      <c r="AP454" s="121"/>
      <c r="AT454" s="111"/>
      <c r="AW454" s="134"/>
      <c r="AX454" s="136"/>
      <c r="AY454" s="134"/>
    </row>
    <row r="455" spans="1:51" s="110" customFormat="1" ht="20" customHeight="1">
      <c r="A455" s="125" t="s">
        <v>185</v>
      </c>
      <c r="B455" s="126" t="s">
        <v>59</v>
      </c>
      <c r="C455" s="127">
        <v>10138</v>
      </c>
      <c r="D455" s="128">
        <v>100029</v>
      </c>
      <c r="E455" s="129" t="s">
        <v>4181</v>
      </c>
      <c r="F455" s="129" t="s">
        <v>4182</v>
      </c>
      <c r="G455" s="130">
        <v>28000</v>
      </c>
      <c r="H455" s="130">
        <v>5</v>
      </c>
      <c r="I455" s="129" t="s">
        <v>209</v>
      </c>
      <c r="J455" s="129" t="s">
        <v>4183</v>
      </c>
      <c r="K455" s="129" t="s">
        <v>4181</v>
      </c>
      <c r="L455" s="130">
        <v>1</v>
      </c>
      <c r="M455" s="130">
        <v>1</v>
      </c>
      <c r="N455" s="129" t="s">
        <v>1544</v>
      </c>
      <c r="O455" s="130">
        <v>50</v>
      </c>
      <c r="P455" s="130">
        <v>12</v>
      </c>
      <c r="Q455" s="130">
        <v>17</v>
      </c>
      <c r="R455" s="129" t="s">
        <v>190</v>
      </c>
      <c r="S455" s="129" t="s">
        <v>191</v>
      </c>
      <c r="T455" s="130">
        <v>171</v>
      </c>
      <c r="U455" s="129" t="s">
        <v>251</v>
      </c>
      <c r="V455" s="129" t="s">
        <v>252</v>
      </c>
      <c r="W455" s="130">
        <v>1</v>
      </c>
      <c r="X455" s="130">
        <v>2</v>
      </c>
      <c r="Y455" s="129" t="s">
        <v>194</v>
      </c>
      <c r="Z455" s="129" t="s">
        <v>195</v>
      </c>
      <c r="AA455" s="129" t="s">
        <v>196</v>
      </c>
      <c r="AB455" s="129" t="s">
        <v>187</v>
      </c>
      <c r="AC455" s="129" t="s">
        <v>187</v>
      </c>
      <c r="AD455" s="131"/>
      <c r="AE455" s="129" t="s">
        <v>209</v>
      </c>
      <c r="AF455" s="130">
        <v>-8.3107799999999994</v>
      </c>
      <c r="AG455" s="132">
        <v>124.59376</v>
      </c>
      <c r="AM455" s="133" t="str" cm="1">
        <f t="array" ref="AM455">IF(ROWS($AN$2:$AN454)&lt;=$AN$2,INDEX($V$3:$V$3000,_xlfn.AGGREGATE(15,3,($B$3:$B$3000=$AM$2)/($B$3:$B$3000=$AM$2)*(ROW($B$3:$B$3000)-ROW($B$2)),ROWS($AN$2:$AN454))),"")</f>
        <v/>
      </c>
      <c r="AN455" s="134" t="str" cm="1">
        <f t="array" ref="AN455">IF(ROWS($AN$2:$AN454)&lt;=$AN$2,INDEX($F$3:$F$3000,_xlfn.AGGREGATE(15,3,($B$3:$B$3000=$AM$2)/($B$3:$B$3000=$AM$2)*(ROW($B$3:$B$3000)-ROW($B$2)),ROWS($AN$2:$AN454))),"")</f>
        <v/>
      </c>
      <c r="AO455" s="135" t="str" cm="1">
        <f t="array" ref="AO455">IF(ROWS($AN$2:$AN454)&lt;=$AN$2,INDEX($G$3:$G$3000,_xlfn.AGGREGATE(15,3,($B$3:$B$3000=$AM$2)/($B$3:$B$3000=$AM$2)*(ROW($B$3:$B$3000)-ROW($B$2)),ROWS($AN$2:$AN454))),"")</f>
        <v/>
      </c>
      <c r="AP455" s="121"/>
      <c r="AT455" s="111"/>
      <c r="AW455" s="134"/>
      <c r="AX455" s="136"/>
      <c r="AY455" s="134"/>
    </row>
    <row r="456" spans="1:51" s="110" customFormat="1" ht="20" customHeight="1">
      <c r="A456" s="125" t="s">
        <v>237</v>
      </c>
      <c r="B456" s="126" t="s">
        <v>60</v>
      </c>
      <c r="C456" s="127">
        <v>12965</v>
      </c>
      <c r="D456" s="145">
        <v>105608</v>
      </c>
      <c r="E456" s="146" t="s">
        <v>4413</v>
      </c>
      <c r="F456" s="146" t="s">
        <v>4413</v>
      </c>
      <c r="G456" s="147">
        <v>47000</v>
      </c>
      <c r="H456" s="147">
        <v>4</v>
      </c>
      <c r="I456" s="146" t="s">
        <v>209</v>
      </c>
      <c r="J456" s="146" t="s">
        <v>4414</v>
      </c>
      <c r="K456" s="146" t="s">
        <v>4413</v>
      </c>
      <c r="L456" s="147">
        <v>1</v>
      </c>
      <c r="M456" s="147">
        <v>1</v>
      </c>
      <c r="N456" s="146" t="s">
        <v>1544</v>
      </c>
      <c r="O456" s="147">
        <v>65</v>
      </c>
      <c r="P456" s="147">
        <v>8</v>
      </c>
      <c r="Q456" s="147">
        <v>17</v>
      </c>
      <c r="R456" s="146" t="s">
        <v>190</v>
      </c>
      <c r="S456" s="146" t="s">
        <v>191</v>
      </c>
      <c r="T456" s="147">
        <v>171</v>
      </c>
      <c r="U456" s="146" t="s">
        <v>251</v>
      </c>
      <c r="V456" s="146" t="s">
        <v>252</v>
      </c>
      <c r="W456" s="147">
        <v>2</v>
      </c>
      <c r="X456" s="147">
        <v>2</v>
      </c>
      <c r="Y456" s="146" t="s">
        <v>194</v>
      </c>
      <c r="Z456" s="146" t="s">
        <v>195</v>
      </c>
      <c r="AA456" s="146" t="s">
        <v>196</v>
      </c>
      <c r="AB456" s="146" t="s">
        <v>187</v>
      </c>
      <c r="AC456" s="146" t="s">
        <v>209</v>
      </c>
      <c r="AD456" s="148"/>
      <c r="AE456" s="146" t="s">
        <v>209</v>
      </c>
      <c r="AF456" s="147">
        <v>3.1744780000000001</v>
      </c>
      <c r="AG456" s="149">
        <v>101.71066</v>
      </c>
      <c r="AM456" s="133" t="str" cm="1">
        <f t="array" ref="AM456">IF(ROWS($AN$2:$AN455)&lt;=$AN$2,INDEX($V$3:$V$3000,_xlfn.AGGREGATE(15,3,($B$3:$B$3000=$AM$2)/($B$3:$B$3000=$AM$2)*(ROW($B$3:$B$3000)-ROW($B$2)),ROWS($AN$2:$AN455))),"")</f>
        <v/>
      </c>
      <c r="AN456" s="134" t="str" cm="1">
        <f t="array" ref="AN456">IF(ROWS($AN$2:$AN455)&lt;=$AN$2,INDEX($F$3:$F$3000,_xlfn.AGGREGATE(15,3,($B$3:$B$3000=$AM$2)/($B$3:$B$3000=$AM$2)*(ROW($B$3:$B$3000)-ROW($B$2)),ROWS($AN$2:$AN455))),"")</f>
        <v/>
      </c>
      <c r="AO456" s="135" t="str" cm="1">
        <f t="array" ref="AO456">IF(ROWS($AN$2:$AN455)&lt;=$AN$2,INDEX($G$3:$G$3000,_xlfn.AGGREGATE(15,3,($B$3:$B$3000=$AM$2)/($B$3:$B$3000=$AM$2)*(ROW($B$3:$B$3000)-ROW($B$2)),ROWS($AN$2:$AN455))),"")</f>
        <v/>
      </c>
      <c r="AP456" s="121"/>
      <c r="AT456" s="111"/>
      <c r="AW456" s="134"/>
      <c r="AX456" s="136"/>
      <c r="AY456" s="134"/>
    </row>
    <row r="457" spans="1:51" s="110" customFormat="1" ht="20" customHeight="1">
      <c r="A457" s="125" t="s">
        <v>483</v>
      </c>
      <c r="B457" s="126" t="s">
        <v>55</v>
      </c>
      <c r="C457" s="127">
        <v>11234</v>
      </c>
      <c r="D457" s="151">
        <v>103059</v>
      </c>
      <c r="E457" s="152" t="s">
        <v>2548</v>
      </c>
      <c r="F457" s="152" t="s">
        <v>2548</v>
      </c>
      <c r="G457" s="153">
        <v>1600</v>
      </c>
      <c r="H457" s="153">
        <v>3</v>
      </c>
      <c r="I457" s="152" t="s">
        <v>209</v>
      </c>
      <c r="J457" s="152" t="s">
        <v>2549</v>
      </c>
      <c r="K457" s="152" t="s">
        <v>2548</v>
      </c>
      <c r="L457" s="153">
        <v>5</v>
      </c>
      <c r="M457" s="153">
        <v>1</v>
      </c>
      <c r="N457" s="152" t="s">
        <v>1544</v>
      </c>
      <c r="O457" s="153">
        <v>76</v>
      </c>
      <c r="P457" s="153">
        <v>0.5</v>
      </c>
      <c r="Q457" s="153">
        <v>12</v>
      </c>
      <c r="R457" s="152" t="s">
        <v>1309</v>
      </c>
      <c r="S457" s="152" t="s">
        <v>1310</v>
      </c>
      <c r="T457" s="153">
        <v>172</v>
      </c>
      <c r="U457" s="152" t="s">
        <v>2550</v>
      </c>
      <c r="V457" s="152" t="s">
        <v>2548</v>
      </c>
      <c r="W457" s="153">
        <v>110</v>
      </c>
      <c r="X457" s="153">
        <v>2</v>
      </c>
      <c r="Y457" s="152" t="s">
        <v>194</v>
      </c>
      <c r="Z457" s="152" t="s">
        <v>195</v>
      </c>
      <c r="AA457" s="152" t="s">
        <v>196</v>
      </c>
      <c r="AB457" s="152" t="s">
        <v>187</v>
      </c>
      <c r="AC457" s="152" t="s">
        <v>209</v>
      </c>
      <c r="AD457" s="154"/>
      <c r="AE457" s="152" t="s">
        <v>209</v>
      </c>
      <c r="AF457" s="153">
        <v>12.283990200367301</v>
      </c>
      <c r="AG457" s="155">
        <v>104.43629715166399</v>
      </c>
      <c r="AM457" s="133" t="str" cm="1">
        <f t="array" ref="AM457">IF(ROWS($AN$2:$AN456)&lt;=$AN$2,INDEX($V$3:$V$3000,_xlfn.AGGREGATE(15,3,($B$3:$B$3000=$AM$2)/($B$3:$B$3000=$AM$2)*(ROW($B$3:$B$3000)-ROW($B$2)),ROWS($AN$2:$AN456))),"")</f>
        <v/>
      </c>
      <c r="AN457" s="134" t="str" cm="1">
        <f t="array" ref="AN457">IF(ROWS($AN$2:$AN456)&lt;=$AN$2,INDEX($F$3:$F$3000,_xlfn.AGGREGATE(15,3,($B$3:$B$3000=$AM$2)/($B$3:$B$3000=$AM$2)*(ROW($B$3:$B$3000)-ROW($B$2)),ROWS($AN$2:$AN456))),"")</f>
        <v/>
      </c>
      <c r="AO457" s="135" t="str" cm="1">
        <f t="array" ref="AO457">IF(ROWS($AN$2:$AN456)&lt;=$AN$2,INDEX($G$3:$G$3000,_xlfn.AGGREGATE(15,3,($B$3:$B$3000=$AM$2)/($B$3:$B$3000=$AM$2)*(ROW($B$3:$B$3000)-ROW($B$2)),ROWS($AN$2:$AN456))),"")</f>
        <v/>
      </c>
      <c r="AP457" s="121"/>
      <c r="AT457" s="111"/>
      <c r="AW457" s="134"/>
      <c r="AX457" s="136"/>
      <c r="AY457" s="134"/>
    </row>
    <row r="458" spans="1:51" s="110" customFormat="1" ht="20" customHeight="1">
      <c r="A458" s="125" t="s">
        <v>185</v>
      </c>
      <c r="B458" s="126" t="s">
        <v>59</v>
      </c>
      <c r="C458" s="127">
        <v>11234</v>
      </c>
      <c r="D458" s="145">
        <v>103059</v>
      </c>
      <c r="E458" s="146" t="s">
        <v>2548</v>
      </c>
      <c r="F458" s="146" t="s">
        <v>2548</v>
      </c>
      <c r="G458" s="147">
        <v>5600</v>
      </c>
      <c r="H458" s="147">
        <v>4</v>
      </c>
      <c r="I458" s="146" t="s">
        <v>209</v>
      </c>
      <c r="J458" s="146" t="s">
        <v>2549</v>
      </c>
      <c r="K458" s="146" t="s">
        <v>2548</v>
      </c>
      <c r="L458" s="147">
        <v>5</v>
      </c>
      <c r="M458" s="147">
        <v>1</v>
      </c>
      <c r="N458" s="146" t="s">
        <v>1544</v>
      </c>
      <c r="O458" s="147">
        <v>80</v>
      </c>
      <c r="P458" s="147">
        <v>4</v>
      </c>
      <c r="Q458" s="147">
        <v>12</v>
      </c>
      <c r="R458" s="146" t="s">
        <v>1309</v>
      </c>
      <c r="S458" s="146" t="s">
        <v>1310</v>
      </c>
      <c r="T458" s="147">
        <v>172</v>
      </c>
      <c r="U458" s="146" t="s">
        <v>2550</v>
      </c>
      <c r="V458" s="146" t="s">
        <v>2548</v>
      </c>
      <c r="W458" s="147">
        <v>110</v>
      </c>
      <c r="X458" s="147">
        <v>2</v>
      </c>
      <c r="Y458" s="146" t="s">
        <v>194</v>
      </c>
      <c r="Z458" s="146" t="s">
        <v>195</v>
      </c>
      <c r="AA458" s="146" t="s">
        <v>196</v>
      </c>
      <c r="AB458" s="146" t="s">
        <v>187</v>
      </c>
      <c r="AC458" s="146" t="s">
        <v>209</v>
      </c>
      <c r="AD458" s="148"/>
      <c r="AE458" s="146" t="s">
        <v>209</v>
      </c>
      <c r="AF458" s="147">
        <v>-6.1173849999999996</v>
      </c>
      <c r="AG458" s="149">
        <v>106.78204100000001</v>
      </c>
      <c r="AM458" s="133" t="str" cm="1">
        <f t="array" ref="AM458">IF(ROWS($AN$2:$AN457)&lt;=$AN$2,INDEX($V$3:$V$3000,_xlfn.AGGREGATE(15,3,($B$3:$B$3000=$AM$2)/($B$3:$B$3000=$AM$2)*(ROW($B$3:$B$3000)-ROW($B$2)),ROWS($AN$2:$AN457))),"")</f>
        <v/>
      </c>
      <c r="AN458" s="134" t="str" cm="1">
        <f t="array" ref="AN458">IF(ROWS($AN$2:$AN457)&lt;=$AN$2,INDEX($F$3:$F$3000,_xlfn.AGGREGATE(15,3,($B$3:$B$3000=$AM$2)/($B$3:$B$3000=$AM$2)*(ROW($B$3:$B$3000)-ROW($B$2)),ROWS($AN$2:$AN457))),"")</f>
        <v/>
      </c>
      <c r="AO458" s="135" t="str" cm="1">
        <f t="array" ref="AO458">IF(ROWS($AN$2:$AN457)&lt;=$AN$2,INDEX($G$3:$G$3000,_xlfn.AGGREGATE(15,3,($B$3:$B$3000=$AM$2)/($B$3:$B$3000=$AM$2)*(ROW($B$3:$B$3000)-ROW($B$2)),ROWS($AN$2:$AN457))),"")</f>
        <v/>
      </c>
      <c r="AP458" s="121"/>
      <c r="AT458" s="111"/>
      <c r="AW458" s="134"/>
      <c r="AX458" s="136"/>
      <c r="AY458" s="134"/>
    </row>
    <row r="459" spans="1:51" s="110" customFormat="1" ht="20" customHeight="1">
      <c r="A459" s="125" t="s">
        <v>478</v>
      </c>
      <c r="B459" s="126" t="s">
        <v>56</v>
      </c>
      <c r="C459" s="127">
        <v>11234</v>
      </c>
      <c r="D459" s="151">
        <v>103059</v>
      </c>
      <c r="E459" s="152" t="s">
        <v>2548</v>
      </c>
      <c r="F459" s="152" t="s">
        <v>2548</v>
      </c>
      <c r="G459" s="153">
        <v>4200</v>
      </c>
      <c r="H459" s="153">
        <v>3</v>
      </c>
      <c r="I459" s="152" t="s">
        <v>209</v>
      </c>
      <c r="J459" s="152" t="s">
        <v>2549</v>
      </c>
      <c r="K459" s="152" t="s">
        <v>2548</v>
      </c>
      <c r="L459" s="153">
        <v>5</v>
      </c>
      <c r="M459" s="153">
        <v>1</v>
      </c>
      <c r="N459" s="152" t="s">
        <v>1544</v>
      </c>
      <c r="O459" s="153">
        <v>61</v>
      </c>
      <c r="P459" s="153">
        <v>1</v>
      </c>
      <c r="Q459" s="153">
        <v>12</v>
      </c>
      <c r="R459" s="152" t="s">
        <v>1309</v>
      </c>
      <c r="S459" s="152" t="s">
        <v>1310</v>
      </c>
      <c r="T459" s="153">
        <v>172</v>
      </c>
      <c r="U459" s="152" t="s">
        <v>2550</v>
      </c>
      <c r="V459" s="152" t="s">
        <v>2548</v>
      </c>
      <c r="W459" s="153">
        <v>110</v>
      </c>
      <c r="X459" s="153">
        <v>2</v>
      </c>
      <c r="Y459" s="152" t="s">
        <v>194</v>
      </c>
      <c r="Z459" s="152" t="s">
        <v>195</v>
      </c>
      <c r="AA459" s="152" t="s">
        <v>196</v>
      </c>
      <c r="AB459" s="152" t="s">
        <v>187</v>
      </c>
      <c r="AC459" s="152" t="s">
        <v>209</v>
      </c>
      <c r="AD459" s="154"/>
      <c r="AE459" s="152" t="s">
        <v>209</v>
      </c>
      <c r="AF459" s="153">
        <v>13.716915999999999</v>
      </c>
      <c r="AG459" s="155">
        <v>100.56446800000001</v>
      </c>
      <c r="AM459" s="133" t="str" cm="1">
        <f t="array" ref="AM459">IF(ROWS($AN$2:$AN458)&lt;=$AN$2,INDEX($V$3:$V$3000,_xlfn.AGGREGATE(15,3,($B$3:$B$3000=$AM$2)/($B$3:$B$3000=$AM$2)*(ROW($B$3:$B$3000)-ROW($B$2)),ROWS($AN$2:$AN458))),"")</f>
        <v/>
      </c>
      <c r="AN459" s="134" t="str" cm="1">
        <f t="array" ref="AN459">IF(ROWS($AN$2:$AN458)&lt;=$AN$2,INDEX($F$3:$F$3000,_xlfn.AGGREGATE(15,3,($B$3:$B$3000=$AM$2)/($B$3:$B$3000=$AM$2)*(ROW($B$3:$B$3000)-ROW($B$2)),ROWS($AN$2:$AN458))),"")</f>
        <v/>
      </c>
      <c r="AO459" s="135" t="str" cm="1">
        <f t="array" ref="AO459">IF(ROWS($AN$2:$AN458)&lt;=$AN$2,INDEX($G$3:$G$3000,_xlfn.AGGREGATE(15,3,($B$3:$B$3000=$AM$2)/($B$3:$B$3000=$AM$2)*(ROW($B$3:$B$3000)-ROW($B$2)),ROWS($AN$2:$AN458))),"")</f>
        <v/>
      </c>
      <c r="AP459" s="121"/>
      <c r="AT459" s="111"/>
      <c r="AW459" s="134"/>
      <c r="AX459" s="136"/>
      <c r="AY459" s="134"/>
    </row>
    <row r="460" spans="1:51" s="110" customFormat="1" ht="20" customHeight="1">
      <c r="A460" s="125" t="s">
        <v>480</v>
      </c>
      <c r="B460" s="126" t="s">
        <v>63</v>
      </c>
      <c r="C460" s="127">
        <v>11234</v>
      </c>
      <c r="D460" s="151">
        <v>103059</v>
      </c>
      <c r="E460" s="152" t="s">
        <v>2548</v>
      </c>
      <c r="F460" s="152" t="s">
        <v>2548</v>
      </c>
      <c r="G460" s="153">
        <v>5700</v>
      </c>
      <c r="H460" s="153">
        <v>3</v>
      </c>
      <c r="I460" s="152" t="s">
        <v>209</v>
      </c>
      <c r="J460" s="152" t="s">
        <v>2549</v>
      </c>
      <c r="K460" s="152" t="s">
        <v>2548</v>
      </c>
      <c r="L460" s="153">
        <v>5</v>
      </c>
      <c r="M460" s="153">
        <v>1</v>
      </c>
      <c r="N460" s="152" t="s">
        <v>1544</v>
      </c>
      <c r="O460" s="153">
        <v>63</v>
      </c>
      <c r="P460" s="153">
        <v>1</v>
      </c>
      <c r="Q460" s="153">
        <v>12</v>
      </c>
      <c r="R460" s="152" t="s">
        <v>1309</v>
      </c>
      <c r="S460" s="152" t="s">
        <v>1310</v>
      </c>
      <c r="T460" s="153">
        <v>172</v>
      </c>
      <c r="U460" s="152" t="s">
        <v>2550</v>
      </c>
      <c r="V460" s="152" t="s">
        <v>2548</v>
      </c>
      <c r="W460" s="153">
        <v>110</v>
      </c>
      <c r="X460" s="153">
        <v>2</v>
      </c>
      <c r="Y460" s="152" t="s">
        <v>194</v>
      </c>
      <c r="Z460" s="152" t="s">
        <v>195</v>
      </c>
      <c r="AA460" s="152" t="s">
        <v>196</v>
      </c>
      <c r="AB460" s="152" t="s">
        <v>187</v>
      </c>
      <c r="AC460" s="152" t="s">
        <v>209</v>
      </c>
      <c r="AD460" s="154"/>
      <c r="AE460" s="152" t="s">
        <v>209</v>
      </c>
      <c r="AF460" s="153">
        <v>21.025081</v>
      </c>
      <c r="AG460" s="155">
        <v>105.848921</v>
      </c>
      <c r="AM460" s="133" t="str" cm="1">
        <f t="array" ref="AM460">IF(ROWS($AN$2:$AN459)&lt;=$AN$2,INDEX($V$3:$V$3000,_xlfn.AGGREGATE(15,3,($B$3:$B$3000=$AM$2)/($B$3:$B$3000=$AM$2)*(ROW($B$3:$B$3000)-ROW($B$2)),ROWS($AN$2:$AN459))),"")</f>
        <v/>
      </c>
      <c r="AN460" s="134" t="str" cm="1">
        <f t="array" ref="AN460">IF(ROWS($AN$2:$AN459)&lt;=$AN$2,INDEX($F$3:$F$3000,_xlfn.AGGREGATE(15,3,($B$3:$B$3000=$AM$2)/($B$3:$B$3000=$AM$2)*(ROW($B$3:$B$3000)-ROW($B$2)),ROWS($AN$2:$AN459))),"")</f>
        <v/>
      </c>
      <c r="AO460" s="135" t="str" cm="1">
        <f t="array" ref="AO460">IF(ROWS($AN$2:$AN459)&lt;=$AN$2,INDEX($G$3:$G$3000,_xlfn.AGGREGATE(15,3,($B$3:$B$3000=$AM$2)/($B$3:$B$3000=$AM$2)*(ROW($B$3:$B$3000)-ROW($B$2)),ROWS($AN$2:$AN459))),"")</f>
        <v/>
      </c>
      <c r="AP460" s="121"/>
      <c r="AT460" s="111"/>
      <c r="AW460" s="134"/>
      <c r="AX460" s="136"/>
      <c r="AY460" s="134"/>
    </row>
    <row r="461" spans="1:51" s="110" customFormat="1" ht="20" customHeight="1">
      <c r="A461" s="125" t="s">
        <v>185</v>
      </c>
      <c r="B461" s="126" t="s">
        <v>59</v>
      </c>
      <c r="C461" s="127">
        <v>11871</v>
      </c>
      <c r="D461" s="145">
        <v>103305</v>
      </c>
      <c r="E461" s="146" t="s">
        <v>2595</v>
      </c>
      <c r="F461" s="146" t="s">
        <v>2595</v>
      </c>
      <c r="G461" s="147">
        <v>5500</v>
      </c>
      <c r="H461" s="147">
        <v>4</v>
      </c>
      <c r="I461" s="146" t="s">
        <v>209</v>
      </c>
      <c r="J461" s="146" t="s">
        <v>2596</v>
      </c>
      <c r="K461" s="146" t="s">
        <v>2597</v>
      </c>
      <c r="L461" s="147">
        <v>5</v>
      </c>
      <c r="M461" s="147">
        <v>1</v>
      </c>
      <c r="N461" s="146" t="s">
        <v>1544</v>
      </c>
      <c r="O461" s="147">
        <v>80</v>
      </c>
      <c r="P461" s="147">
        <v>5</v>
      </c>
      <c r="Q461" s="147">
        <v>12</v>
      </c>
      <c r="R461" s="146" t="s">
        <v>1309</v>
      </c>
      <c r="S461" s="146" t="s">
        <v>1310</v>
      </c>
      <c r="T461" s="147">
        <v>175</v>
      </c>
      <c r="U461" s="146" t="s">
        <v>2598</v>
      </c>
      <c r="V461" s="146" t="s">
        <v>2599</v>
      </c>
      <c r="W461" s="147">
        <v>81</v>
      </c>
      <c r="X461" s="147">
        <v>2</v>
      </c>
      <c r="Y461" s="146" t="s">
        <v>194</v>
      </c>
      <c r="Z461" s="146" t="s">
        <v>195</v>
      </c>
      <c r="AA461" s="146" t="s">
        <v>196</v>
      </c>
      <c r="AB461" s="146" t="s">
        <v>187</v>
      </c>
      <c r="AC461" s="146" t="s">
        <v>209</v>
      </c>
      <c r="AD461" s="148"/>
      <c r="AE461" s="146" t="s">
        <v>209</v>
      </c>
      <c r="AF461" s="147">
        <v>-6.1682379999999997</v>
      </c>
      <c r="AG461" s="149">
        <v>106.81827699999999</v>
      </c>
      <c r="AM461" s="133" t="str" cm="1">
        <f t="array" ref="AM461">IF(ROWS($AN$2:$AN460)&lt;=$AN$2,INDEX($V$3:$V$3000,_xlfn.AGGREGATE(15,3,($B$3:$B$3000=$AM$2)/($B$3:$B$3000=$AM$2)*(ROW($B$3:$B$3000)-ROW($B$2)),ROWS($AN$2:$AN460))),"")</f>
        <v/>
      </c>
      <c r="AN461" s="134" t="str" cm="1">
        <f t="array" ref="AN461">IF(ROWS($AN$2:$AN460)&lt;=$AN$2,INDEX($F$3:$F$3000,_xlfn.AGGREGATE(15,3,($B$3:$B$3000=$AM$2)/($B$3:$B$3000=$AM$2)*(ROW($B$3:$B$3000)-ROW($B$2)),ROWS($AN$2:$AN460))),"")</f>
        <v/>
      </c>
      <c r="AO461" s="135" t="str" cm="1">
        <f t="array" ref="AO461">IF(ROWS($AN$2:$AN460)&lt;=$AN$2,INDEX($G$3:$G$3000,_xlfn.AGGREGATE(15,3,($B$3:$B$3000=$AM$2)/($B$3:$B$3000=$AM$2)*(ROW($B$3:$B$3000)-ROW($B$2)),ROWS($AN$2:$AN460))),"")</f>
        <v/>
      </c>
      <c r="AP461" s="121"/>
      <c r="AT461" s="111"/>
      <c r="AW461" s="134"/>
      <c r="AX461" s="136"/>
      <c r="AY461" s="134"/>
    </row>
    <row r="462" spans="1:51" s="110" customFormat="1" ht="20" customHeight="1">
      <c r="A462" s="125" t="s">
        <v>408</v>
      </c>
      <c r="B462" s="126" t="s">
        <v>64</v>
      </c>
      <c r="C462" s="127">
        <v>11871</v>
      </c>
      <c r="D462" s="145">
        <v>103305</v>
      </c>
      <c r="E462" s="146" t="s">
        <v>2595</v>
      </c>
      <c r="F462" s="146" t="s">
        <v>2595</v>
      </c>
      <c r="G462" s="147">
        <v>1600</v>
      </c>
      <c r="H462" s="147">
        <v>4</v>
      </c>
      <c r="I462" s="146" t="s">
        <v>209</v>
      </c>
      <c r="J462" s="146" t="s">
        <v>2596</v>
      </c>
      <c r="K462" s="146" t="s">
        <v>2597</v>
      </c>
      <c r="L462" s="147">
        <v>5</v>
      </c>
      <c r="M462" s="147">
        <v>1</v>
      </c>
      <c r="N462" s="146" t="s">
        <v>1544</v>
      </c>
      <c r="O462" s="147">
        <v>64</v>
      </c>
      <c r="P462" s="147">
        <v>2.1</v>
      </c>
      <c r="Q462" s="147">
        <v>12</v>
      </c>
      <c r="R462" s="146" t="s">
        <v>1309</v>
      </c>
      <c r="S462" s="146" t="s">
        <v>1310</v>
      </c>
      <c r="T462" s="147">
        <v>175</v>
      </c>
      <c r="U462" s="146" t="s">
        <v>2598</v>
      </c>
      <c r="V462" s="146" t="s">
        <v>2599</v>
      </c>
      <c r="W462" s="147">
        <v>81</v>
      </c>
      <c r="X462" s="147">
        <v>2</v>
      </c>
      <c r="Y462" s="146" t="s">
        <v>194</v>
      </c>
      <c r="Z462" s="146" t="s">
        <v>195</v>
      </c>
      <c r="AA462" s="146" t="s">
        <v>196</v>
      </c>
      <c r="AB462" s="146" t="s">
        <v>209</v>
      </c>
      <c r="AC462" s="146" t="s">
        <v>209</v>
      </c>
      <c r="AD462" s="148"/>
      <c r="AE462" s="146" t="s">
        <v>209</v>
      </c>
      <c r="AF462" s="147">
        <v>1.33775749940907</v>
      </c>
      <c r="AG462" s="149">
        <v>103.77604920980301</v>
      </c>
      <c r="AM462" s="133" t="str" cm="1">
        <f t="array" ref="AM462">IF(ROWS($AN$2:$AN461)&lt;=$AN$2,INDEX($V$3:$V$3000,_xlfn.AGGREGATE(15,3,($B$3:$B$3000=$AM$2)/($B$3:$B$3000=$AM$2)*(ROW($B$3:$B$3000)-ROW($B$2)),ROWS($AN$2:$AN461))),"")</f>
        <v/>
      </c>
      <c r="AN462" s="134" t="str" cm="1">
        <f t="array" ref="AN462">IF(ROWS($AN$2:$AN461)&lt;=$AN$2,INDEX($F$3:$F$3000,_xlfn.AGGREGATE(15,3,($B$3:$B$3000=$AM$2)/($B$3:$B$3000=$AM$2)*(ROW($B$3:$B$3000)-ROW($B$2)),ROWS($AN$2:$AN461))),"")</f>
        <v/>
      </c>
      <c r="AO462" s="135" t="str" cm="1">
        <f t="array" ref="AO462">IF(ROWS($AN$2:$AN461)&lt;=$AN$2,INDEX($G$3:$G$3000,_xlfn.AGGREGATE(15,3,($B$3:$B$3000=$AM$2)/($B$3:$B$3000=$AM$2)*(ROW($B$3:$B$3000)-ROW($B$2)),ROWS($AN$2:$AN461))),"")</f>
        <v/>
      </c>
      <c r="AP462" s="121"/>
      <c r="AT462" s="111"/>
      <c r="AW462" s="134"/>
      <c r="AX462" s="136"/>
      <c r="AY462" s="134"/>
    </row>
    <row r="463" spans="1:51" s="110" customFormat="1" ht="20" customHeight="1">
      <c r="A463" s="125" t="s">
        <v>478</v>
      </c>
      <c r="B463" s="126" t="s">
        <v>56</v>
      </c>
      <c r="C463" s="127">
        <v>10223</v>
      </c>
      <c r="D463" s="151">
        <v>100185</v>
      </c>
      <c r="E463" s="152" t="s">
        <v>3275</v>
      </c>
      <c r="F463" s="152" t="s">
        <v>3275</v>
      </c>
      <c r="G463" s="153">
        <v>59000</v>
      </c>
      <c r="H463" s="153">
        <v>3</v>
      </c>
      <c r="I463" s="152" t="s">
        <v>209</v>
      </c>
      <c r="J463" s="152" t="s">
        <v>3274</v>
      </c>
      <c r="K463" s="152" t="s">
        <v>3275</v>
      </c>
      <c r="L463" s="153">
        <v>5</v>
      </c>
      <c r="M463" s="153">
        <v>1</v>
      </c>
      <c r="N463" s="152" t="s">
        <v>1544</v>
      </c>
      <c r="O463" s="153">
        <v>90</v>
      </c>
      <c r="P463" s="153">
        <v>2</v>
      </c>
      <c r="Q463" s="153">
        <v>23</v>
      </c>
      <c r="R463" s="152" t="s">
        <v>1623</v>
      </c>
      <c r="S463" s="152" t="s">
        <v>1624</v>
      </c>
      <c r="T463" s="153">
        <v>185</v>
      </c>
      <c r="U463" s="152" t="s">
        <v>1951</v>
      </c>
      <c r="V463" s="152" t="s">
        <v>1952</v>
      </c>
      <c r="W463" s="153">
        <v>5</v>
      </c>
      <c r="X463" s="153">
        <v>2</v>
      </c>
      <c r="Y463" s="152" t="s">
        <v>194</v>
      </c>
      <c r="Z463" s="152" t="s">
        <v>195</v>
      </c>
      <c r="AA463" s="152" t="s">
        <v>196</v>
      </c>
      <c r="AB463" s="152" t="s">
        <v>187</v>
      </c>
      <c r="AC463" s="152" t="s">
        <v>209</v>
      </c>
      <c r="AD463" s="154"/>
      <c r="AE463" s="152" t="s">
        <v>209</v>
      </c>
      <c r="AF463" s="153">
        <v>20.135069999999999</v>
      </c>
      <c r="AG463" s="155">
        <v>99.670289999999994</v>
      </c>
      <c r="AM463" s="133" t="str" cm="1">
        <f t="array" ref="AM463">IF(ROWS($AN$2:$AN462)&lt;=$AN$2,INDEX($V$3:$V$3000,_xlfn.AGGREGATE(15,3,($B$3:$B$3000=$AM$2)/($B$3:$B$3000=$AM$2)*(ROW($B$3:$B$3000)-ROW($B$2)),ROWS($AN$2:$AN462))),"")</f>
        <v/>
      </c>
      <c r="AN463" s="134" t="str" cm="1">
        <f t="array" ref="AN463">IF(ROWS($AN$2:$AN462)&lt;=$AN$2,INDEX($F$3:$F$3000,_xlfn.AGGREGATE(15,3,($B$3:$B$3000=$AM$2)/($B$3:$B$3000=$AM$2)*(ROW($B$3:$B$3000)-ROW($B$2)),ROWS($AN$2:$AN462))),"")</f>
        <v/>
      </c>
      <c r="AO463" s="135" t="str" cm="1">
        <f t="array" ref="AO463">IF(ROWS($AN$2:$AN462)&lt;=$AN$2,INDEX($G$3:$G$3000,_xlfn.AGGREGATE(15,3,($B$3:$B$3000=$AM$2)/($B$3:$B$3000=$AM$2)*(ROW($B$3:$B$3000)-ROW($B$2)),ROWS($AN$2:$AN462))),"")</f>
        <v/>
      </c>
      <c r="AP463" s="121"/>
      <c r="AT463" s="111"/>
      <c r="AW463" s="134"/>
      <c r="AX463" s="136"/>
      <c r="AY463" s="134"/>
    </row>
    <row r="464" spans="1:51" s="110" customFormat="1" ht="20" customHeight="1">
      <c r="A464" s="125" t="s">
        <v>185</v>
      </c>
      <c r="B464" s="126" t="s">
        <v>59</v>
      </c>
      <c r="C464" s="127">
        <v>13067</v>
      </c>
      <c r="D464" s="151">
        <v>105782</v>
      </c>
      <c r="E464" s="152" t="s">
        <v>2875</v>
      </c>
      <c r="F464" s="152" t="s">
        <v>2875</v>
      </c>
      <c r="G464" s="153">
        <v>3000</v>
      </c>
      <c r="H464" s="153">
        <v>3</v>
      </c>
      <c r="I464" s="152" t="s">
        <v>209</v>
      </c>
      <c r="J464" s="152" t="s">
        <v>2876</v>
      </c>
      <c r="K464" s="152" t="s">
        <v>2877</v>
      </c>
      <c r="L464" s="153">
        <v>3</v>
      </c>
      <c r="M464" s="153">
        <v>1</v>
      </c>
      <c r="N464" s="152" t="s">
        <v>1544</v>
      </c>
      <c r="O464" s="153">
        <v>55</v>
      </c>
      <c r="P464" s="153">
        <v>2</v>
      </c>
      <c r="Q464" s="153">
        <v>17</v>
      </c>
      <c r="R464" s="152" t="s">
        <v>190</v>
      </c>
      <c r="S464" s="152" t="s">
        <v>191</v>
      </c>
      <c r="T464" s="153">
        <v>198</v>
      </c>
      <c r="U464" s="152" t="s">
        <v>263</v>
      </c>
      <c r="V464" s="152" t="s">
        <v>264</v>
      </c>
      <c r="W464" s="153">
        <v>1</v>
      </c>
      <c r="X464" s="153">
        <v>2</v>
      </c>
      <c r="Y464" s="152" t="s">
        <v>194</v>
      </c>
      <c r="Z464" s="152" t="s">
        <v>195</v>
      </c>
      <c r="AA464" s="152" t="s">
        <v>196</v>
      </c>
      <c r="AB464" s="152" t="s">
        <v>187</v>
      </c>
      <c r="AC464" s="152" t="s">
        <v>187</v>
      </c>
      <c r="AD464" s="154"/>
      <c r="AE464" s="152" t="s">
        <v>209</v>
      </c>
      <c r="AF464" s="153">
        <v>-1.3167</v>
      </c>
      <c r="AG464" s="155">
        <v>120.06683</v>
      </c>
      <c r="AM464" s="133" t="str" cm="1">
        <f t="array" ref="AM464">IF(ROWS($AN$2:$AN463)&lt;=$AN$2,INDEX($V$3:$V$3000,_xlfn.AGGREGATE(15,3,($B$3:$B$3000=$AM$2)/($B$3:$B$3000=$AM$2)*(ROW($B$3:$B$3000)-ROW($B$2)),ROWS($AN$2:$AN463))),"")</f>
        <v/>
      </c>
      <c r="AN464" s="134" t="str" cm="1">
        <f t="array" ref="AN464">IF(ROWS($AN$2:$AN463)&lt;=$AN$2,INDEX($F$3:$F$3000,_xlfn.AGGREGATE(15,3,($B$3:$B$3000=$AM$2)/($B$3:$B$3000=$AM$2)*(ROW($B$3:$B$3000)-ROW($B$2)),ROWS($AN$2:$AN463))),"")</f>
        <v/>
      </c>
      <c r="AO464" s="135" t="str" cm="1">
        <f t="array" ref="AO464">IF(ROWS($AN$2:$AN463)&lt;=$AN$2,INDEX($G$3:$G$3000,_xlfn.AGGREGATE(15,3,($B$3:$B$3000=$AM$2)/($B$3:$B$3000=$AM$2)*(ROW($B$3:$B$3000)-ROW($B$2)),ROWS($AN$2:$AN463))),"")</f>
        <v/>
      </c>
      <c r="AP464" s="121"/>
      <c r="AT464" s="111"/>
      <c r="AW464" s="134"/>
      <c r="AX464" s="136"/>
      <c r="AY464" s="134"/>
    </row>
    <row r="465" spans="1:51" s="110" customFormat="1" ht="20" customHeight="1">
      <c r="A465" s="125" t="s">
        <v>185</v>
      </c>
      <c r="B465" s="126" t="s">
        <v>59</v>
      </c>
      <c r="C465" s="127">
        <v>18880</v>
      </c>
      <c r="D465" s="145">
        <v>114803</v>
      </c>
      <c r="E465" s="146" t="s">
        <v>4218</v>
      </c>
      <c r="F465" s="146" t="s">
        <v>4218</v>
      </c>
      <c r="G465" s="147">
        <v>30000</v>
      </c>
      <c r="H465" s="147">
        <v>4</v>
      </c>
      <c r="I465" s="146" t="s">
        <v>209</v>
      </c>
      <c r="J465" s="146" t="s">
        <v>4219</v>
      </c>
      <c r="K465" s="146" t="s">
        <v>4220</v>
      </c>
      <c r="L465" s="147">
        <v>4</v>
      </c>
      <c r="M465" s="147">
        <v>1</v>
      </c>
      <c r="N465" s="146" t="s">
        <v>1544</v>
      </c>
      <c r="O465" s="147">
        <v>95</v>
      </c>
      <c r="P465" s="147">
        <v>5</v>
      </c>
      <c r="Q465" s="147">
        <v>17</v>
      </c>
      <c r="R465" s="146" t="s">
        <v>190</v>
      </c>
      <c r="S465" s="146" t="s">
        <v>191</v>
      </c>
      <c r="T465" s="147">
        <v>198</v>
      </c>
      <c r="U465" s="146" t="s">
        <v>263</v>
      </c>
      <c r="V465" s="146" t="s">
        <v>264</v>
      </c>
      <c r="W465" s="147">
        <v>1</v>
      </c>
      <c r="X465" s="147">
        <v>2</v>
      </c>
      <c r="Y465" s="146" t="s">
        <v>194</v>
      </c>
      <c r="Z465" s="146" t="s">
        <v>195</v>
      </c>
      <c r="AA465" s="146" t="s">
        <v>196</v>
      </c>
      <c r="AB465" s="146" t="s">
        <v>187</v>
      </c>
      <c r="AC465" s="146" t="s">
        <v>187</v>
      </c>
      <c r="AD465" s="148"/>
      <c r="AE465" s="146" t="s">
        <v>209</v>
      </c>
      <c r="AF465" s="147">
        <v>-1.6656299999999999</v>
      </c>
      <c r="AG465" s="149">
        <v>119.95659999999999</v>
      </c>
      <c r="AM465" s="133" t="str" cm="1">
        <f t="array" ref="AM465">IF(ROWS($AN$2:$AN464)&lt;=$AN$2,INDEX($V$3:$V$3000,_xlfn.AGGREGATE(15,3,($B$3:$B$3000=$AM$2)/($B$3:$B$3000=$AM$2)*(ROW($B$3:$B$3000)-ROW($B$2)),ROWS($AN$2:$AN464))),"")</f>
        <v/>
      </c>
      <c r="AN465" s="134" t="str" cm="1">
        <f t="array" ref="AN465">IF(ROWS($AN$2:$AN464)&lt;=$AN$2,INDEX($F$3:$F$3000,_xlfn.AGGREGATE(15,3,($B$3:$B$3000=$AM$2)/($B$3:$B$3000=$AM$2)*(ROW($B$3:$B$3000)-ROW($B$2)),ROWS($AN$2:$AN464))),"")</f>
        <v/>
      </c>
      <c r="AO465" s="135" t="str" cm="1">
        <f t="array" ref="AO465">IF(ROWS($AN$2:$AN464)&lt;=$AN$2,INDEX($G$3:$G$3000,_xlfn.AGGREGATE(15,3,($B$3:$B$3000=$AM$2)/($B$3:$B$3000=$AM$2)*(ROW($B$3:$B$3000)-ROW($B$2)),ROWS($AN$2:$AN464))),"")</f>
        <v/>
      </c>
      <c r="AP465" s="121"/>
      <c r="AT465" s="111"/>
      <c r="AW465" s="134"/>
      <c r="AX465" s="136"/>
      <c r="AY465" s="134"/>
    </row>
    <row r="466" spans="1:51" s="110" customFormat="1" ht="20" customHeight="1">
      <c r="A466" s="125" t="s">
        <v>185</v>
      </c>
      <c r="B466" s="126" t="s">
        <v>59</v>
      </c>
      <c r="C466" s="127">
        <v>15518</v>
      </c>
      <c r="D466" s="145">
        <v>110110</v>
      </c>
      <c r="E466" s="146" t="s">
        <v>3888</v>
      </c>
      <c r="F466" s="146" t="s">
        <v>3888</v>
      </c>
      <c r="G466" s="147">
        <v>15000</v>
      </c>
      <c r="H466" s="147">
        <v>4</v>
      </c>
      <c r="I466" s="146" t="s">
        <v>209</v>
      </c>
      <c r="J466" s="146" t="s">
        <v>3889</v>
      </c>
      <c r="K466" s="146" t="s">
        <v>3890</v>
      </c>
      <c r="L466" s="147">
        <v>4</v>
      </c>
      <c r="M466" s="147">
        <v>1</v>
      </c>
      <c r="N466" s="146" t="s">
        <v>1544</v>
      </c>
      <c r="O466" s="147">
        <v>65</v>
      </c>
      <c r="P466" s="147">
        <v>5</v>
      </c>
      <c r="Q466" s="147">
        <v>17</v>
      </c>
      <c r="R466" s="146" t="s">
        <v>190</v>
      </c>
      <c r="S466" s="146" t="s">
        <v>191</v>
      </c>
      <c r="T466" s="147">
        <v>198</v>
      </c>
      <c r="U466" s="146" t="s">
        <v>263</v>
      </c>
      <c r="V466" s="146" t="s">
        <v>264</v>
      </c>
      <c r="W466" s="147">
        <v>1</v>
      </c>
      <c r="X466" s="147">
        <v>2</v>
      </c>
      <c r="Y466" s="146" t="s">
        <v>194</v>
      </c>
      <c r="Z466" s="146" t="s">
        <v>195</v>
      </c>
      <c r="AA466" s="146" t="s">
        <v>196</v>
      </c>
      <c r="AB466" s="146" t="s">
        <v>187</v>
      </c>
      <c r="AC466" s="146" t="s">
        <v>187</v>
      </c>
      <c r="AD466" s="148"/>
      <c r="AE466" s="146" t="s">
        <v>209</v>
      </c>
      <c r="AF466" s="147">
        <v>-1.7264200000000001</v>
      </c>
      <c r="AG466" s="149">
        <v>120.31379</v>
      </c>
      <c r="AM466" s="133" t="str" cm="1">
        <f t="array" ref="AM466">IF(ROWS($AN$2:$AN465)&lt;=$AN$2,INDEX($V$3:$V$3000,_xlfn.AGGREGATE(15,3,($B$3:$B$3000=$AM$2)/($B$3:$B$3000=$AM$2)*(ROW($B$3:$B$3000)-ROW($B$2)),ROWS($AN$2:$AN465))),"")</f>
        <v/>
      </c>
      <c r="AN466" s="134" t="str" cm="1">
        <f t="array" ref="AN466">IF(ROWS($AN$2:$AN465)&lt;=$AN$2,INDEX($F$3:$F$3000,_xlfn.AGGREGATE(15,3,($B$3:$B$3000=$AM$2)/($B$3:$B$3000=$AM$2)*(ROW($B$3:$B$3000)-ROW($B$2)),ROWS($AN$2:$AN465))),"")</f>
        <v/>
      </c>
      <c r="AO466" s="135" t="str" cm="1">
        <f t="array" ref="AO466">IF(ROWS($AN$2:$AN465)&lt;=$AN$2,INDEX($G$3:$G$3000,_xlfn.AGGREGATE(15,3,($B$3:$B$3000=$AM$2)/($B$3:$B$3000=$AM$2)*(ROW($B$3:$B$3000)-ROW($B$2)),ROWS($AN$2:$AN465))),"")</f>
        <v/>
      </c>
      <c r="AP466" s="121"/>
      <c r="AT466" s="111"/>
      <c r="AW466" s="134"/>
      <c r="AX466" s="136"/>
      <c r="AY466" s="134"/>
    </row>
    <row r="467" spans="1:51" s="110" customFormat="1" ht="20" customHeight="1">
      <c r="A467" s="125" t="s">
        <v>185</v>
      </c>
      <c r="B467" s="126" t="s">
        <v>59</v>
      </c>
      <c r="C467" s="127">
        <v>19774</v>
      </c>
      <c r="D467" s="145">
        <v>115417</v>
      </c>
      <c r="E467" s="146" t="s">
        <v>3744</v>
      </c>
      <c r="F467" s="146" t="s">
        <v>3744</v>
      </c>
      <c r="G467" s="147">
        <v>12000</v>
      </c>
      <c r="H467" s="147">
        <v>4</v>
      </c>
      <c r="I467" s="146" t="s">
        <v>209</v>
      </c>
      <c r="J467" s="146" t="s">
        <v>3745</v>
      </c>
      <c r="K467" s="146" t="s">
        <v>3746</v>
      </c>
      <c r="L467" s="147">
        <v>3</v>
      </c>
      <c r="M467" s="147">
        <v>1</v>
      </c>
      <c r="N467" s="146" t="s">
        <v>1544</v>
      </c>
      <c r="O467" s="147">
        <v>85</v>
      </c>
      <c r="P467" s="147">
        <v>5</v>
      </c>
      <c r="Q467" s="147">
        <v>17</v>
      </c>
      <c r="R467" s="146" t="s">
        <v>190</v>
      </c>
      <c r="S467" s="146" t="s">
        <v>191</v>
      </c>
      <c r="T467" s="147">
        <v>198</v>
      </c>
      <c r="U467" s="146" t="s">
        <v>263</v>
      </c>
      <c r="V467" s="146" t="s">
        <v>264</v>
      </c>
      <c r="W467" s="147">
        <v>1</v>
      </c>
      <c r="X467" s="147">
        <v>2</v>
      </c>
      <c r="Y467" s="146" t="s">
        <v>194</v>
      </c>
      <c r="Z467" s="146" t="s">
        <v>195</v>
      </c>
      <c r="AA467" s="146" t="s">
        <v>196</v>
      </c>
      <c r="AB467" s="146" t="s">
        <v>187</v>
      </c>
      <c r="AC467" s="146" t="s">
        <v>187</v>
      </c>
      <c r="AD467" s="148"/>
      <c r="AE467" s="146" t="s">
        <v>209</v>
      </c>
      <c r="AF467" s="147">
        <v>-2.1607099999999999</v>
      </c>
      <c r="AG467" s="149">
        <v>120.33213000000001</v>
      </c>
      <c r="AM467" s="133" t="str" cm="1">
        <f t="array" ref="AM467">IF(ROWS($AN$2:$AN466)&lt;=$AN$2,INDEX($V$3:$V$3000,_xlfn.AGGREGATE(15,3,($B$3:$B$3000=$AM$2)/($B$3:$B$3000=$AM$2)*(ROW($B$3:$B$3000)-ROW($B$2)),ROWS($AN$2:$AN466))),"")</f>
        <v/>
      </c>
      <c r="AN467" s="134" t="str" cm="1">
        <f t="array" ref="AN467">IF(ROWS($AN$2:$AN466)&lt;=$AN$2,INDEX($F$3:$F$3000,_xlfn.AGGREGATE(15,3,($B$3:$B$3000=$AM$2)/($B$3:$B$3000=$AM$2)*(ROW($B$3:$B$3000)-ROW($B$2)),ROWS($AN$2:$AN466))),"")</f>
        <v/>
      </c>
      <c r="AO467" s="135" t="str" cm="1">
        <f t="array" ref="AO467">IF(ROWS($AN$2:$AN466)&lt;=$AN$2,INDEX($G$3:$G$3000,_xlfn.AGGREGATE(15,3,($B$3:$B$3000=$AM$2)/($B$3:$B$3000=$AM$2)*(ROW($B$3:$B$3000)-ROW($B$2)),ROWS($AN$2:$AN466))),"")</f>
        <v/>
      </c>
      <c r="AP467" s="121"/>
      <c r="AT467" s="111"/>
      <c r="AW467" s="134"/>
      <c r="AX467" s="136"/>
      <c r="AY467" s="134"/>
    </row>
    <row r="468" spans="1:51" s="110" customFormat="1" ht="20" customHeight="1">
      <c r="A468" s="125" t="s">
        <v>185</v>
      </c>
      <c r="B468" s="126" t="s">
        <v>59</v>
      </c>
      <c r="C468" s="127">
        <v>14812</v>
      </c>
      <c r="D468" s="145">
        <v>108787</v>
      </c>
      <c r="E468" s="146" t="s">
        <v>2321</v>
      </c>
      <c r="F468" s="146" t="s">
        <v>2322</v>
      </c>
      <c r="G468" s="147">
        <v>1000</v>
      </c>
      <c r="H468" s="147">
        <v>4</v>
      </c>
      <c r="I468" s="146" t="s">
        <v>209</v>
      </c>
      <c r="J468" s="146" t="s">
        <v>2323</v>
      </c>
      <c r="K468" s="146" t="s">
        <v>2321</v>
      </c>
      <c r="L468" s="147">
        <v>4</v>
      </c>
      <c r="M468" s="147">
        <v>1</v>
      </c>
      <c r="N468" s="146" t="s">
        <v>1544</v>
      </c>
      <c r="O468" s="147">
        <v>45</v>
      </c>
      <c r="P468" s="147">
        <v>4</v>
      </c>
      <c r="Q468" s="147">
        <v>17</v>
      </c>
      <c r="R468" s="146" t="s">
        <v>190</v>
      </c>
      <c r="S468" s="146" t="s">
        <v>191</v>
      </c>
      <c r="T468" s="147">
        <v>198</v>
      </c>
      <c r="U468" s="146" t="s">
        <v>263</v>
      </c>
      <c r="V468" s="146" t="s">
        <v>264</v>
      </c>
      <c r="W468" s="147">
        <v>1</v>
      </c>
      <c r="X468" s="147">
        <v>2</v>
      </c>
      <c r="Y468" s="146" t="s">
        <v>194</v>
      </c>
      <c r="Z468" s="146" t="s">
        <v>195</v>
      </c>
      <c r="AA468" s="146" t="s">
        <v>196</v>
      </c>
      <c r="AB468" s="146" t="s">
        <v>187</v>
      </c>
      <c r="AC468" s="146" t="s">
        <v>187</v>
      </c>
      <c r="AD468" s="148"/>
      <c r="AE468" s="146" t="s">
        <v>209</v>
      </c>
      <c r="AF468" s="147">
        <v>-1.3582099999999999</v>
      </c>
      <c r="AG468" s="149">
        <v>120.38396</v>
      </c>
      <c r="AM468" s="133" t="str" cm="1">
        <f t="array" ref="AM468">IF(ROWS($AN$2:$AN467)&lt;=$AN$2,INDEX($V$3:$V$3000,_xlfn.AGGREGATE(15,3,($B$3:$B$3000=$AM$2)/($B$3:$B$3000=$AM$2)*(ROW($B$3:$B$3000)-ROW($B$2)),ROWS($AN$2:$AN467))),"")</f>
        <v/>
      </c>
      <c r="AN468" s="134" t="str" cm="1">
        <f t="array" ref="AN468">IF(ROWS($AN$2:$AN467)&lt;=$AN$2,INDEX($F$3:$F$3000,_xlfn.AGGREGATE(15,3,($B$3:$B$3000=$AM$2)/($B$3:$B$3000=$AM$2)*(ROW($B$3:$B$3000)-ROW($B$2)),ROWS($AN$2:$AN467))),"")</f>
        <v/>
      </c>
      <c r="AO468" s="135" t="str" cm="1">
        <f t="array" ref="AO468">IF(ROWS($AN$2:$AN467)&lt;=$AN$2,INDEX($G$3:$G$3000,_xlfn.AGGREGATE(15,3,($B$3:$B$3000=$AM$2)/($B$3:$B$3000=$AM$2)*(ROW($B$3:$B$3000)-ROW($B$2)),ROWS($AN$2:$AN467))),"")</f>
        <v/>
      </c>
      <c r="AP468" s="121"/>
      <c r="AT468" s="111"/>
      <c r="AW468" s="134"/>
      <c r="AX468" s="136"/>
      <c r="AY468" s="134"/>
    </row>
    <row r="469" spans="1:51" s="110" customFormat="1" ht="20" customHeight="1">
      <c r="A469" s="125" t="s">
        <v>1620</v>
      </c>
      <c r="B469" s="126" t="s">
        <v>61</v>
      </c>
      <c r="C469" s="127">
        <v>19212</v>
      </c>
      <c r="D469" s="128">
        <v>114923</v>
      </c>
      <c r="E469" s="129" t="s">
        <v>4747</v>
      </c>
      <c r="F469" s="129" t="s">
        <v>4747</v>
      </c>
      <c r="G469" s="130">
        <v>207000</v>
      </c>
      <c r="H469" s="130">
        <v>5</v>
      </c>
      <c r="I469" s="129" t="s">
        <v>209</v>
      </c>
      <c r="J469" s="129" t="s">
        <v>4748</v>
      </c>
      <c r="K469" s="129" t="s">
        <v>4747</v>
      </c>
      <c r="L469" s="130">
        <v>5</v>
      </c>
      <c r="M469" s="130">
        <v>1</v>
      </c>
      <c r="N469" s="129" t="s">
        <v>1544</v>
      </c>
      <c r="O469" s="130">
        <v>42</v>
      </c>
      <c r="P469" s="130">
        <v>18</v>
      </c>
      <c r="Q469" s="130">
        <v>23</v>
      </c>
      <c r="R469" s="129" t="s">
        <v>1623</v>
      </c>
      <c r="S469" s="129" t="s">
        <v>1624</v>
      </c>
      <c r="T469" s="130">
        <v>200</v>
      </c>
      <c r="U469" s="129" t="s">
        <v>2234</v>
      </c>
      <c r="V469" s="129" t="s">
        <v>2235</v>
      </c>
      <c r="W469" s="130">
        <v>1</v>
      </c>
      <c r="X469" s="130">
        <v>2</v>
      </c>
      <c r="Y469" s="129" t="s">
        <v>194</v>
      </c>
      <c r="Z469" s="129" t="s">
        <v>195</v>
      </c>
      <c r="AA469" s="129" t="s">
        <v>196</v>
      </c>
      <c r="AB469" s="129" t="s">
        <v>187</v>
      </c>
      <c r="AC469" s="129" t="s">
        <v>187</v>
      </c>
      <c r="AD469" s="131"/>
      <c r="AE469" s="129" t="s">
        <v>209</v>
      </c>
      <c r="AF469" s="130">
        <v>17.30518</v>
      </c>
      <c r="AG469" s="132">
        <v>97.836519999999993</v>
      </c>
      <c r="AM469" s="133" t="str" cm="1">
        <f t="array" ref="AM469">IF(ROWS($AN$2:$AN468)&lt;=$AN$2,INDEX($V$3:$V$3000,_xlfn.AGGREGATE(15,3,($B$3:$B$3000=$AM$2)/($B$3:$B$3000=$AM$2)*(ROW($B$3:$B$3000)-ROW($B$2)),ROWS($AN$2:$AN468))),"")</f>
        <v/>
      </c>
      <c r="AN469" s="134" t="str" cm="1">
        <f t="array" ref="AN469">IF(ROWS($AN$2:$AN468)&lt;=$AN$2,INDEX($F$3:$F$3000,_xlfn.AGGREGATE(15,3,($B$3:$B$3000=$AM$2)/($B$3:$B$3000=$AM$2)*(ROW($B$3:$B$3000)-ROW($B$2)),ROWS($AN$2:$AN468))),"")</f>
        <v/>
      </c>
      <c r="AO469" s="135" t="str" cm="1">
        <f t="array" ref="AO469">IF(ROWS($AN$2:$AN468)&lt;=$AN$2,INDEX($G$3:$G$3000,_xlfn.AGGREGATE(15,3,($B$3:$B$3000=$AM$2)/($B$3:$B$3000=$AM$2)*(ROW($B$3:$B$3000)-ROW($B$2)),ROWS($AN$2:$AN468))),"")</f>
        <v/>
      </c>
      <c r="AP469" s="121"/>
      <c r="AT469" s="111"/>
      <c r="AW469" s="134"/>
      <c r="AX469" s="136"/>
      <c r="AY469" s="134"/>
    </row>
    <row r="470" spans="1:51" s="110" customFormat="1" ht="20" customHeight="1">
      <c r="A470" s="125" t="s">
        <v>1620</v>
      </c>
      <c r="B470" s="126" t="s">
        <v>61</v>
      </c>
      <c r="C470" s="127">
        <v>11853</v>
      </c>
      <c r="D470" s="128">
        <v>103281</v>
      </c>
      <c r="E470" s="129" t="s">
        <v>4394</v>
      </c>
      <c r="F470" s="129" t="s">
        <v>4394</v>
      </c>
      <c r="G470" s="130">
        <v>45000</v>
      </c>
      <c r="H470" s="130">
        <v>5</v>
      </c>
      <c r="I470" s="129" t="s">
        <v>209</v>
      </c>
      <c r="J470" s="129" t="s">
        <v>4395</v>
      </c>
      <c r="K470" s="129" t="s">
        <v>4394</v>
      </c>
      <c r="L470" s="130">
        <v>3</v>
      </c>
      <c r="M470" s="130">
        <v>1</v>
      </c>
      <c r="N470" s="129" t="s">
        <v>1544</v>
      </c>
      <c r="O470" s="130">
        <v>86</v>
      </c>
      <c r="P470" s="130">
        <v>20</v>
      </c>
      <c r="Q470" s="130">
        <v>23</v>
      </c>
      <c r="R470" s="129" t="s">
        <v>1623</v>
      </c>
      <c r="S470" s="129" t="s">
        <v>1624</v>
      </c>
      <c r="T470" s="130">
        <v>200</v>
      </c>
      <c r="U470" s="129" t="s">
        <v>2234</v>
      </c>
      <c r="V470" s="129" t="s">
        <v>2235</v>
      </c>
      <c r="W470" s="130">
        <v>1</v>
      </c>
      <c r="X470" s="130">
        <v>2</v>
      </c>
      <c r="Y470" s="129" t="s">
        <v>194</v>
      </c>
      <c r="Z470" s="129" t="s">
        <v>195</v>
      </c>
      <c r="AA470" s="129" t="s">
        <v>196</v>
      </c>
      <c r="AB470" s="129" t="s">
        <v>187</v>
      </c>
      <c r="AC470" s="129" t="s">
        <v>187</v>
      </c>
      <c r="AD470" s="131"/>
      <c r="AE470" s="129" t="s">
        <v>209</v>
      </c>
      <c r="AF470" s="130">
        <v>19.540489999999998</v>
      </c>
      <c r="AG470" s="132">
        <v>96.985560000000007</v>
      </c>
      <c r="AM470" s="133" t="str" cm="1">
        <f t="array" ref="AM470">IF(ROWS($AN$2:$AN469)&lt;=$AN$2,INDEX($V$3:$V$3000,_xlfn.AGGREGATE(15,3,($B$3:$B$3000=$AM$2)/($B$3:$B$3000=$AM$2)*(ROW($B$3:$B$3000)-ROW($B$2)),ROWS($AN$2:$AN469))),"")</f>
        <v/>
      </c>
      <c r="AN470" s="134" t="str" cm="1">
        <f t="array" ref="AN470">IF(ROWS($AN$2:$AN469)&lt;=$AN$2,INDEX($F$3:$F$3000,_xlfn.AGGREGATE(15,3,($B$3:$B$3000=$AM$2)/($B$3:$B$3000=$AM$2)*(ROW($B$3:$B$3000)-ROW($B$2)),ROWS($AN$2:$AN469))),"")</f>
        <v/>
      </c>
      <c r="AO470" s="135" t="str" cm="1">
        <f t="array" ref="AO470">IF(ROWS($AN$2:$AN469)&lt;=$AN$2,INDEX($G$3:$G$3000,_xlfn.AGGREGATE(15,3,($B$3:$B$3000=$AM$2)/($B$3:$B$3000=$AM$2)*(ROW($B$3:$B$3000)-ROW($B$2)),ROWS($AN$2:$AN469))),"")</f>
        <v/>
      </c>
      <c r="AP470" s="121"/>
      <c r="AT470" s="111"/>
      <c r="AW470" s="134"/>
      <c r="AX470" s="136"/>
      <c r="AY470" s="134"/>
    </row>
    <row r="471" spans="1:51" s="110" customFormat="1" ht="20" customHeight="1">
      <c r="A471" s="125" t="s">
        <v>1620</v>
      </c>
      <c r="B471" s="126" t="s">
        <v>61</v>
      </c>
      <c r="C471" s="127">
        <v>10967</v>
      </c>
      <c r="D471" s="128">
        <v>101664</v>
      </c>
      <c r="E471" s="129" t="s">
        <v>4042</v>
      </c>
      <c r="F471" s="129" t="s">
        <v>4042</v>
      </c>
      <c r="G471" s="130">
        <v>20000</v>
      </c>
      <c r="H471" s="130">
        <v>5</v>
      </c>
      <c r="I471" s="129" t="s">
        <v>209</v>
      </c>
      <c r="J471" s="129" t="s">
        <v>4043</v>
      </c>
      <c r="K471" s="129" t="s">
        <v>4044</v>
      </c>
      <c r="L471" s="130">
        <v>3</v>
      </c>
      <c r="M471" s="130">
        <v>1</v>
      </c>
      <c r="N471" s="129" t="s">
        <v>1544</v>
      </c>
      <c r="O471" s="130">
        <v>87</v>
      </c>
      <c r="P471" s="130">
        <v>36</v>
      </c>
      <c r="Q471" s="130">
        <v>23</v>
      </c>
      <c r="R471" s="129" t="s">
        <v>1623</v>
      </c>
      <c r="S471" s="129" t="s">
        <v>1624</v>
      </c>
      <c r="T471" s="130">
        <v>200</v>
      </c>
      <c r="U471" s="129" t="s">
        <v>2234</v>
      </c>
      <c r="V471" s="129" t="s">
        <v>2235</v>
      </c>
      <c r="W471" s="130">
        <v>1</v>
      </c>
      <c r="X471" s="130">
        <v>2</v>
      </c>
      <c r="Y471" s="129" t="s">
        <v>194</v>
      </c>
      <c r="Z471" s="129" t="s">
        <v>195</v>
      </c>
      <c r="AA471" s="129" t="s">
        <v>196</v>
      </c>
      <c r="AB471" s="129" t="s">
        <v>187</v>
      </c>
      <c r="AC471" s="129" t="s">
        <v>187</v>
      </c>
      <c r="AD471" s="131"/>
      <c r="AE471" s="129" t="s">
        <v>209</v>
      </c>
      <c r="AF471" s="130">
        <v>19.055389999999999</v>
      </c>
      <c r="AG471" s="132">
        <v>96.828710000000001</v>
      </c>
      <c r="AM471" s="133" t="str" cm="1">
        <f t="array" ref="AM471">IF(ROWS($AN$2:$AN470)&lt;=$AN$2,INDEX($V$3:$V$3000,_xlfn.AGGREGATE(15,3,($B$3:$B$3000=$AM$2)/($B$3:$B$3000=$AM$2)*(ROW($B$3:$B$3000)-ROW($B$2)),ROWS($AN$2:$AN470))),"")</f>
        <v/>
      </c>
      <c r="AN471" s="134" t="str" cm="1">
        <f t="array" ref="AN471">IF(ROWS($AN$2:$AN470)&lt;=$AN$2,INDEX($F$3:$F$3000,_xlfn.AGGREGATE(15,3,($B$3:$B$3000=$AM$2)/($B$3:$B$3000=$AM$2)*(ROW($B$3:$B$3000)-ROW($B$2)),ROWS($AN$2:$AN470))),"")</f>
        <v/>
      </c>
      <c r="AO471" s="135" t="str" cm="1">
        <f t="array" ref="AO471">IF(ROWS($AN$2:$AN470)&lt;=$AN$2,INDEX($G$3:$G$3000,_xlfn.AGGREGATE(15,3,($B$3:$B$3000=$AM$2)/($B$3:$B$3000=$AM$2)*(ROW($B$3:$B$3000)-ROW($B$2)),ROWS($AN$2:$AN470))),"")</f>
        <v/>
      </c>
      <c r="AP471" s="121"/>
      <c r="AT471" s="111"/>
      <c r="AW471" s="134"/>
      <c r="AX471" s="136"/>
      <c r="AY471" s="134"/>
    </row>
    <row r="472" spans="1:51" s="110" customFormat="1" ht="20" customHeight="1">
      <c r="A472" s="125" t="s">
        <v>1620</v>
      </c>
      <c r="B472" s="126" t="s">
        <v>61</v>
      </c>
      <c r="C472" s="127">
        <v>11881</v>
      </c>
      <c r="D472" s="128">
        <v>103339</v>
      </c>
      <c r="E472" s="129" t="s">
        <v>3992</v>
      </c>
      <c r="F472" s="129" t="s">
        <v>3992</v>
      </c>
      <c r="G472" s="130">
        <v>18000</v>
      </c>
      <c r="H472" s="130">
        <v>5</v>
      </c>
      <c r="I472" s="129" t="s">
        <v>209</v>
      </c>
      <c r="J472" s="129" t="s">
        <v>3993</v>
      </c>
      <c r="K472" s="129" t="s">
        <v>3994</v>
      </c>
      <c r="L472" s="130">
        <v>1</v>
      </c>
      <c r="M472" s="130">
        <v>1</v>
      </c>
      <c r="N472" s="129" t="s">
        <v>1544</v>
      </c>
      <c r="O472" s="130">
        <v>75</v>
      </c>
      <c r="P472" s="130">
        <v>40</v>
      </c>
      <c r="Q472" s="130">
        <v>23</v>
      </c>
      <c r="R472" s="129" t="s">
        <v>1623</v>
      </c>
      <c r="S472" s="129" t="s">
        <v>1624</v>
      </c>
      <c r="T472" s="130">
        <v>200</v>
      </c>
      <c r="U472" s="129" t="s">
        <v>2234</v>
      </c>
      <c r="V472" s="129" t="s">
        <v>2235</v>
      </c>
      <c r="W472" s="130">
        <v>1</v>
      </c>
      <c r="X472" s="130">
        <v>2</v>
      </c>
      <c r="Y472" s="129" t="s">
        <v>194</v>
      </c>
      <c r="Z472" s="129" t="s">
        <v>195</v>
      </c>
      <c r="AA472" s="129" t="s">
        <v>196</v>
      </c>
      <c r="AB472" s="129" t="s">
        <v>187</v>
      </c>
      <c r="AC472" s="129" t="s">
        <v>187</v>
      </c>
      <c r="AD472" s="131"/>
      <c r="AE472" s="129" t="s">
        <v>209</v>
      </c>
      <c r="AF472" s="130">
        <v>19.684449999999998</v>
      </c>
      <c r="AG472" s="132">
        <v>96.537769999999995</v>
      </c>
      <c r="AM472" s="133" t="str" cm="1">
        <f t="array" ref="AM472">IF(ROWS($AN$2:$AN471)&lt;=$AN$2,INDEX($V$3:$V$3000,_xlfn.AGGREGATE(15,3,($B$3:$B$3000=$AM$2)/($B$3:$B$3000=$AM$2)*(ROW($B$3:$B$3000)-ROW($B$2)),ROWS($AN$2:$AN471))),"")</f>
        <v/>
      </c>
      <c r="AN472" s="134" t="str" cm="1">
        <f t="array" ref="AN472">IF(ROWS($AN$2:$AN471)&lt;=$AN$2,INDEX($F$3:$F$3000,_xlfn.AGGREGATE(15,3,($B$3:$B$3000=$AM$2)/($B$3:$B$3000=$AM$2)*(ROW($B$3:$B$3000)-ROW($B$2)),ROWS($AN$2:$AN471))),"")</f>
        <v/>
      </c>
      <c r="AO472" s="135" t="str" cm="1">
        <f t="array" ref="AO472">IF(ROWS($AN$2:$AN471)&lt;=$AN$2,INDEX($G$3:$G$3000,_xlfn.AGGREGATE(15,3,($B$3:$B$3000=$AM$2)/($B$3:$B$3000=$AM$2)*(ROW($B$3:$B$3000)-ROW($B$2)),ROWS($AN$2:$AN471))),"")</f>
        <v/>
      </c>
      <c r="AP472" s="121"/>
      <c r="AT472" s="111"/>
      <c r="AW472" s="134"/>
      <c r="AX472" s="136"/>
      <c r="AY472" s="134"/>
    </row>
    <row r="473" spans="1:51" s="110" customFormat="1" ht="20" customHeight="1">
      <c r="A473" s="125" t="s">
        <v>1620</v>
      </c>
      <c r="B473" s="126" t="s">
        <v>61</v>
      </c>
      <c r="C473" s="127">
        <v>13518</v>
      </c>
      <c r="D473" s="128">
        <v>106284</v>
      </c>
      <c r="E473" s="129" t="s">
        <v>3702</v>
      </c>
      <c r="F473" s="129" t="s">
        <v>3702</v>
      </c>
      <c r="G473" s="130">
        <v>11000</v>
      </c>
      <c r="H473" s="130">
        <v>5</v>
      </c>
      <c r="I473" s="129" t="s">
        <v>209</v>
      </c>
      <c r="J473" s="129" t="s">
        <v>3703</v>
      </c>
      <c r="K473" s="129" t="s">
        <v>3704</v>
      </c>
      <c r="L473" s="130">
        <v>2</v>
      </c>
      <c r="M473" s="130">
        <v>1</v>
      </c>
      <c r="N473" s="129" t="s">
        <v>1544</v>
      </c>
      <c r="O473" s="130">
        <v>90</v>
      </c>
      <c r="P473" s="130">
        <v>45</v>
      </c>
      <c r="Q473" s="130">
        <v>23</v>
      </c>
      <c r="R473" s="129" t="s">
        <v>1623</v>
      </c>
      <c r="S473" s="129" t="s">
        <v>1624</v>
      </c>
      <c r="T473" s="130">
        <v>200</v>
      </c>
      <c r="U473" s="129" t="s">
        <v>2234</v>
      </c>
      <c r="V473" s="129" t="s">
        <v>2235</v>
      </c>
      <c r="W473" s="130">
        <v>1</v>
      </c>
      <c r="X473" s="130">
        <v>2</v>
      </c>
      <c r="Y473" s="129" t="s">
        <v>194</v>
      </c>
      <c r="Z473" s="129" t="s">
        <v>195</v>
      </c>
      <c r="AA473" s="129" t="s">
        <v>196</v>
      </c>
      <c r="AB473" s="129" t="s">
        <v>187</v>
      </c>
      <c r="AC473" s="129" t="s">
        <v>187</v>
      </c>
      <c r="AD473" s="131"/>
      <c r="AE473" s="129" t="s">
        <v>209</v>
      </c>
      <c r="AF473" s="130">
        <v>19.164000000000001</v>
      </c>
      <c r="AG473" s="132">
        <v>96.964680000000001</v>
      </c>
      <c r="AM473" s="133" t="str" cm="1">
        <f t="array" ref="AM473">IF(ROWS($AN$2:$AN472)&lt;=$AN$2,INDEX($V$3:$V$3000,_xlfn.AGGREGATE(15,3,($B$3:$B$3000=$AM$2)/($B$3:$B$3000=$AM$2)*(ROW($B$3:$B$3000)-ROW($B$2)),ROWS($AN$2:$AN472))),"")</f>
        <v/>
      </c>
      <c r="AN473" s="134" t="str" cm="1">
        <f t="array" ref="AN473">IF(ROWS($AN$2:$AN472)&lt;=$AN$2,INDEX($F$3:$F$3000,_xlfn.AGGREGATE(15,3,($B$3:$B$3000=$AM$2)/($B$3:$B$3000=$AM$2)*(ROW($B$3:$B$3000)-ROW($B$2)),ROWS($AN$2:$AN472))),"")</f>
        <v/>
      </c>
      <c r="AO473" s="135" t="str" cm="1">
        <f t="array" ref="AO473">IF(ROWS($AN$2:$AN472)&lt;=$AN$2,INDEX($G$3:$G$3000,_xlfn.AGGREGATE(15,3,($B$3:$B$3000=$AM$2)/($B$3:$B$3000=$AM$2)*(ROW($B$3:$B$3000)-ROW($B$2)),ROWS($AN$2:$AN472))),"")</f>
        <v/>
      </c>
      <c r="AP473" s="121"/>
      <c r="AT473" s="111"/>
      <c r="AW473" s="134"/>
      <c r="AX473" s="136"/>
      <c r="AY473" s="134"/>
    </row>
    <row r="474" spans="1:51" s="110" customFormat="1" ht="20" customHeight="1">
      <c r="A474" s="125" t="s">
        <v>1620</v>
      </c>
      <c r="B474" s="126" t="s">
        <v>61</v>
      </c>
      <c r="C474" s="127">
        <v>14268</v>
      </c>
      <c r="D474" s="128">
        <v>107772</v>
      </c>
      <c r="E474" s="129" t="s">
        <v>3383</v>
      </c>
      <c r="F474" s="129" t="s">
        <v>3383</v>
      </c>
      <c r="G474" s="130">
        <v>6700</v>
      </c>
      <c r="H474" s="130">
        <v>5</v>
      </c>
      <c r="I474" s="129" t="s">
        <v>209</v>
      </c>
      <c r="J474" s="129" t="s">
        <v>3384</v>
      </c>
      <c r="K474" s="129" t="s">
        <v>3383</v>
      </c>
      <c r="L474" s="130">
        <v>1</v>
      </c>
      <c r="M474" s="130">
        <v>1</v>
      </c>
      <c r="N474" s="129" t="s">
        <v>1544</v>
      </c>
      <c r="O474" s="130">
        <v>70</v>
      </c>
      <c r="P474" s="130">
        <v>22</v>
      </c>
      <c r="Q474" s="130">
        <v>23</v>
      </c>
      <c r="R474" s="129" t="s">
        <v>1623</v>
      </c>
      <c r="S474" s="129" t="s">
        <v>1624</v>
      </c>
      <c r="T474" s="130">
        <v>200</v>
      </c>
      <c r="U474" s="129" t="s">
        <v>2234</v>
      </c>
      <c r="V474" s="129" t="s">
        <v>2235</v>
      </c>
      <c r="W474" s="130">
        <v>1</v>
      </c>
      <c r="X474" s="130">
        <v>2</v>
      </c>
      <c r="Y474" s="129" t="s">
        <v>194</v>
      </c>
      <c r="Z474" s="129" t="s">
        <v>195</v>
      </c>
      <c r="AA474" s="129" t="s">
        <v>196</v>
      </c>
      <c r="AB474" s="129" t="s">
        <v>187</v>
      </c>
      <c r="AC474" s="129" t="s">
        <v>187</v>
      </c>
      <c r="AD474" s="131"/>
      <c r="AE474" s="129" t="s">
        <v>209</v>
      </c>
      <c r="AF474" s="130">
        <v>18.81926</v>
      </c>
      <c r="AG474" s="132">
        <v>97.132329999999996</v>
      </c>
      <c r="AM474" s="133" t="str" cm="1">
        <f t="array" ref="AM474">IF(ROWS($AN$2:$AN473)&lt;=$AN$2,INDEX($V$3:$V$3000,_xlfn.AGGREGATE(15,3,($B$3:$B$3000=$AM$2)/($B$3:$B$3000=$AM$2)*(ROW($B$3:$B$3000)-ROW($B$2)),ROWS($AN$2:$AN473))),"")</f>
        <v/>
      </c>
      <c r="AN474" s="134" t="str" cm="1">
        <f t="array" ref="AN474">IF(ROWS($AN$2:$AN473)&lt;=$AN$2,INDEX($F$3:$F$3000,_xlfn.AGGREGATE(15,3,($B$3:$B$3000=$AM$2)/($B$3:$B$3000=$AM$2)*(ROW($B$3:$B$3000)-ROW($B$2)),ROWS($AN$2:$AN473))),"")</f>
        <v/>
      </c>
      <c r="AO474" s="135" t="str" cm="1">
        <f t="array" ref="AO474">IF(ROWS($AN$2:$AN473)&lt;=$AN$2,INDEX($G$3:$G$3000,_xlfn.AGGREGATE(15,3,($B$3:$B$3000=$AM$2)/($B$3:$B$3000=$AM$2)*(ROW($B$3:$B$3000)-ROW($B$2)),ROWS($AN$2:$AN473))),"")</f>
        <v/>
      </c>
      <c r="AP474" s="121"/>
      <c r="AT474" s="111"/>
      <c r="AW474" s="134"/>
      <c r="AX474" s="136"/>
      <c r="AY474" s="134"/>
    </row>
    <row r="475" spans="1:51" s="110" customFormat="1" ht="20" customHeight="1">
      <c r="A475" s="125" t="s">
        <v>1620</v>
      </c>
      <c r="B475" s="126" t="s">
        <v>61</v>
      </c>
      <c r="C475" s="127">
        <v>20536</v>
      </c>
      <c r="D475" s="128">
        <v>116868</v>
      </c>
      <c r="E475" s="129" t="s">
        <v>3105</v>
      </c>
      <c r="F475" s="129" t="s">
        <v>3105</v>
      </c>
      <c r="G475" s="130">
        <v>4500</v>
      </c>
      <c r="H475" s="130">
        <v>5</v>
      </c>
      <c r="I475" s="129" t="s">
        <v>209</v>
      </c>
      <c r="J475" s="129" t="s">
        <v>3106</v>
      </c>
      <c r="K475" s="129" t="s">
        <v>3105</v>
      </c>
      <c r="L475" s="130">
        <v>1</v>
      </c>
      <c r="M475" s="130">
        <v>1</v>
      </c>
      <c r="N475" s="129" t="s">
        <v>1544</v>
      </c>
      <c r="O475" s="130">
        <v>75</v>
      </c>
      <c r="P475" s="130">
        <v>20</v>
      </c>
      <c r="Q475" s="130">
        <v>23</v>
      </c>
      <c r="R475" s="129" t="s">
        <v>1623</v>
      </c>
      <c r="S475" s="129" t="s">
        <v>1624</v>
      </c>
      <c r="T475" s="130">
        <v>200</v>
      </c>
      <c r="U475" s="129" t="s">
        <v>2234</v>
      </c>
      <c r="V475" s="129" t="s">
        <v>2235</v>
      </c>
      <c r="W475" s="130">
        <v>1</v>
      </c>
      <c r="X475" s="130">
        <v>2</v>
      </c>
      <c r="Y475" s="129" t="s">
        <v>194</v>
      </c>
      <c r="Z475" s="129" t="s">
        <v>195</v>
      </c>
      <c r="AA475" s="129" t="s">
        <v>196</v>
      </c>
      <c r="AB475" s="129" t="s">
        <v>187</v>
      </c>
      <c r="AC475" s="129" t="s">
        <v>187</v>
      </c>
      <c r="AD475" s="131"/>
      <c r="AE475" s="129" t="s">
        <v>209</v>
      </c>
      <c r="AF475" s="130">
        <v>19.018689999999999</v>
      </c>
      <c r="AG475" s="132">
        <v>96.585742999999994</v>
      </c>
      <c r="AM475" s="133" t="str" cm="1">
        <f t="array" ref="AM475">IF(ROWS($AN$2:$AN474)&lt;=$AN$2,INDEX($V$3:$V$3000,_xlfn.AGGREGATE(15,3,($B$3:$B$3000=$AM$2)/($B$3:$B$3000=$AM$2)*(ROW($B$3:$B$3000)-ROW($B$2)),ROWS($AN$2:$AN474))),"")</f>
        <v/>
      </c>
      <c r="AN475" s="134" t="str" cm="1">
        <f t="array" ref="AN475">IF(ROWS($AN$2:$AN474)&lt;=$AN$2,INDEX($F$3:$F$3000,_xlfn.AGGREGATE(15,3,($B$3:$B$3000=$AM$2)/($B$3:$B$3000=$AM$2)*(ROW($B$3:$B$3000)-ROW($B$2)),ROWS($AN$2:$AN474))),"")</f>
        <v/>
      </c>
      <c r="AO475" s="135" t="str" cm="1">
        <f t="array" ref="AO475">IF(ROWS($AN$2:$AN474)&lt;=$AN$2,INDEX($G$3:$G$3000,_xlfn.AGGREGATE(15,3,($B$3:$B$3000=$AM$2)/($B$3:$B$3000=$AM$2)*(ROW($B$3:$B$3000)-ROW($B$2)),ROWS($AN$2:$AN474))),"")</f>
        <v/>
      </c>
      <c r="AP475" s="121"/>
      <c r="AT475" s="111"/>
      <c r="AW475" s="134"/>
      <c r="AX475" s="136"/>
      <c r="AY475" s="134"/>
    </row>
    <row r="476" spans="1:51" s="110" customFormat="1" ht="20" customHeight="1">
      <c r="A476" s="125" t="s">
        <v>370</v>
      </c>
      <c r="B476" s="126" t="s">
        <v>58</v>
      </c>
      <c r="C476" s="127">
        <v>12795</v>
      </c>
      <c r="D476" s="128">
        <v>105225</v>
      </c>
      <c r="E476" s="129" t="s">
        <v>2011</v>
      </c>
      <c r="F476" s="129" t="s">
        <v>2011</v>
      </c>
      <c r="G476" s="130">
        <v>600</v>
      </c>
      <c r="H476" s="130">
        <v>5</v>
      </c>
      <c r="I476" s="129" t="s">
        <v>209</v>
      </c>
      <c r="J476" s="129" t="s">
        <v>2012</v>
      </c>
      <c r="K476" s="129" t="s">
        <v>2011</v>
      </c>
      <c r="L476" s="130">
        <v>5</v>
      </c>
      <c r="M476" s="130">
        <v>1</v>
      </c>
      <c r="N476" s="129" t="s">
        <v>1544</v>
      </c>
      <c r="O476" s="130">
        <v>35</v>
      </c>
      <c r="P476" s="130">
        <v>15</v>
      </c>
      <c r="Q476" s="130">
        <v>11</v>
      </c>
      <c r="R476" s="129" t="s">
        <v>740</v>
      </c>
      <c r="S476" s="129" t="s">
        <v>741</v>
      </c>
      <c r="T476" s="130">
        <v>205</v>
      </c>
      <c r="U476" s="129" t="s">
        <v>2013</v>
      </c>
      <c r="V476" s="129" t="s">
        <v>2011</v>
      </c>
      <c r="W476" s="130">
        <v>49</v>
      </c>
      <c r="X476" s="130">
        <v>2</v>
      </c>
      <c r="Y476" s="129" t="s">
        <v>194</v>
      </c>
      <c r="Z476" s="129" t="s">
        <v>195</v>
      </c>
      <c r="AA476" s="129" t="s">
        <v>196</v>
      </c>
      <c r="AB476" s="129" t="s">
        <v>187</v>
      </c>
      <c r="AC476" s="129" t="s">
        <v>209</v>
      </c>
      <c r="AD476" s="131"/>
      <c r="AE476" s="129" t="s">
        <v>209</v>
      </c>
      <c r="AF476" s="130">
        <v>4.863785</v>
      </c>
      <c r="AG476" s="132">
        <v>114.94125200000001</v>
      </c>
      <c r="AM476" s="133" t="str" cm="1">
        <f t="array" ref="AM476">IF(ROWS($AN$2:$AN475)&lt;=$AN$2,INDEX($V$3:$V$3000,_xlfn.AGGREGATE(15,3,($B$3:$B$3000=$AM$2)/($B$3:$B$3000=$AM$2)*(ROW($B$3:$B$3000)-ROW($B$2)),ROWS($AN$2:$AN475))),"")</f>
        <v/>
      </c>
      <c r="AN476" s="134" t="str" cm="1">
        <f t="array" ref="AN476">IF(ROWS($AN$2:$AN475)&lt;=$AN$2,INDEX($F$3:$F$3000,_xlfn.AGGREGATE(15,3,($B$3:$B$3000=$AM$2)/($B$3:$B$3000=$AM$2)*(ROW($B$3:$B$3000)-ROW($B$2)),ROWS($AN$2:$AN475))),"")</f>
        <v/>
      </c>
      <c r="AO476" s="135" t="str" cm="1">
        <f t="array" ref="AO476">IF(ROWS($AN$2:$AN475)&lt;=$AN$2,INDEX($G$3:$G$3000,_xlfn.AGGREGATE(15,3,($B$3:$B$3000=$AM$2)/($B$3:$B$3000=$AM$2)*(ROW($B$3:$B$3000)-ROW($B$2)),ROWS($AN$2:$AN475))),"")</f>
        <v/>
      </c>
      <c r="AP476" s="121"/>
      <c r="AT476" s="111"/>
      <c r="AW476" s="134"/>
      <c r="AX476" s="136"/>
      <c r="AY476" s="134"/>
    </row>
    <row r="477" spans="1:51" s="110" customFormat="1" ht="20" customHeight="1">
      <c r="A477" s="125" t="s">
        <v>239</v>
      </c>
      <c r="B477" s="126" t="s">
        <v>67</v>
      </c>
      <c r="C477" s="127">
        <v>12795</v>
      </c>
      <c r="D477" s="128">
        <v>105225</v>
      </c>
      <c r="E477" s="129" t="s">
        <v>2011</v>
      </c>
      <c r="F477" s="129" t="s">
        <v>2011</v>
      </c>
      <c r="G477" s="130">
        <v>32000</v>
      </c>
      <c r="H477" s="130">
        <v>5</v>
      </c>
      <c r="I477" s="129" t="s">
        <v>209</v>
      </c>
      <c r="J477" s="129" t="s">
        <v>2012</v>
      </c>
      <c r="K477" s="129" t="s">
        <v>2011</v>
      </c>
      <c r="L477" s="130">
        <v>5</v>
      </c>
      <c r="M477" s="130">
        <v>1</v>
      </c>
      <c r="N477" s="129" t="s">
        <v>1544</v>
      </c>
      <c r="O477" s="130">
        <v>31</v>
      </c>
      <c r="P477" s="130">
        <v>16.8</v>
      </c>
      <c r="Q477" s="130">
        <v>11</v>
      </c>
      <c r="R477" s="129" t="s">
        <v>740</v>
      </c>
      <c r="S477" s="129" t="s">
        <v>741</v>
      </c>
      <c r="T477" s="130">
        <v>205</v>
      </c>
      <c r="U477" s="129" t="s">
        <v>2013</v>
      </c>
      <c r="V477" s="129" t="s">
        <v>2011</v>
      </c>
      <c r="W477" s="130">
        <v>49</v>
      </c>
      <c r="X477" s="130">
        <v>2</v>
      </c>
      <c r="Y477" s="129" t="s">
        <v>194</v>
      </c>
      <c r="Z477" s="129" t="s">
        <v>195</v>
      </c>
      <c r="AA477" s="129" t="s">
        <v>196</v>
      </c>
      <c r="AB477" s="129" t="s">
        <v>209</v>
      </c>
      <c r="AC477" s="129" t="s">
        <v>209</v>
      </c>
      <c r="AD477" s="131"/>
      <c r="AE477" s="129" t="s">
        <v>209</v>
      </c>
      <c r="AF477" s="130">
        <v>14.601671</v>
      </c>
      <c r="AG477" s="132">
        <v>121.00802299999999</v>
      </c>
      <c r="AM477" s="133" t="str" cm="1">
        <f t="array" ref="AM477">IF(ROWS($AN$2:$AN476)&lt;=$AN$2,INDEX($V$3:$V$3000,_xlfn.AGGREGATE(15,3,($B$3:$B$3000=$AM$2)/($B$3:$B$3000=$AM$2)*(ROW($B$3:$B$3000)-ROW($B$2)),ROWS($AN$2:$AN476))),"")</f>
        <v/>
      </c>
      <c r="AN477" s="134" t="str" cm="1">
        <f t="array" ref="AN477">IF(ROWS($AN$2:$AN476)&lt;=$AN$2,INDEX($F$3:$F$3000,_xlfn.AGGREGATE(15,3,($B$3:$B$3000=$AM$2)/($B$3:$B$3000=$AM$2)*(ROW($B$3:$B$3000)-ROW($B$2)),ROWS($AN$2:$AN476))),"")</f>
        <v/>
      </c>
      <c r="AO477" s="135" t="str" cm="1">
        <f t="array" ref="AO477">IF(ROWS($AN$2:$AN476)&lt;=$AN$2,INDEX($G$3:$G$3000,_xlfn.AGGREGATE(15,3,($B$3:$B$3000=$AM$2)/($B$3:$B$3000=$AM$2)*(ROW($B$3:$B$3000)-ROW($B$2)),ROWS($AN$2:$AN476))),"")</f>
        <v/>
      </c>
      <c r="AP477" s="121"/>
      <c r="AT477" s="111"/>
      <c r="AW477" s="134"/>
      <c r="AX477" s="136"/>
      <c r="AY477" s="134"/>
    </row>
    <row r="478" spans="1:51" s="110" customFormat="1" ht="20" customHeight="1">
      <c r="A478" s="125" t="s">
        <v>1620</v>
      </c>
      <c r="B478" s="126" t="s">
        <v>61</v>
      </c>
      <c r="C478" s="127">
        <v>20574</v>
      </c>
      <c r="D478" s="145">
        <v>116891</v>
      </c>
      <c r="E478" s="146" t="s">
        <v>3213</v>
      </c>
      <c r="F478" s="146" t="s">
        <v>3213</v>
      </c>
      <c r="G478" s="147">
        <v>5100</v>
      </c>
      <c r="H478" s="147">
        <v>4</v>
      </c>
      <c r="I478" s="146" t="s">
        <v>209</v>
      </c>
      <c r="J478" s="146" t="s">
        <v>3214</v>
      </c>
      <c r="K478" s="146" t="s">
        <v>3215</v>
      </c>
      <c r="L478" s="147">
        <v>1</v>
      </c>
      <c r="M478" s="147">
        <v>1</v>
      </c>
      <c r="N478" s="146" t="s">
        <v>1544</v>
      </c>
      <c r="O478" s="147">
        <v>60</v>
      </c>
      <c r="P478" s="147">
        <v>4</v>
      </c>
      <c r="Q478" s="147">
        <v>23</v>
      </c>
      <c r="R478" s="146" t="s">
        <v>1623</v>
      </c>
      <c r="S478" s="146" t="s">
        <v>1624</v>
      </c>
      <c r="T478" s="147">
        <v>207</v>
      </c>
      <c r="U478" s="146" t="s">
        <v>1625</v>
      </c>
      <c r="V478" s="146" t="s">
        <v>1626</v>
      </c>
      <c r="W478" s="147">
        <v>1</v>
      </c>
      <c r="X478" s="147">
        <v>2</v>
      </c>
      <c r="Y478" s="146" t="s">
        <v>194</v>
      </c>
      <c r="Z478" s="146" t="s">
        <v>195</v>
      </c>
      <c r="AA478" s="146" t="s">
        <v>196</v>
      </c>
      <c r="AB478" s="146" t="s">
        <v>187</v>
      </c>
      <c r="AC478" s="146" t="s">
        <v>187</v>
      </c>
      <c r="AD478" s="148"/>
      <c r="AE478" s="146" t="s">
        <v>209</v>
      </c>
      <c r="AF478" s="147">
        <v>26.320412999999999</v>
      </c>
      <c r="AG478" s="149">
        <v>95.443763000000004</v>
      </c>
      <c r="AM478" s="133" t="str" cm="1">
        <f t="array" ref="AM478">IF(ROWS($AN$2:$AN477)&lt;=$AN$2,INDEX($V$3:$V$3000,_xlfn.AGGREGATE(15,3,($B$3:$B$3000=$AM$2)/($B$3:$B$3000=$AM$2)*(ROW($B$3:$B$3000)-ROW($B$2)),ROWS($AN$2:$AN477))),"")</f>
        <v/>
      </c>
      <c r="AN478" s="134" t="str" cm="1">
        <f t="array" ref="AN478">IF(ROWS($AN$2:$AN477)&lt;=$AN$2,INDEX($F$3:$F$3000,_xlfn.AGGREGATE(15,3,($B$3:$B$3000=$AM$2)/($B$3:$B$3000=$AM$2)*(ROW($B$3:$B$3000)-ROW($B$2)),ROWS($AN$2:$AN477))),"")</f>
        <v/>
      </c>
      <c r="AO478" s="135" t="str" cm="1">
        <f t="array" ref="AO478">IF(ROWS($AN$2:$AN477)&lt;=$AN$2,INDEX($G$3:$G$3000,_xlfn.AGGREGATE(15,3,($B$3:$B$3000=$AM$2)/($B$3:$B$3000=$AM$2)*(ROW($B$3:$B$3000)-ROW($B$2)),ROWS($AN$2:$AN477))),"")</f>
        <v/>
      </c>
      <c r="AP478" s="121"/>
      <c r="AT478" s="111"/>
      <c r="AW478" s="134"/>
      <c r="AX478" s="136"/>
      <c r="AY478" s="134"/>
    </row>
    <row r="479" spans="1:51" s="110" customFormat="1" ht="20" customHeight="1">
      <c r="A479" s="125" t="s">
        <v>1620</v>
      </c>
      <c r="B479" s="126" t="s">
        <v>61</v>
      </c>
      <c r="C479" s="127">
        <v>18961</v>
      </c>
      <c r="D479" s="145">
        <v>115317</v>
      </c>
      <c r="E479" s="146" t="s">
        <v>3107</v>
      </c>
      <c r="F479" s="146" t="s">
        <v>3107</v>
      </c>
      <c r="G479" s="147">
        <v>4500</v>
      </c>
      <c r="H479" s="147">
        <v>4</v>
      </c>
      <c r="I479" s="146" t="s">
        <v>209</v>
      </c>
      <c r="J479" s="146" t="s">
        <v>3108</v>
      </c>
      <c r="K479" s="146" t="s">
        <v>3109</v>
      </c>
      <c r="L479" s="147">
        <v>2</v>
      </c>
      <c r="M479" s="147">
        <v>1</v>
      </c>
      <c r="N479" s="146" t="s">
        <v>1544</v>
      </c>
      <c r="O479" s="147">
        <v>95</v>
      </c>
      <c r="P479" s="147">
        <v>7</v>
      </c>
      <c r="Q479" s="147">
        <v>23</v>
      </c>
      <c r="R479" s="146" t="s">
        <v>1623</v>
      </c>
      <c r="S479" s="146" t="s">
        <v>1624</v>
      </c>
      <c r="T479" s="147">
        <v>207</v>
      </c>
      <c r="U479" s="146" t="s">
        <v>1625</v>
      </c>
      <c r="V479" s="146" t="s">
        <v>1626</v>
      </c>
      <c r="W479" s="147">
        <v>1</v>
      </c>
      <c r="X479" s="147">
        <v>2</v>
      </c>
      <c r="Y479" s="146" t="s">
        <v>194</v>
      </c>
      <c r="Z479" s="146" t="s">
        <v>195</v>
      </c>
      <c r="AA479" s="146" t="s">
        <v>196</v>
      </c>
      <c r="AB479" s="146" t="s">
        <v>187</v>
      </c>
      <c r="AC479" s="146" t="s">
        <v>187</v>
      </c>
      <c r="AD479" s="148"/>
      <c r="AE479" s="146" t="s">
        <v>209</v>
      </c>
      <c r="AF479" s="147">
        <v>26.322970000000002</v>
      </c>
      <c r="AG479" s="149">
        <v>95.474630000000005</v>
      </c>
      <c r="AM479" s="133" t="str" cm="1">
        <f t="array" ref="AM479">IF(ROWS($AN$2:$AN478)&lt;=$AN$2,INDEX($V$3:$V$3000,_xlfn.AGGREGATE(15,3,($B$3:$B$3000=$AM$2)/($B$3:$B$3000=$AM$2)*(ROW($B$3:$B$3000)-ROW($B$2)),ROWS($AN$2:$AN478))),"")</f>
        <v/>
      </c>
      <c r="AN479" s="134" t="str" cm="1">
        <f t="array" ref="AN479">IF(ROWS($AN$2:$AN478)&lt;=$AN$2,INDEX($F$3:$F$3000,_xlfn.AGGREGATE(15,3,($B$3:$B$3000=$AM$2)/($B$3:$B$3000=$AM$2)*(ROW($B$3:$B$3000)-ROW($B$2)),ROWS($AN$2:$AN478))),"")</f>
        <v/>
      </c>
      <c r="AO479" s="135" t="str" cm="1">
        <f t="array" ref="AO479">IF(ROWS($AN$2:$AN478)&lt;=$AN$2,INDEX($G$3:$G$3000,_xlfn.AGGREGATE(15,3,($B$3:$B$3000=$AM$2)/($B$3:$B$3000=$AM$2)*(ROW($B$3:$B$3000)-ROW($B$2)),ROWS($AN$2:$AN478))),"")</f>
        <v/>
      </c>
      <c r="AP479" s="121"/>
      <c r="AT479" s="111"/>
      <c r="AW479" s="134"/>
      <c r="AX479" s="136"/>
      <c r="AY479" s="134"/>
    </row>
    <row r="480" spans="1:51" s="110" customFormat="1" ht="20" customHeight="1">
      <c r="A480" s="125" t="s">
        <v>1620</v>
      </c>
      <c r="B480" s="126" t="s">
        <v>61</v>
      </c>
      <c r="C480" s="127">
        <v>18963</v>
      </c>
      <c r="D480" s="145">
        <v>115319</v>
      </c>
      <c r="E480" s="146" t="s">
        <v>2729</v>
      </c>
      <c r="F480" s="146" t="s">
        <v>2729</v>
      </c>
      <c r="G480" s="147">
        <v>2100</v>
      </c>
      <c r="H480" s="147">
        <v>4</v>
      </c>
      <c r="I480" s="146" t="s">
        <v>209</v>
      </c>
      <c r="J480" s="146" t="s">
        <v>2730</v>
      </c>
      <c r="K480" s="146" t="s">
        <v>2731</v>
      </c>
      <c r="L480" s="147">
        <v>1</v>
      </c>
      <c r="M480" s="147">
        <v>1</v>
      </c>
      <c r="N480" s="146" t="s">
        <v>1544</v>
      </c>
      <c r="O480" s="147">
        <v>90</v>
      </c>
      <c r="P480" s="147">
        <v>8</v>
      </c>
      <c r="Q480" s="147">
        <v>23</v>
      </c>
      <c r="R480" s="146" t="s">
        <v>1623</v>
      </c>
      <c r="S480" s="146" t="s">
        <v>1624</v>
      </c>
      <c r="T480" s="147">
        <v>207</v>
      </c>
      <c r="U480" s="146" t="s">
        <v>1625</v>
      </c>
      <c r="V480" s="146" t="s">
        <v>1626</v>
      </c>
      <c r="W480" s="147">
        <v>1</v>
      </c>
      <c r="X480" s="147">
        <v>2</v>
      </c>
      <c r="Y480" s="146" t="s">
        <v>194</v>
      </c>
      <c r="Z480" s="146" t="s">
        <v>195</v>
      </c>
      <c r="AA480" s="146" t="s">
        <v>196</v>
      </c>
      <c r="AB480" s="146" t="s">
        <v>187</v>
      </c>
      <c r="AC480" s="146" t="s">
        <v>187</v>
      </c>
      <c r="AD480" s="148"/>
      <c r="AE480" s="146" t="s">
        <v>209</v>
      </c>
      <c r="AF480" s="147">
        <v>25.406490000000002</v>
      </c>
      <c r="AG480" s="149">
        <v>94.979460000000003</v>
      </c>
      <c r="AM480" s="133" t="str" cm="1">
        <f t="array" ref="AM480">IF(ROWS($AN$2:$AN479)&lt;=$AN$2,INDEX($V$3:$V$3000,_xlfn.AGGREGATE(15,3,($B$3:$B$3000=$AM$2)/($B$3:$B$3000=$AM$2)*(ROW($B$3:$B$3000)-ROW($B$2)),ROWS($AN$2:$AN479))),"")</f>
        <v/>
      </c>
      <c r="AN480" s="134" t="str" cm="1">
        <f t="array" ref="AN480">IF(ROWS($AN$2:$AN479)&lt;=$AN$2,INDEX($F$3:$F$3000,_xlfn.AGGREGATE(15,3,($B$3:$B$3000=$AM$2)/($B$3:$B$3000=$AM$2)*(ROW($B$3:$B$3000)-ROW($B$2)),ROWS($AN$2:$AN479))),"")</f>
        <v/>
      </c>
      <c r="AO480" s="135" t="str" cm="1">
        <f t="array" ref="AO480">IF(ROWS($AN$2:$AN479)&lt;=$AN$2,INDEX($G$3:$G$3000,_xlfn.AGGREGATE(15,3,($B$3:$B$3000=$AM$2)/($B$3:$B$3000=$AM$2)*(ROW($B$3:$B$3000)-ROW($B$2)),ROWS($AN$2:$AN479))),"")</f>
        <v/>
      </c>
      <c r="AP480" s="121"/>
      <c r="AT480" s="111"/>
      <c r="AW480" s="134"/>
      <c r="AX480" s="136"/>
      <c r="AY480" s="134"/>
    </row>
    <row r="481" spans="1:51" s="110" customFormat="1" ht="20" customHeight="1">
      <c r="A481" s="125" t="s">
        <v>1620</v>
      </c>
      <c r="B481" s="126" t="s">
        <v>61</v>
      </c>
      <c r="C481" s="127">
        <v>15472</v>
      </c>
      <c r="D481" s="128">
        <v>110040</v>
      </c>
      <c r="E481" s="129" t="s">
        <v>4771</v>
      </c>
      <c r="F481" s="129" t="s">
        <v>4771</v>
      </c>
      <c r="G481" s="130">
        <v>256000</v>
      </c>
      <c r="H481" s="130">
        <v>5</v>
      </c>
      <c r="I481" s="129" t="s">
        <v>209</v>
      </c>
      <c r="J481" s="129" t="s">
        <v>4772</v>
      </c>
      <c r="K481" s="129" t="s">
        <v>4771</v>
      </c>
      <c r="L481" s="130">
        <v>5</v>
      </c>
      <c r="M481" s="130">
        <v>1</v>
      </c>
      <c r="N481" s="129" t="s">
        <v>1544</v>
      </c>
      <c r="O481" s="130">
        <v>70</v>
      </c>
      <c r="P481" s="130">
        <v>44</v>
      </c>
      <c r="Q481" s="130">
        <v>23</v>
      </c>
      <c r="R481" s="129" t="s">
        <v>1623</v>
      </c>
      <c r="S481" s="129" t="s">
        <v>1624</v>
      </c>
      <c r="T481" s="130">
        <v>207</v>
      </c>
      <c r="U481" s="129" t="s">
        <v>1625</v>
      </c>
      <c r="V481" s="129" t="s">
        <v>1626</v>
      </c>
      <c r="W481" s="130">
        <v>1</v>
      </c>
      <c r="X481" s="130">
        <v>2</v>
      </c>
      <c r="Y481" s="129" t="s">
        <v>194</v>
      </c>
      <c r="Z481" s="129" t="s">
        <v>195</v>
      </c>
      <c r="AA481" s="129" t="s">
        <v>196</v>
      </c>
      <c r="AB481" s="129" t="s">
        <v>187</v>
      </c>
      <c r="AC481" s="129" t="s">
        <v>187</v>
      </c>
      <c r="AD481" s="131"/>
      <c r="AE481" s="129" t="s">
        <v>209</v>
      </c>
      <c r="AF481" s="130">
        <v>23.504579999767099</v>
      </c>
      <c r="AG481" s="132">
        <v>93.822309999706704</v>
      </c>
      <c r="AM481" s="133" t="str" cm="1">
        <f t="array" ref="AM481">IF(ROWS($AN$2:$AN480)&lt;=$AN$2,INDEX($V$3:$V$3000,_xlfn.AGGREGATE(15,3,($B$3:$B$3000=$AM$2)/($B$3:$B$3000=$AM$2)*(ROW($B$3:$B$3000)-ROW($B$2)),ROWS($AN$2:$AN480))),"")</f>
        <v/>
      </c>
      <c r="AN481" s="134" t="str" cm="1">
        <f t="array" ref="AN481">IF(ROWS($AN$2:$AN480)&lt;=$AN$2,INDEX($F$3:$F$3000,_xlfn.AGGREGATE(15,3,($B$3:$B$3000=$AM$2)/($B$3:$B$3000=$AM$2)*(ROW($B$3:$B$3000)-ROW($B$2)),ROWS($AN$2:$AN480))),"")</f>
        <v/>
      </c>
      <c r="AO481" s="135" t="str" cm="1">
        <f t="array" ref="AO481">IF(ROWS($AN$2:$AN480)&lt;=$AN$2,INDEX($G$3:$G$3000,_xlfn.AGGREGATE(15,3,($B$3:$B$3000=$AM$2)/($B$3:$B$3000=$AM$2)*(ROW($B$3:$B$3000)-ROW($B$2)),ROWS($AN$2:$AN480))),"")</f>
        <v/>
      </c>
      <c r="AP481" s="121"/>
      <c r="AT481" s="111"/>
      <c r="AW481" s="134"/>
      <c r="AX481" s="136"/>
      <c r="AY481" s="134"/>
    </row>
    <row r="482" spans="1:51" s="110" customFormat="1" ht="20" customHeight="1">
      <c r="A482" s="125" t="s">
        <v>1620</v>
      </c>
      <c r="B482" s="126" t="s">
        <v>61</v>
      </c>
      <c r="C482" s="127">
        <v>12037</v>
      </c>
      <c r="D482" s="128">
        <v>103648</v>
      </c>
      <c r="E482" s="129" t="s">
        <v>2542</v>
      </c>
      <c r="F482" s="129" t="s">
        <v>2542</v>
      </c>
      <c r="G482" s="130">
        <v>134000</v>
      </c>
      <c r="H482" s="130">
        <v>5</v>
      </c>
      <c r="I482" s="129" t="s">
        <v>209</v>
      </c>
      <c r="J482" s="129" t="s">
        <v>2541</v>
      </c>
      <c r="K482" s="129" t="s">
        <v>2542</v>
      </c>
      <c r="L482" s="130">
        <v>5</v>
      </c>
      <c r="M482" s="130">
        <v>1</v>
      </c>
      <c r="N482" s="129" t="s">
        <v>1544</v>
      </c>
      <c r="O482" s="130">
        <v>90</v>
      </c>
      <c r="P482" s="130">
        <v>60</v>
      </c>
      <c r="Q482" s="130">
        <v>23</v>
      </c>
      <c r="R482" s="129" t="s">
        <v>1623</v>
      </c>
      <c r="S482" s="129" t="s">
        <v>1624</v>
      </c>
      <c r="T482" s="130">
        <v>207</v>
      </c>
      <c r="U482" s="129" t="s">
        <v>1625</v>
      </c>
      <c r="V482" s="129" t="s">
        <v>1626</v>
      </c>
      <c r="W482" s="130">
        <v>2</v>
      </c>
      <c r="X482" s="130">
        <v>2</v>
      </c>
      <c r="Y482" s="129" t="s">
        <v>194</v>
      </c>
      <c r="Z482" s="129" t="s">
        <v>195</v>
      </c>
      <c r="AA482" s="129" t="s">
        <v>196</v>
      </c>
      <c r="AB482" s="129" t="s">
        <v>187</v>
      </c>
      <c r="AC482" s="129" t="s">
        <v>187</v>
      </c>
      <c r="AD482" s="131"/>
      <c r="AE482" s="129" t="s">
        <v>209</v>
      </c>
      <c r="AF482" s="130">
        <v>22.461819999999999</v>
      </c>
      <c r="AG482" s="132">
        <v>93.70926</v>
      </c>
      <c r="AM482" s="133" t="str" cm="1">
        <f t="array" ref="AM482">IF(ROWS($AN$2:$AN481)&lt;=$AN$2,INDEX($V$3:$V$3000,_xlfn.AGGREGATE(15,3,($B$3:$B$3000=$AM$2)/($B$3:$B$3000=$AM$2)*(ROW($B$3:$B$3000)-ROW($B$2)),ROWS($AN$2:$AN481))),"")</f>
        <v/>
      </c>
      <c r="AN482" s="134" t="str" cm="1">
        <f t="array" ref="AN482">IF(ROWS($AN$2:$AN481)&lt;=$AN$2,INDEX($F$3:$F$3000,_xlfn.AGGREGATE(15,3,($B$3:$B$3000=$AM$2)/($B$3:$B$3000=$AM$2)*(ROW($B$3:$B$3000)-ROW($B$2)),ROWS($AN$2:$AN481))),"")</f>
        <v/>
      </c>
      <c r="AO482" s="135" t="str" cm="1">
        <f t="array" ref="AO482">IF(ROWS($AN$2:$AN481)&lt;=$AN$2,INDEX($G$3:$G$3000,_xlfn.AGGREGATE(15,3,($B$3:$B$3000=$AM$2)/($B$3:$B$3000=$AM$2)*(ROW($B$3:$B$3000)-ROW($B$2)),ROWS($AN$2:$AN481))),"")</f>
        <v/>
      </c>
      <c r="AP482" s="121"/>
      <c r="AT482" s="111"/>
      <c r="AW482" s="134"/>
      <c r="AX482" s="136"/>
      <c r="AY482" s="134"/>
    </row>
    <row r="483" spans="1:51" s="110" customFormat="1" ht="20" customHeight="1">
      <c r="A483" s="125" t="s">
        <v>1620</v>
      </c>
      <c r="B483" s="126" t="s">
        <v>61</v>
      </c>
      <c r="C483" s="127">
        <v>12044</v>
      </c>
      <c r="D483" s="128">
        <v>103667</v>
      </c>
      <c r="E483" s="129" t="s">
        <v>2689</v>
      </c>
      <c r="F483" s="129" t="s">
        <v>2689</v>
      </c>
      <c r="G483" s="130">
        <v>76000</v>
      </c>
      <c r="H483" s="130">
        <v>5</v>
      </c>
      <c r="I483" s="129" t="s">
        <v>209</v>
      </c>
      <c r="J483" s="129" t="s">
        <v>2688</v>
      </c>
      <c r="K483" s="129" t="s">
        <v>2689</v>
      </c>
      <c r="L483" s="130">
        <v>5</v>
      </c>
      <c r="M483" s="130">
        <v>1</v>
      </c>
      <c r="N483" s="129" t="s">
        <v>1544</v>
      </c>
      <c r="O483" s="130">
        <v>90</v>
      </c>
      <c r="P483" s="130">
        <v>60</v>
      </c>
      <c r="Q483" s="130">
        <v>23</v>
      </c>
      <c r="R483" s="129" t="s">
        <v>1623</v>
      </c>
      <c r="S483" s="129" t="s">
        <v>1624</v>
      </c>
      <c r="T483" s="130">
        <v>207</v>
      </c>
      <c r="U483" s="129" t="s">
        <v>1625</v>
      </c>
      <c r="V483" s="129" t="s">
        <v>1626</v>
      </c>
      <c r="W483" s="130">
        <v>1</v>
      </c>
      <c r="X483" s="130">
        <v>2</v>
      </c>
      <c r="Y483" s="129" t="s">
        <v>194</v>
      </c>
      <c r="Z483" s="129" t="s">
        <v>195</v>
      </c>
      <c r="AA483" s="129" t="s">
        <v>196</v>
      </c>
      <c r="AB483" s="129" t="s">
        <v>187</v>
      </c>
      <c r="AC483" s="129" t="s">
        <v>187</v>
      </c>
      <c r="AD483" s="131"/>
      <c r="AE483" s="129" t="s">
        <v>209</v>
      </c>
      <c r="AF483" s="130">
        <v>22.97438</v>
      </c>
      <c r="AG483" s="132">
        <v>93.804699999999997</v>
      </c>
      <c r="AM483" s="133" t="str" cm="1">
        <f t="array" ref="AM483">IF(ROWS($AN$2:$AN482)&lt;=$AN$2,INDEX($V$3:$V$3000,_xlfn.AGGREGATE(15,3,($B$3:$B$3000=$AM$2)/($B$3:$B$3000=$AM$2)*(ROW($B$3:$B$3000)-ROW($B$2)),ROWS($AN$2:$AN482))),"")</f>
        <v/>
      </c>
      <c r="AN483" s="134" t="str" cm="1">
        <f t="array" ref="AN483">IF(ROWS($AN$2:$AN482)&lt;=$AN$2,INDEX($F$3:$F$3000,_xlfn.AGGREGATE(15,3,($B$3:$B$3000=$AM$2)/($B$3:$B$3000=$AM$2)*(ROW($B$3:$B$3000)-ROW($B$2)),ROWS($AN$2:$AN482))),"")</f>
        <v/>
      </c>
      <c r="AO483" s="135" t="str" cm="1">
        <f t="array" ref="AO483">IF(ROWS($AN$2:$AN482)&lt;=$AN$2,INDEX($G$3:$G$3000,_xlfn.AGGREGATE(15,3,($B$3:$B$3000=$AM$2)/($B$3:$B$3000=$AM$2)*(ROW($B$3:$B$3000)-ROW($B$2)),ROWS($AN$2:$AN482))),"")</f>
        <v/>
      </c>
      <c r="AP483" s="121"/>
      <c r="AT483" s="111"/>
      <c r="AW483" s="134"/>
      <c r="AX483" s="136"/>
      <c r="AY483" s="134"/>
    </row>
    <row r="484" spans="1:51" s="110" customFormat="1" ht="20" customHeight="1">
      <c r="A484" s="125" t="s">
        <v>1620</v>
      </c>
      <c r="B484" s="126" t="s">
        <v>61</v>
      </c>
      <c r="C484" s="127">
        <v>12670</v>
      </c>
      <c r="D484" s="128">
        <v>104977</v>
      </c>
      <c r="E484" s="129" t="s">
        <v>2794</v>
      </c>
      <c r="F484" s="129" t="s">
        <v>2794</v>
      </c>
      <c r="G484" s="130">
        <v>66000</v>
      </c>
      <c r="H484" s="130">
        <v>5</v>
      </c>
      <c r="I484" s="129" t="s">
        <v>209</v>
      </c>
      <c r="J484" s="129" t="s">
        <v>2793</v>
      </c>
      <c r="K484" s="129" t="s">
        <v>2794</v>
      </c>
      <c r="L484" s="130">
        <v>5</v>
      </c>
      <c r="M484" s="130">
        <v>1</v>
      </c>
      <c r="N484" s="129" t="s">
        <v>1544</v>
      </c>
      <c r="O484" s="130">
        <v>80</v>
      </c>
      <c r="P484" s="130">
        <v>44</v>
      </c>
      <c r="Q484" s="130">
        <v>23</v>
      </c>
      <c r="R484" s="129" t="s">
        <v>1623</v>
      </c>
      <c r="S484" s="129" t="s">
        <v>1624</v>
      </c>
      <c r="T484" s="130">
        <v>207</v>
      </c>
      <c r="U484" s="129" t="s">
        <v>1625</v>
      </c>
      <c r="V484" s="129" t="s">
        <v>1626</v>
      </c>
      <c r="W484" s="130">
        <v>1</v>
      </c>
      <c r="X484" s="130">
        <v>2</v>
      </c>
      <c r="Y484" s="129" t="s">
        <v>194</v>
      </c>
      <c r="Z484" s="129" t="s">
        <v>195</v>
      </c>
      <c r="AA484" s="129" t="s">
        <v>196</v>
      </c>
      <c r="AB484" s="129" t="s">
        <v>187</v>
      </c>
      <c r="AC484" s="129" t="s">
        <v>187</v>
      </c>
      <c r="AD484" s="131"/>
      <c r="AE484" s="129" t="s">
        <v>209</v>
      </c>
      <c r="AF484" s="130">
        <v>21.29269</v>
      </c>
      <c r="AG484" s="132">
        <v>93.371920000000003</v>
      </c>
      <c r="AM484" s="133" t="str" cm="1">
        <f t="array" ref="AM484">IF(ROWS($AN$2:$AN483)&lt;=$AN$2,INDEX($V$3:$V$3000,_xlfn.AGGREGATE(15,3,($B$3:$B$3000=$AM$2)/($B$3:$B$3000=$AM$2)*(ROW($B$3:$B$3000)-ROW($B$2)),ROWS($AN$2:$AN483))),"")</f>
        <v/>
      </c>
      <c r="AN484" s="134" t="str" cm="1">
        <f t="array" ref="AN484">IF(ROWS($AN$2:$AN483)&lt;=$AN$2,INDEX($F$3:$F$3000,_xlfn.AGGREGATE(15,3,($B$3:$B$3000=$AM$2)/($B$3:$B$3000=$AM$2)*(ROW($B$3:$B$3000)-ROW($B$2)),ROWS($AN$2:$AN483))),"")</f>
        <v/>
      </c>
      <c r="AO484" s="135" t="str" cm="1">
        <f t="array" ref="AO484">IF(ROWS($AN$2:$AN483)&lt;=$AN$2,INDEX($G$3:$G$3000,_xlfn.AGGREGATE(15,3,($B$3:$B$3000=$AM$2)/($B$3:$B$3000=$AM$2)*(ROW($B$3:$B$3000)-ROW($B$2)),ROWS($AN$2:$AN483))),"")</f>
        <v/>
      </c>
      <c r="AP484" s="121"/>
      <c r="AT484" s="111"/>
      <c r="AW484" s="134"/>
      <c r="AX484" s="136"/>
      <c r="AY484" s="134"/>
    </row>
    <row r="485" spans="1:51" s="110" customFormat="1" ht="20" customHeight="1">
      <c r="A485" s="125" t="s">
        <v>1620</v>
      </c>
      <c r="B485" s="126" t="s">
        <v>61</v>
      </c>
      <c r="C485" s="127">
        <v>16110</v>
      </c>
      <c r="D485" s="128">
        <v>111188</v>
      </c>
      <c r="E485" s="129" t="s">
        <v>4437</v>
      </c>
      <c r="F485" s="129" t="s">
        <v>4437</v>
      </c>
      <c r="G485" s="130">
        <v>53000</v>
      </c>
      <c r="H485" s="130">
        <v>5</v>
      </c>
      <c r="I485" s="129" t="s">
        <v>209</v>
      </c>
      <c r="J485" s="129" t="s">
        <v>4438</v>
      </c>
      <c r="K485" s="129" t="s">
        <v>4439</v>
      </c>
      <c r="L485" s="130">
        <v>5</v>
      </c>
      <c r="M485" s="130">
        <v>1</v>
      </c>
      <c r="N485" s="129" t="s">
        <v>1544</v>
      </c>
      <c r="O485" s="130">
        <v>75</v>
      </c>
      <c r="P485" s="130">
        <v>42</v>
      </c>
      <c r="Q485" s="130">
        <v>23</v>
      </c>
      <c r="R485" s="129" t="s">
        <v>1623</v>
      </c>
      <c r="S485" s="129" t="s">
        <v>1624</v>
      </c>
      <c r="T485" s="130">
        <v>207</v>
      </c>
      <c r="U485" s="129" t="s">
        <v>1625</v>
      </c>
      <c r="V485" s="129" t="s">
        <v>1626</v>
      </c>
      <c r="W485" s="130">
        <v>1</v>
      </c>
      <c r="X485" s="130">
        <v>2</v>
      </c>
      <c r="Y485" s="129" t="s">
        <v>194</v>
      </c>
      <c r="Z485" s="129" t="s">
        <v>195</v>
      </c>
      <c r="AA485" s="129" t="s">
        <v>196</v>
      </c>
      <c r="AB485" s="129" t="s">
        <v>187</v>
      </c>
      <c r="AC485" s="129" t="s">
        <v>187</v>
      </c>
      <c r="AD485" s="131"/>
      <c r="AE485" s="129" t="s">
        <v>209</v>
      </c>
      <c r="AF485" s="130">
        <v>22.517910000000001</v>
      </c>
      <c r="AG485" s="132">
        <v>93.301450000000003</v>
      </c>
      <c r="AM485" s="133" t="str" cm="1">
        <f t="array" ref="AM485">IF(ROWS($AN$2:$AN484)&lt;=$AN$2,INDEX($V$3:$V$3000,_xlfn.AGGREGATE(15,3,($B$3:$B$3000=$AM$2)/($B$3:$B$3000=$AM$2)*(ROW($B$3:$B$3000)-ROW($B$2)),ROWS($AN$2:$AN484))),"")</f>
        <v/>
      </c>
      <c r="AN485" s="134" t="str" cm="1">
        <f t="array" ref="AN485">IF(ROWS($AN$2:$AN484)&lt;=$AN$2,INDEX($F$3:$F$3000,_xlfn.AGGREGATE(15,3,($B$3:$B$3000=$AM$2)/($B$3:$B$3000=$AM$2)*(ROW($B$3:$B$3000)-ROW($B$2)),ROWS($AN$2:$AN484))),"")</f>
        <v/>
      </c>
      <c r="AO485" s="135" t="str" cm="1">
        <f t="array" ref="AO485">IF(ROWS($AN$2:$AN484)&lt;=$AN$2,INDEX($G$3:$G$3000,_xlfn.AGGREGATE(15,3,($B$3:$B$3000=$AM$2)/($B$3:$B$3000=$AM$2)*(ROW($B$3:$B$3000)-ROW($B$2)),ROWS($AN$2:$AN484))),"")</f>
        <v/>
      </c>
      <c r="AP485" s="121"/>
      <c r="AT485" s="111"/>
      <c r="AW485" s="134"/>
      <c r="AX485" s="136"/>
      <c r="AY485" s="134"/>
    </row>
    <row r="486" spans="1:51" s="110" customFormat="1" ht="20" customHeight="1">
      <c r="A486" s="125" t="s">
        <v>1620</v>
      </c>
      <c r="B486" s="126" t="s">
        <v>61</v>
      </c>
      <c r="C486" s="127">
        <v>11459</v>
      </c>
      <c r="D486" s="128">
        <v>102348</v>
      </c>
      <c r="E486" s="129" t="s">
        <v>4374</v>
      </c>
      <c r="F486" s="129" t="s">
        <v>4374</v>
      </c>
      <c r="G486" s="130">
        <v>42000</v>
      </c>
      <c r="H486" s="130">
        <v>5</v>
      </c>
      <c r="I486" s="129" t="s">
        <v>209</v>
      </c>
      <c r="J486" s="129" t="s">
        <v>4375</v>
      </c>
      <c r="K486" s="129" t="s">
        <v>4376</v>
      </c>
      <c r="L486" s="130">
        <v>4</v>
      </c>
      <c r="M486" s="130">
        <v>1</v>
      </c>
      <c r="N486" s="129" t="s">
        <v>1544</v>
      </c>
      <c r="O486" s="130">
        <v>95</v>
      </c>
      <c r="P486" s="130">
        <v>60</v>
      </c>
      <c r="Q486" s="130">
        <v>23</v>
      </c>
      <c r="R486" s="129" t="s">
        <v>1623</v>
      </c>
      <c r="S486" s="129" t="s">
        <v>1624</v>
      </c>
      <c r="T486" s="130">
        <v>207</v>
      </c>
      <c r="U486" s="129" t="s">
        <v>1625</v>
      </c>
      <c r="V486" s="129" t="s">
        <v>1626</v>
      </c>
      <c r="W486" s="130">
        <v>1</v>
      </c>
      <c r="X486" s="130">
        <v>2</v>
      </c>
      <c r="Y486" s="129" t="s">
        <v>194</v>
      </c>
      <c r="Z486" s="129" t="s">
        <v>195</v>
      </c>
      <c r="AA486" s="129" t="s">
        <v>196</v>
      </c>
      <c r="AB486" s="129" t="s">
        <v>187</v>
      </c>
      <c r="AC486" s="129" t="s">
        <v>187</v>
      </c>
      <c r="AD486" s="131"/>
      <c r="AE486" s="129" t="s">
        <v>209</v>
      </c>
      <c r="AF486" s="130">
        <v>20.769919999999999</v>
      </c>
      <c r="AG486" s="132">
        <v>93.662019999999998</v>
      </c>
      <c r="AM486" s="133" t="str" cm="1">
        <f t="array" ref="AM486">IF(ROWS($AN$2:$AN485)&lt;=$AN$2,INDEX($V$3:$V$3000,_xlfn.AGGREGATE(15,3,($B$3:$B$3000=$AM$2)/($B$3:$B$3000=$AM$2)*(ROW($B$3:$B$3000)-ROW($B$2)),ROWS($AN$2:$AN485))),"")</f>
        <v/>
      </c>
      <c r="AN486" s="134" t="str" cm="1">
        <f t="array" ref="AN486">IF(ROWS($AN$2:$AN485)&lt;=$AN$2,INDEX($F$3:$F$3000,_xlfn.AGGREGATE(15,3,($B$3:$B$3000=$AM$2)/($B$3:$B$3000=$AM$2)*(ROW($B$3:$B$3000)-ROW($B$2)),ROWS($AN$2:$AN485))),"")</f>
        <v/>
      </c>
      <c r="AO486" s="135" t="str" cm="1">
        <f t="array" ref="AO486">IF(ROWS($AN$2:$AN485)&lt;=$AN$2,INDEX($G$3:$G$3000,_xlfn.AGGREGATE(15,3,($B$3:$B$3000=$AM$2)/($B$3:$B$3000=$AM$2)*(ROW($B$3:$B$3000)-ROW($B$2)),ROWS($AN$2:$AN485))),"")</f>
        <v/>
      </c>
      <c r="AP486" s="121"/>
      <c r="AT486" s="111"/>
      <c r="AW486" s="134"/>
      <c r="AX486" s="136"/>
      <c r="AY486" s="134"/>
    </row>
    <row r="487" spans="1:51" s="110" customFormat="1" ht="20" customHeight="1">
      <c r="A487" s="125" t="s">
        <v>1620</v>
      </c>
      <c r="B487" s="126" t="s">
        <v>61</v>
      </c>
      <c r="C487" s="127">
        <v>14857</v>
      </c>
      <c r="D487" s="128">
        <v>108847</v>
      </c>
      <c r="E487" s="129" t="s">
        <v>4293</v>
      </c>
      <c r="F487" s="129" t="s">
        <v>4293</v>
      </c>
      <c r="G487" s="130">
        <v>35000</v>
      </c>
      <c r="H487" s="130">
        <v>5</v>
      </c>
      <c r="I487" s="129" t="s">
        <v>209</v>
      </c>
      <c r="J487" s="129" t="s">
        <v>4294</v>
      </c>
      <c r="K487" s="129" t="s">
        <v>4293</v>
      </c>
      <c r="L487" s="130">
        <v>0</v>
      </c>
      <c r="M487" s="130">
        <v>1</v>
      </c>
      <c r="N487" s="129" t="s">
        <v>1544</v>
      </c>
      <c r="O487" s="130">
        <v>80</v>
      </c>
      <c r="P487" s="130">
        <v>40</v>
      </c>
      <c r="Q487" s="130">
        <v>23</v>
      </c>
      <c r="R487" s="129" t="s">
        <v>1623</v>
      </c>
      <c r="S487" s="129" t="s">
        <v>1624</v>
      </c>
      <c r="T487" s="130">
        <v>207</v>
      </c>
      <c r="U487" s="129" t="s">
        <v>1625</v>
      </c>
      <c r="V487" s="129" t="s">
        <v>1626</v>
      </c>
      <c r="W487" s="130">
        <v>1</v>
      </c>
      <c r="X487" s="130">
        <v>2</v>
      </c>
      <c r="Y487" s="129" t="s">
        <v>194</v>
      </c>
      <c r="Z487" s="129" t="s">
        <v>195</v>
      </c>
      <c r="AA487" s="129" t="s">
        <v>196</v>
      </c>
      <c r="AB487" s="129" t="s">
        <v>187</v>
      </c>
      <c r="AC487" s="129" t="s">
        <v>187</v>
      </c>
      <c r="AD487" s="131"/>
      <c r="AE487" s="129" t="s">
        <v>209</v>
      </c>
      <c r="AF487" s="130">
        <v>21.891539999999999</v>
      </c>
      <c r="AG487" s="132">
        <v>93.86045</v>
      </c>
      <c r="AM487" s="133" t="str" cm="1">
        <f t="array" ref="AM487">IF(ROWS($AN$2:$AN486)&lt;=$AN$2,INDEX($V$3:$V$3000,_xlfn.AGGREGATE(15,3,($B$3:$B$3000=$AM$2)/($B$3:$B$3000=$AM$2)*(ROW($B$3:$B$3000)-ROW($B$2)),ROWS($AN$2:$AN486))),"")</f>
        <v/>
      </c>
      <c r="AN487" s="134" t="str" cm="1">
        <f t="array" ref="AN487">IF(ROWS($AN$2:$AN486)&lt;=$AN$2,INDEX($F$3:$F$3000,_xlfn.AGGREGATE(15,3,($B$3:$B$3000=$AM$2)/($B$3:$B$3000=$AM$2)*(ROW($B$3:$B$3000)-ROW($B$2)),ROWS($AN$2:$AN486))),"")</f>
        <v/>
      </c>
      <c r="AO487" s="135" t="str" cm="1">
        <f t="array" ref="AO487">IF(ROWS($AN$2:$AN486)&lt;=$AN$2,INDEX($G$3:$G$3000,_xlfn.AGGREGATE(15,3,($B$3:$B$3000=$AM$2)/($B$3:$B$3000=$AM$2)*(ROW($B$3:$B$3000)-ROW($B$2)),ROWS($AN$2:$AN486))),"")</f>
        <v/>
      </c>
      <c r="AP487" s="121"/>
      <c r="AT487" s="111"/>
      <c r="AW487" s="134"/>
      <c r="AX487" s="136"/>
      <c r="AY487" s="134"/>
    </row>
    <row r="488" spans="1:51" s="110" customFormat="1" ht="20" customHeight="1">
      <c r="A488" s="125" t="s">
        <v>1620</v>
      </c>
      <c r="B488" s="126" t="s">
        <v>61</v>
      </c>
      <c r="C488" s="127">
        <v>19594</v>
      </c>
      <c r="D488" s="128">
        <v>115358</v>
      </c>
      <c r="E488" s="129" t="s">
        <v>4263</v>
      </c>
      <c r="F488" s="129" t="s">
        <v>4263</v>
      </c>
      <c r="G488" s="130">
        <v>33000</v>
      </c>
      <c r="H488" s="130">
        <v>5</v>
      </c>
      <c r="I488" s="129" t="s">
        <v>209</v>
      </c>
      <c r="J488" s="129" t="s">
        <v>4264</v>
      </c>
      <c r="K488" s="129" t="s">
        <v>4265</v>
      </c>
      <c r="L488" s="130">
        <v>5</v>
      </c>
      <c r="M488" s="130">
        <v>1</v>
      </c>
      <c r="N488" s="129" t="s">
        <v>1544</v>
      </c>
      <c r="O488" s="130">
        <v>80</v>
      </c>
      <c r="P488" s="130">
        <v>44</v>
      </c>
      <c r="Q488" s="130">
        <v>23</v>
      </c>
      <c r="R488" s="129" t="s">
        <v>1623</v>
      </c>
      <c r="S488" s="129" t="s">
        <v>1624</v>
      </c>
      <c r="T488" s="130">
        <v>207</v>
      </c>
      <c r="U488" s="129" t="s">
        <v>1625</v>
      </c>
      <c r="V488" s="129" t="s">
        <v>1626</v>
      </c>
      <c r="W488" s="130">
        <v>1</v>
      </c>
      <c r="X488" s="130">
        <v>2</v>
      </c>
      <c r="Y488" s="129" t="s">
        <v>194</v>
      </c>
      <c r="Z488" s="129" t="s">
        <v>195</v>
      </c>
      <c r="AA488" s="129" t="s">
        <v>196</v>
      </c>
      <c r="AB488" s="129" t="s">
        <v>187</v>
      </c>
      <c r="AC488" s="129" t="s">
        <v>187</v>
      </c>
      <c r="AD488" s="131"/>
      <c r="AE488" s="129" t="s">
        <v>209</v>
      </c>
      <c r="AF488" s="130">
        <v>24.428999999999998</v>
      </c>
      <c r="AG488" s="132">
        <v>94.957999999999998</v>
      </c>
      <c r="AM488" s="133" t="str" cm="1">
        <f t="array" ref="AM488">IF(ROWS($AN$2:$AN487)&lt;=$AN$2,INDEX($V$3:$V$3000,_xlfn.AGGREGATE(15,3,($B$3:$B$3000=$AM$2)/($B$3:$B$3000=$AM$2)*(ROW($B$3:$B$3000)-ROW($B$2)),ROWS($AN$2:$AN487))),"")</f>
        <v/>
      </c>
      <c r="AN488" s="134" t="str" cm="1">
        <f t="array" ref="AN488">IF(ROWS($AN$2:$AN487)&lt;=$AN$2,INDEX($F$3:$F$3000,_xlfn.AGGREGATE(15,3,($B$3:$B$3000=$AM$2)/($B$3:$B$3000=$AM$2)*(ROW($B$3:$B$3000)-ROW($B$2)),ROWS($AN$2:$AN487))),"")</f>
        <v/>
      </c>
      <c r="AO488" s="135" t="str" cm="1">
        <f t="array" ref="AO488">IF(ROWS($AN$2:$AN487)&lt;=$AN$2,INDEX($G$3:$G$3000,_xlfn.AGGREGATE(15,3,($B$3:$B$3000=$AM$2)/($B$3:$B$3000=$AM$2)*(ROW($B$3:$B$3000)-ROW($B$2)),ROWS($AN$2:$AN487))),"")</f>
        <v/>
      </c>
      <c r="AP488" s="121"/>
      <c r="AT488" s="111"/>
      <c r="AW488" s="134"/>
      <c r="AX488" s="136"/>
      <c r="AY488" s="134"/>
    </row>
    <row r="489" spans="1:51" s="110" customFormat="1" ht="20" customHeight="1">
      <c r="A489" s="125" t="s">
        <v>1620</v>
      </c>
      <c r="B489" s="126" t="s">
        <v>61</v>
      </c>
      <c r="C489" s="127">
        <v>19593</v>
      </c>
      <c r="D489" s="128">
        <v>115321</v>
      </c>
      <c r="E489" s="129" t="s">
        <v>4064</v>
      </c>
      <c r="F489" s="129" t="s">
        <v>4064</v>
      </c>
      <c r="G489" s="130">
        <v>21000</v>
      </c>
      <c r="H489" s="130">
        <v>5</v>
      </c>
      <c r="I489" s="129" t="s">
        <v>209</v>
      </c>
      <c r="J489" s="129" t="s">
        <v>4065</v>
      </c>
      <c r="K489" s="129" t="s">
        <v>4066</v>
      </c>
      <c r="L489" s="130">
        <v>4</v>
      </c>
      <c r="M489" s="130">
        <v>1</v>
      </c>
      <c r="N489" s="129" t="s">
        <v>1544</v>
      </c>
      <c r="O489" s="130">
        <v>65</v>
      </c>
      <c r="P489" s="130">
        <v>35</v>
      </c>
      <c r="Q489" s="130">
        <v>23</v>
      </c>
      <c r="R489" s="129" t="s">
        <v>1623</v>
      </c>
      <c r="S489" s="129" t="s">
        <v>1624</v>
      </c>
      <c r="T489" s="130">
        <v>207</v>
      </c>
      <c r="U489" s="129" t="s">
        <v>1625</v>
      </c>
      <c r="V489" s="129" t="s">
        <v>1626</v>
      </c>
      <c r="W489" s="130">
        <v>1</v>
      </c>
      <c r="X489" s="130">
        <v>2</v>
      </c>
      <c r="Y489" s="129" t="s">
        <v>194</v>
      </c>
      <c r="Z489" s="129" t="s">
        <v>195</v>
      </c>
      <c r="AA489" s="129" t="s">
        <v>196</v>
      </c>
      <c r="AB489" s="129" t="s">
        <v>187</v>
      </c>
      <c r="AC489" s="129" t="s">
        <v>187</v>
      </c>
      <c r="AD489" s="131"/>
      <c r="AE489" s="129" t="s">
        <v>209</v>
      </c>
      <c r="AF489" s="130">
        <v>22.027999999999999</v>
      </c>
      <c r="AG489" s="132">
        <v>93.481999999999999</v>
      </c>
      <c r="AM489" s="133" t="str" cm="1">
        <f t="array" ref="AM489">IF(ROWS($AN$2:$AN488)&lt;=$AN$2,INDEX($V$3:$V$3000,_xlfn.AGGREGATE(15,3,($B$3:$B$3000=$AM$2)/($B$3:$B$3000=$AM$2)*(ROW($B$3:$B$3000)-ROW($B$2)),ROWS($AN$2:$AN488))),"")</f>
        <v/>
      </c>
      <c r="AN489" s="134" t="str" cm="1">
        <f t="array" ref="AN489">IF(ROWS($AN$2:$AN488)&lt;=$AN$2,INDEX($F$3:$F$3000,_xlfn.AGGREGATE(15,3,($B$3:$B$3000=$AM$2)/($B$3:$B$3000=$AM$2)*(ROW($B$3:$B$3000)-ROW($B$2)),ROWS($AN$2:$AN488))),"")</f>
        <v/>
      </c>
      <c r="AO489" s="135" t="str" cm="1">
        <f t="array" ref="AO489">IF(ROWS($AN$2:$AN488)&lt;=$AN$2,INDEX($G$3:$G$3000,_xlfn.AGGREGATE(15,3,($B$3:$B$3000=$AM$2)/($B$3:$B$3000=$AM$2)*(ROW($B$3:$B$3000)-ROW($B$2)),ROWS($AN$2:$AN488))),"")</f>
        <v/>
      </c>
      <c r="AP489" s="121"/>
      <c r="AT489" s="111"/>
      <c r="AW489" s="134"/>
      <c r="AX489" s="136"/>
      <c r="AY489" s="134"/>
    </row>
    <row r="490" spans="1:51" s="110" customFormat="1" ht="20" customHeight="1">
      <c r="A490" s="125" t="s">
        <v>1620</v>
      </c>
      <c r="B490" s="126" t="s">
        <v>61</v>
      </c>
      <c r="C490" s="127">
        <v>13343</v>
      </c>
      <c r="D490" s="128">
        <v>107251</v>
      </c>
      <c r="E490" s="129" t="s">
        <v>4019</v>
      </c>
      <c r="F490" s="129" t="s">
        <v>4019</v>
      </c>
      <c r="G490" s="130">
        <v>19000</v>
      </c>
      <c r="H490" s="130">
        <v>5</v>
      </c>
      <c r="I490" s="129" t="s">
        <v>209</v>
      </c>
      <c r="J490" s="129" t="s">
        <v>4020</v>
      </c>
      <c r="K490" s="129" t="s">
        <v>4019</v>
      </c>
      <c r="L490" s="130">
        <v>5</v>
      </c>
      <c r="M490" s="130">
        <v>1</v>
      </c>
      <c r="N490" s="129" t="s">
        <v>1544</v>
      </c>
      <c r="O490" s="130">
        <v>90</v>
      </c>
      <c r="P490" s="130">
        <v>60</v>
      </c>
      <c r="Q490" s="130">
        <v>23</v>
      </c>
      <c r="R490" s="129" t="s">
        <v>1623</v>
      </c>
      <c r="S490" s="129" t="s">
        <v>1624</v>
      </c>
      <c r="T490" s="130">
        <v>207</v>
      </c>
      <c r="U490" s="129" t="s">
        <v>1625</v>
      </c>
      <c r="V490" s="129" t="s">
        <v>1626</v>
      </c>
      <c r="W490" s="130">
        <v>1</v>
      </c>
      <c r="X490" s="130">
        <v>2</v>
      </c>
      <c r="Y490" s="129" t="s">
        <v>194</v>
      </c>
      <c r="Z490" s="129" t="s">
        <v>195</v>
      </c>
      <c r="AA490" s="129" t="s">
        <v>196</v>
      </c>
      <c r="AB490" s="129" t="s">
        <v>187</v>
      </c>
      <c r="AC490" s="129" t="s">
        <v>187</v>
      </c>
      <c r="AD490" s="131"/>
      <c r="AE490" s="129" t="s">
        <v>209</v>
      </c>
      <c r="AF490" s="130">
        <v>21.930309999706701</v>
      </c>
      <c r="AG490" s="132">
        <v>93.583480000001899</v>
      </c>
      <c r="AM490" s="133" t="str" cm="1">
        <f t="array" ref="AM490">IF(ROWS($AN$2:$AN489)&lt;=$AN$2,INDEX($V$3:$V$3000,_xlfn.AGGREGATE(15,3,($B$3:$B$3000=$AM$2)/($B$3:$B$3000=$AM$2)*(ROW($B$3:$B$3000)-ROW($B$2)),ROWS($AN$2:$AN489))),"")</f>
        <v/>
      </c>
      <c r="AN490" s="134" t="str" cm="1">
        <f t="array" ref="AN490">IF(ROWS($AN$2:$AN489)&lt;=$AN$2,INDEX($F$3:$F$3000,_xlfn.AGGREGATE(15,3,($B$3:$B$3000=$AM$2)/($B$3:$B$3000=$AM$2)*(ROW($B$3:$B$3000)-ROW($B$2)),ROWS($AN$2:$AN489))),"")</f>
        <v/>
      </c>
      <c r="AO490" s="135" t="str" cm="1">
        <f t="array" ref="AO490">IF(ROWS($AN$2:$AN489)&lt;=$AN$2,INDEX($G$3:$G$3000,_xlfn.AGGREGATE(15,3,($B$3:$B$3000=$AM$2)/($B$3:$B$3000=$AM$2)*(ROW($B$3:$B$3000)-ROW($B$2)),ROWS($AN$2:$AN489))),"")</f>
        <v/>
      </c>
      <c r="AP490" s="121"/>
      <c r="AT490" s="111"/>
      <c r="AW490" s="134"/>
      <c r="AX490" s="136"/>
      <c r="AY490" s="134"/>
    </row>
    <row r="491" spans="1:51" s="110" customFormat="1" ht="20" customHeight="1">
      <c r="A491" s="125" t="s">
        <v>1620</v>
      </c>
      <c r="B491" s="126" t="s">
        <v>61</v>
      </c>
      <c r="C491" s="127">
        <v>13866</v>
      </c>
      <c r="D491" s="128">
        <v>106892</v>
      </c>
      <c r="E491" s="129" t="s">
        <v>3954</v>
      </c>
      <c r="F491" s="129" t="s">
        <v>3954</v>
      </c>
      <c r="G491" s="130">
        <v>17000</v>
      </c>
      <c r="H491" s="130">
        <v>5</v>
      </c>
      <c r="I491" s="129" t="s">
        <v>209</v>
      </c>
      <c r="J491" s="129" t="s">
        <v>3955</v>
      </c>
      <c r="K491" s="129" t="s">
        <v>3956</v>
      </c>
      <c r="L491" s="130">
        <v>5</v>
      </c>
      <c r="M491" s="130">
        <v>1</v>
      </c>
      <c r="N491" s="129" t="s">
        <v>1544</v>
      </c>
      <c r="O491" s="130">
        <v>51</v>
      </c>
      <c r="P491" s="130">
        <v>20</v>
      </c>
      <c r="Q491" s="130">
        <v>23</v>
      </c>
      <c r="R491" s="129" t="s">
        <v>1623</v>
      </c>
      <c r="S491" s="129" t="s">
        <v>1624</v>
      </c>
      <c r="T491" s="130">
        <v>207</v>
      </c>
      <c r="U491" s="129" t="s">
        <v>1625</v>
      </c>
      <c r="V491" s="129" t="s">
        <v>1626</v>
      </c>
      <c r="W491" s="130">
        <v>1</v>
      </c>
      <c r="X491" s="130">
        <v>2</v>
      </c>
      <c r="Y491" s="129" t="s">
        <v>194</v>
      </c>
      <c r="Z491" s="129" t="s">
        <v>195</v>
      </c>
      <c r="AA491" s="129" t="s">
        <v>196</v>
      </c>
      <c r="AB491" s="129" t="s">
        <v>187</v>
      </c>
      <c r="AC491" s="129" t="s">
        <v>187</v>
      </c>
      <c r="AD491" s="131"/>
      <c r="AE491" s="129" t="s">
        <v>209</v>
      </c>
      <c r="AF491" s="130">
        <v>20.289100000000001</v>
      </c>
      <c r="AG491" s="132">
        <v>94.302800000000005</v>
      </c>
      <c r="AM491" s="133" t="str" cm="1">
        <f t="array" ref="AM491">IF(ROWS($AN$2:$AN490)&lt;=$AN$2,INDEX($V$3:$V$3000,_xlfn.AGGREGATE(15,3,($B$3:$B$3000=$AM$2)/($B$3:$B$3000=$AM$2)*(ROW($B$3:$B$3000)-ROW($B$2)),ROWS($AN$2:$AN490))),"")</f>
        <v/>
      </c>
      <c r="AN491" s="134" t="str" cm="1">
        <f t="array" ref="AN491">IF(ROWS($AN$2:$AN490)&lt;=$AN$2,INDEX($F$3:$F$3000,_xlfn.AGGREGATE(15,3,($B$3:$B$3000=$AM$2)/($B$3:$B$3000=$AM$2)*(ROW($B$3:$B$3000)-ROW($B$2)),ROWS($AN$2:$AN490))),"")</f>
        <v/>
      </c>
      <c r="AO491" s="135" t="str" cm="1">
        <f t="array" ref="AO491">IF(ROWS($AN$2:$AN490)&lt;=$AN$2,INDEX($G$3:$G$3000,_xlfn.AGGREGATE(15,3,($B$3:$B$3000=$AM$2)/($B$3:$B$3000=$AM$2)*(ROW($B$3:$B$3000)-ROW($B$2)),ROWS($AN$2:$AN490))),"")</f>
        <v/>
      </c>
      <c r="AP491" s="121"/>
      <c r="AT491" s="111"/>
      <c r="AW491" s="134"/>
      <c r="AX491" s="136"/>
      <c r="AY491" s="134"/>
    </row>
    <row r="492" spans="1:51" s="110" customFormat="1" ht="20" customHeight="1">
      <c r="A492" s="125" t="s">
        <v>1620</v>
      </c>
      <c r="B492" s="126" t="s">
        <v>61</v>
      </c>
      <c r="C492" s="127">
        <v>20559</v>
      </c>
      <c r="D492" s="128">
        <v>116850</v>
      </c>
      <c r="E492" s="129" t="s">
        <v>3959</v>
      </c>
      <c r="F492" s="129" t="s">
        <v>3959</v>
      </c>
      <c r="G492" s="130">
        <v>17000</v>
      </c>
      <c r="H492" s="130">
        <v>5</v>
      </c>
      <c r="I492" s="129" t="s">
        <v>209</v>
      </c>
      <c r="J492" s="129" t="s">
        <v>3960</v>
      </c>
      <c r="K492" s="129" t="s">
        <v>3959</v>
      </c>
      <c r="L492" s="130">
        <v>4</v>
      </c>
      <c r="M492" s="130">
        <v>1</v>
      </c>
      <c r="N492" s="129" t="s">
        <v>1544</v>
      </c>
      <c r="O492" s="130">
        <v>85</v>
      </c>
      <c r="P492" s="130">
        <v>30</v>
      </c>
      <c r="Q492" s="130">
        <v>23</v>
      </c>
      <c r="R492" s="129" t="s">
        <v>1623</v>
      </c>
      <c r="S492" s="129" t="s">
        <v>1624</v>
      </c>
      <c r="T492" s="130">
        <v>207</v>
      </c>
      <c r="U492" s="129" t="s">
        <v>1625</v>
      </c>
      <c r="V492" s="129" t="s">
        <v>1626</v>
      </c>
      <c r="W492" s="130">
        <v>1</v>
      </c>
      <c r="X492" s="130">
        <v>2</v>
      </c>
      <c r="Y492" s="129" t="s">
        <v>194</v>
      </c>
      <c r="Z492" s="129" t="s">
        <v>195</v>
      </c>
      <c r="AA492" s="129" t="s">
        <v>196</v>
      </c>
      <c r="AB492" s="129" t="s">
        <v>187</v>
      </c>
      <c r="AC492" s="129" t="s">
        <v>187</v>
      </c>
      <c r="AD492" s="131"/>
      <c r="AE492" s="129" t="s">
        <v>209</v>
      </c>
      <c r="AF492" s="130">
        <v>21.600892999999999</v>
      </c>
      <c r="AG492" s="132">
        <v>93.442965000000001</v>
      </c>
      <c r="AM492" s="133" t="str" cm="1">
        <f t="array" ref="AM492">IF(ROWS($AN$2:$AN491)&lt;=$AN$2,INDEX($V$3:$V$3000,_xlfn.AGGREGATE(15,3,($B$3:$B$3000=$AM$2)/($B$3:$B$3000=$AM$2)*(ROW($B$3:$B$3000)-ROW($B$2)),ROWS($AN$2:$AN491))),"")</f>
        <v/>
      </c>
      <c r="AN492" s="134" t="str" cm="1">
        <f t="array" ref="AN492">IF(ROWS($AN$2:$AN491)&lt;=$AN$2,INDEX($F$3:$F$3000,_xlfn.AGGREGATE(15,3,($B$3:$B$3000=$AM$2)/($B$3:$B$3000=$AM$2)*(ROW($B$3:$B$3000)-ROW($B$2)),ROWS($AN$2:$AN491))),"")</f>
        <v/>
      </c>
      <c r="AO492" s="135" t="str" cm="1">
        <f t="array" ref="AO492">IF(ROWS($AN$2:$AN491)&lt;=$AN$2,INDEX($G$3:$G$3000,_xlfn.AGGREGATE(15,3,($B$3:$B$3000=$AM$2)/($B$3:$B$3000=$AM$2)*(ROW($B$3:$B$3000)-ROW($B$2)),ROWS($AN$2:$AN491))),"")</f>
        <v/>
      </c>
      <c r="AP492" s="121"/>
      <c r="AT492" s="111"/>
      <c r="AW492" s="134"/>
      <c r="AX492" s="136"/>
      <c r="AY492" s="134"/>
    </row>
    <row r="493" spans="1:51" s="110" customFormat="1" ht="20" customHeight="1">
      <c r="A493" s="125" t="s">
        <v>1620</v>
      </c>
      <c r="B493" s="126" t="s">
        <v>61</v>
      </c>
      <c r="C493" s="127">
        <v>20562</v>
      </c>
      <c r="D493" s="128">
        <v>116852</v>
      </c>
      <c r="E493" s="129" t="s">
        <v>3927</v>
      </c>
      <c r="F493" s="129" t="s">
        <v>3927</v>
      </c>
      <c r="G493" s="130">
        <v>16000</v>
      </c>
      <c r="H493" s="130">
        <v>5</v>
      </c>
      <c r="I493" s="129" t="s">
        <v>209</v>
      </c>
      <c r="J493" s="129" t="s">
        <v>3928</v>
      </c>
      <c r="K493" s="129" t="s">
        <v>3927</v>
      </c>
      <c r="L493" s="130">
        <v>2</v>
      </c>
      <c r="M493" s="130">
        <v>1</v>
      </c>
      <c r="N493" s="129" t="s">
        <v>1544</v>
      </c>
      <c r="O493" s="130">
        <v>60</v>
      </c>
      <c r="P493" s="130">
        <v>30</v>
      </c>
      <c r="Q493" s="130">
        <v>23</v>
      </c>
      <c r="R493" s="129" t="s">
        <v>1623</v>
      </c>
      <c r="S493" s="129" t="s">
        <v>1624</v>
      </c>
      <c r="T493" s="130">
        <v>207</v>
      </c>
      <c r="U493" s="129" t="s">
        <v>1625</v>
      </c>
      <c r="V493" s="129" t="s">
        <v>1626</v>
      </c>
      <c r="W493" s="130">
        <v>1</v>
      </c>
      <c r="X493" s="130">
        <v>2</v>
      </c>
      <c r="Y493" s="129" t="s">
        <v>194</v>
      </c>
      <c r="Z493" s="129" t="s">
        <v>195</v>
      </c>
      <c r="AA493" s="129" t="s">
        <v>196</v>
      </c>
      <c r="AB493" s="129" t="s">
        <v>187</v>
      </c>
      <c r="AC493" s="129" t="s">
        <v>187</v>
      </c>
      <c r="AD493" s="131"/>
      <c r="AE493" s="129" t="s">
        <v>209</v>
      </c>
      <c r="AF493" s="130">
        <v>20.357230999999999</v>
      </c>
      <c r="AG493" s="132">
        <v>93.270717000000005</v>
      </c>
      <c r="AM493" s="133" t="str" cm="1">
        <f t="array" ref="AM493">IF(ROWS($AN$2:$AN492)&lt;=$AN$2,INDEX($V$3:$V$3000,_xlfn.AGGREGATE(15,3,($B$3:$B$3000=$AM$2)/($B$3:$B$3000=$AM$2)*(ROW($B$3:$B$3000)-ROW($B$2)),ROWS($AN$2:$AN492))),"")</f>
        <v/>
      </c>
      <c r="AN493" s="134" t="str" cm="1">
        <f t="array" ref="AN493">IF(ROWS($AN$2:$AN492)&lt;=$AN$2,INDEX($F$3:$F$3000,_xlfn.AGGREGATE(15,3,($B$3:$B$3000=$AM$2)/($B$3:$B$3000=$AM$2)*(ROW($B$3:$B$3000)-ROW($B$2)),ROWS($AN$2:$AN492))),"")</f>
        <v/>
      </c>
      <c r="AO493" s="135" t="str" cm="1">
        <f t="array" ref="AO493">IF(ROWS($AN$2:$AN492)&lt;=$AN$2,INDEX($G$3:$G$3000,_xlfn.AGGREGATE(15,3,($B$3:$B$3000=$AM$2)/($B$3:$B$3000=$AM$2)*(ROW($B$3:$B$3000)-ROW($B$2)),ROWS($AN$2:$AN492))),"")</f>
        <v/>
      </c>
      <c r="AP493" s="121"/>
      <c r="AT493" s="111"/>
      <c r="AW493" s="134"/>
      <c r="AX493" s="136"/>
      <c r="AY493" s="134"/>
    </row>
    <row r="494" spans="1:51" s="110" customFormat="1" ht="20" customHeight="1">
      <c r="A494" s="125" t="s">
        <v>1620</v>
      </c>
      <c r="B494" s="126" t="s">
        <v>61</v>
      </c>
      <c r="C494" s="127">
        <v>20556</v>
      </c>
      <c r="D494" s="128">
        <v>116847</v>
      </c>
      <c r="E494" s="129" t="s">
        <v>3850</v>
      </c>
      <c r="F494" s="129" t="s">
        <v>3850</v>
      </c>
      <c r="G494" s="130">
        <v>14000</v>
      </c>
      <c r="H494" s="130">
        <v>5</v>
      </c>
      <c r="I494" s="129" t="s">
        <v>209</v>
      </c>
      <c r="J494" s="129" t="s">
        <v>3851</v>
      </c>
      <c r="K494" s="129" t="s">
        <v>3850</v>
      </c>
      <c r="L494" s="130">
        <v>4</v>
      </c>
      <c r="M494" s="130">
        <v>1</v>
      </c>
      <c r="N494" s="129" t="s">
        <v>1544</v>
      </c>
      <c r="O494" s="130">
        <v>98</v>
      </c>
      <c r="P494" s="130">
        <v>75</v>
      </c>
      <c r="Q494" s="130">
        <v>23</v>
      </c>
      <c r="R494" s="129" t="s">
        <v>1623</v>
      </c>
      <c r="S494" s="129" t="s">
        <v>1624</v>
      </c>
      <c r="T494" s="130">
        <v>207</v>
      </c>
      <c r="U494" s="129" t="s">
        <v>1625</v>
      </c>
      <c r="V494" s="129" t="s">
        <v>1626</v>
      </c>
      <c r="W494" s="130">
        <v>1</v>
      </c>
      <c r="X494" s="130">
        <v>2</v>
      </c>
      <c r="Y494" s="129" t="s">
        <v>194</v>
      </c>
      <c r="Z494" s="129" t="s">
        <v>195</v>
      </c>
      <c r="AA494" s="129" t="s">
        <v>196</v>
      </c>
      <c r="AB494" s="129" t="s">
        <v>187</v>
      </c>
      <c r="AC494" s="129" t="s">
        <v>187</v>
      </c>
      <c r="AD494" s="131"/>
      <c r="AE494" s="129" t="s">
        <v>209</v>
      </c>
      <c r="AF494" s="130">
        <v>21.302796000000001</v>
      </c>
      <c r="AG494" s="132">
        <v>92.855005000000006</v>
      </c>
      <c r="AM494" s="133" t="str" cm="1">
        <f t="array" ref="AM494">IF(ROWS($AN$2:$AN493)&lt;=$AN$2,INDEX($V$3:$V$3000,_xlfn.AGGREGATE(15,3,($B$3:$B$3000=$AM$2)/($B$3:$B$3000=$AM$2)*(ROW($B$3:$B$3000)-ROW($B$2)),ROWS($AN$2:$AN493))),"")</f>
        <v/>
      </c>
      <c r="AN494" s="134" t="str" cm="1">
        <f t="array" ref="AN494">IF(ROWS($AN$2:$AN493)&lt;=$AN$2,INDEX($F$3:$F$3000,_xlfn.AGGREGATE(15,3,($B$3:$B$3000=$AM$2)/($B$3:$B$3000=$AM$2)*(ROW($B$3:$B$3000)-ROW($B$2)),ROWS($AN$2:$AN493))),"")</f>
        <v/>
      </c>
      <c r="AO494" s="135" t="str" cm="1">
        <f t="array" ref="AO494">IF(ROWS($AN$2:$AN493)&lt;=$AN$2,INDEX($G$3:$G$3000,_xlfn.AGGREGATE(15,3,($B$3:$B$3000=$AM$2)/($B$3:$B$3000=$AM$2)*(ROW($B$3:$B$3000)-ROW($B$2)),ROWS($AN$2:$AN493))),"")</f>
        <v/>
      </c>
      <c r="AP494" s="121"/>
      <c r="AT494" s="111"/>
      <c r="AW494" s="134"/>
      <c r="AX494" s="136"/>
      <c r="AY494" s="134"/>
    </row>
    <row r="495" spans="1:51" s="110" customFormat="1" ht="20" customHeight="1">
      <c r="A495" s="125" t="s">
        <v>1620</v>
      </c>
      <c r="B495" s="126" t="s">
        <v>61</v>
      </c>
      <c r="C495" s="127">
        <v>14959</v>
      </c>
      <c r="D495" s="128">
        <v>109346</v>
      </c>
      <c r="E495" s="129" t="s">
        <v>3812</v>
      </c>
      <c r="F495" s="129" t="s">
        <v>3812</v>
      </c>
      <c r="G495" s="130">
        <v>13000</v>
      </c>
      <c r="H495" s="130">
        <v>5</v>
      </c>
      <c r="I495" s="129" t="s">
        <v>209</v>
      </c>
      <c r="J495" s="129" t="s">
        <v>3813</v>
      </c>
      <c r="K495" s="129" t="s">
        <v>3812</v>
      </c>
      <c r="L495" s="130">
        <v>5</v>
      </c>
      <c r="M495" s="130">
        <v>1</v>
      </c>
      <c r="N495" s="129" t="s">
        <v>1544</v>
      </c>
      <c r="O495" s="130">
        <v>84</v>
      </c>
      <c r="P495" s="130">
        <v>44</v>
      </c>
      <c r="Q495" s="130">
        <v>23</v>
      </c>
      <c r="R495" s="129" t="s">
        <v>1623</v>
      </c>
      <c r="S495" s="129" t="s">
        <v>1624</v>
      </c>
      <c r="T495" s="130">
        <v>207</v>
      </c>
      <c r="U495" s="129" t="s">
        <v>1625</v>
      </c>
      <c r="V495" s="129" t="s">
        <v>1626</v>
      </c>
      <c r="W495" s="130">
        <v>1</v>
      </c>
      <c r="X495" s="130">
        <v>2</v>
      </c>
      <c r="Y495" s="129" t="s">
        <v>194</v>
      </c>
      <c r="Z495" s="129" t="s">
        <v>195</v>
      </c>
      <c r="AA495" s="129" t="s">
        <v>196</v>
      </c>
      <c r="AB495" s="129" t="s">
        <v>187</v>
      </c>
      <c r="AC495" s="129" t="s">
        <v>187</v>
      </c>
      <c r="AD495" s="131"/>
      <c r="AE495" s="129" t="s">
        <v>209</v>
      </c>
      <c r="AF495" s="130">
        <v>23.819190000218299</v>
      </c>
      <c r="AG495" s="132">
        <v>93.688429999644697</v>
      </c>
      <c r="AM495" s="133" t="str" cm="1">
        <f t="array" ref="AM495">IF(ROWS($AN$2:$AN494)&lt;=$AN$2,INDEX($V$3:$V$3000,_xlfn.AGGREGATE(15,3,($B$3:$B$3000=$AM$2)/($B$3:$B$3000=$AM$2)*(ROW($B$3:$B$3000)-ROW($B$2)),ROWS($AN$2:$AN494))),"")</f>
        <v/>
      </c>
      <c r="AN495" s="134" t="str" cm="1">
        <f t="array" ref="AN495">IF(ROWS($AN$2:$AN494)&lt;=$AN$2,INDEX($F$3:$F$3000,_xlfn.AGGREGATE(15,3,($B$3:$B$3000=$AM$2)/($B$3:$B$3000=$AM$2)*(ROW($B$3:$B$3000)-ROW($B$2)),ROWS($AN$2:$AN494))),"")</f>
        <v/>
      </c>
      <c r="AO495" s="135" t="str" cm="1">
        <f t="array" ref="AO495">IF(ROWS($AN$2:$AN494)&lt;=$AN$2,INDEX($G$3:$G$3000,_xlfn.AGGREGATE(15,3,($B$3:$B$3000=$AM$2)/($B$3:$B$3000=$AM$2)*(ROW($B$3:$B$3000)-ROW($B$2)),ROWS($AN$2:$AN494))),"")</f>
        <v/>
      </c>
      <c r="AP495" s="121"/>
      <c r="AT495" s="111"/>
      <c r="AW495" s="134"/>
      <c r="AX495" s="136"/>
      <c r="AY495" s="134"/>
    </row>
    <row r="496" spans="1:51" s="110" customFormat="1" ht="20" customHeight="1">
      <c r="A496" s="125" t="s">
        <v>1620</v>
      </c>
      <c r="B496" s="126" t="s">
        <v>61</v>
      </c>
      <c r="C496" s="127">
        <v>20575</v>
      </c>
      <c r="D496" s="128">
        <v>116888</v>
      </c>
      <c r="E496" s="129" t="s">
        <v>3641</v>
      </c>
      <c r="F496" s="129" t="s">
        <v>3641</v>
      </c>
      <c r="G496" s="130">
        <v>10000</v>
      </c>
      <c r="H496" s="130">
        <v>5</v>
      </c>
      <c r="I496" s="129" t="s">
        <v>209</v>
      </c>
      <c r="J496" s="129" t="s">
        <v>3642</v>
      </c>
      <c r="K496" s="129" t="s">
        <v>3643</v>
      </c>
      <c r="L496" s="130">
        <v>1</v>
      </c>
      <c r="M496" s="130">
        <v>1</v>
      </c>
      <c r="N496" s="129" t="s">
        <v>1544</v>
      </c>
      <c r="O496" s="130">
        <v>95</v>
      </c>
      <c r="P496" s="130">
        <v>55</v>
      </c>
      <c r="Q496" s="130">
        <v>23</v>
      </c>
      <c r="R496" s="129" t="s">
        <v>1623</v>
      </c>
      <c r="S496" s="129" t="s">
        <v>1624</v>
      </c>
      <c r="T496" s="130">
        <v>207</v>
      </c>
      <c r="U496" s="129" t="s">
        <v>1625</v>
      </c>
      <c r="V496" s="129" t="s">
        <v>1626</v>
      </c>
      <c r="W496" s="130">
        <v>1</v>
      </c>
      <c r="X496" s="130">
        <v>2</v>
      </c>
      <c r="Y496" s="129" t="s">
        <v>194</v>
      </c>
      <c r="Z496" s="129" t="s">
        <v>195</v>
      </c>
      <c r="AA496" s="129" t="s">
        <v>196</v>
      </c>
      <c r="AB496" s="129" t="s">
        <v>187</v>
      </c>
      <c r="AC496" s="129" t="s">
        <v>187</v>
      </c>
      <c r="AD496" s="131"/>
      <c r="AE496" s="129" t="s">
        <v>209</v>
      </c>
      <c r="AF496" s="130">
        <v>26.325710999999998</v>
      </c>
      <c r="AG496" s="132">
        <v>95.443485999999993</v>
      </c>
      <c r="AM496" s="133" t="str" cm="1">
        <f t="array" ref="AM496">IF(ROWS($AN$2:$AN495)&lt;=$AN$2,INDEX($V$3:$V$3000,_xlfn.AGGREGATE(15,3,($B$3:$B$3000=$AM$2)/($B$3:$B$3000=$AM$2)*(ROW($B$3:$B$3000)-ROW($B$2)),ROWS($AN$2:$AN495))),"")</f>
        <v/>
      </c>
      <c r="AN496" s="134" t="str" cm="1">
        <f t="array" ref="AN496">IF(ROWS($AN$2:$AN495)&lt;=$AN$2,INDEX($F$3:$F$3000,_xlfn.AGGREGATE(15,3,($B$3:$B$3000=$AM$2)/($B$3:$B$3000=$AM$2)*(ROW($B$3:$B$3000)-ROW($B$2)),ROWS($AN$2:$AN495))),"")</f>
        <v/>
      </c>
      <c r="AO496" s="135" t="str" cm="1">
        <f t="array" ref="AO496">IF(ROWS($AN$2:$AN495)&lt;=$AN$2,INDEX($G$3:$G$3000,_xlfn.AGGREGATE(15,3,($B$3:$B$3000=$AM$2)/($B$3:$B$3000=$AM$2)*(ROW($B$3:$B$3000)-ROW($B$2)),ROWS($AN$2:$AN495))),"")</f>
        <v/>
      </c>
      <c r="AP496" s="121"/>
      <c r="AT496" s="111"/>
      <c r="AW496" s="134"/>
      <c r="AX496" s="136"/>
      <c r="AY496" s="134"/>
    </row>
    <row r="497" spans="1:51" s="110" customFormat="1" ht="20" customHeight="1">
      <c r="A497" s="125" t="s">
        <v>1620</v>
      </c>
      <c r="B497" s="126" t="s">
        <v>61</v>
      </c>
      <c r="C497" s="127">
        <v>11820</v>
      </c>
      <c r="D497" s="128">
        <v>103213</v>
      </c>
      <c r="E497" s="129" t="s">
        <v>3365</v>
      </c>
      <c r="F497" s="129" t="s">
        <v>3365</v>
      </c>
      <c r="G497" s="130">
        <v>6500</v>
      </c>
      <c r="H497" s="130">
        <v>5</v>
      </c>
      <c r="I497" s="129" t="s">
        <v>209</v>
      </c>
      <c r="J497" s="129" t="s">
        <v>3366</v>
      </c>
      <c r="K497" s="129" t="s">
        <v>3367</v>
      </c>
      <c r="L497" s="130">
        <v>5</v>
      </c>
      <c r="M497" s="130">
        <v>1</v>
      </c>
      <c r="N497" s="129" t="s">
        <v>1544</v>
      </c>
      <c r="O497" s="130">
        <v>60</v>
      </c>
      <c r="P497" s="130">
        <v>35</v>
      </c>
      <c r="Q497" s="130">
        <v>23</v>
      </c>
      <c r="R497" s="129" t="s">
        <v>1623</v>
      </c>
      <c r="S497" s="129" t="s">
        <v>1624</v>
      </c>
      <c r="T497" s="130">
        <v>207</v>
      </c>
      <c r="U497" s="129" t="s">
        <v>1625</v>
      </c>
      <c r="V497" s="129" t="s">
        <v>1626</v>
      </c>
      <c r="W497" s="130">
        <v>1</v>
      </c>
      <c r="X497" s="130">
        <v>2</v>
      </c>
      <c r="Y497" s="129" t="s">
        <v>194</v>
      </c>
      <c r="Z497" s="129" t="s">
        <v>195</v>
      </c>
      <c r="AA497" s="129" t="s">
        <v>196</v>
      </c>
      <c r="AB497" s="129" t="s">
        <v>187</v>
      </c>
      <c r="AC497" s="129" t="s">
        <v>187</v>
      </c>
      <c r="AD497" s="131"/>
      <c r="AE497" s="129" t="s">
        <v>209</v>
      </c>
      <c r="AF497" s="130">
        <v>24.422940000000001</v>
      </c>
      <c r="AG497" s="132">
        <v>94.455740000000006</v>
      </c>
      <c r="AM497" s="133" t="str" cm="1">
        <f t="array" ref="AM497">IF(ROWS($AN$2:$AN496)&lt;=$AN$2,INDEX($V$3:$V$3000,_xlfn.AGGREGATE(15,3,($B$3:$B$3000=$AM$2)/($B$3:$B$3000=$AM$2)*(ROW($B$3:$B$3000)-ROW($B$2)),ROWS($AN$2:$AN496))),"")</f>
        <v/>
      </c>
      <c r="AN497" s="134" t="str" cm="1">
        <f t="array" ref="AN497">IF(ROWS($AN$2:$AN496)&lt;=$AN$2,INDEX($F$3:$F$3000,_xlfn.AGGREGATE(15,3,($B$3:$B$3000=$AM$2)/($B$3:$B$3000=$AM$2)*(ROW($B$3:$B$3000)-ROW($B$2)),ROWS($AN$2:$AN496))),"")</f>
        <v/>
      </c>
      <c r="AO497" s="135" t="str" cm="1">
        <f t="array" ref="AO497">IF(ROWS($AN$2:$AN496)&lt;=$AN$2,INDEX($G$3:$G$3000,_xlfn.AGGREGATE(15,3,($B$3:$B$3000=$AM$2)/($B$3:$B$3000=$AM$2)*(ROW($B$3:$B$3000)-ROW($B$2)),ROWS($AN$2:$AN496))),"")</f>
        <v/>
      </c>
      <c r="AP497" s="121"/>
      <c r="AT497" s="111"/>
      <c r="AW497" s="134"/>
      <c r="AX497" s="136"/>
      <c r="AY497" s="134"/>
    </row>
    <row r="498" spans="1:51" s="110" customFormat="1" ht="20" customHeight="1">
      <c r="A498" s="125" t="s">
        <v>1620</v>
      </c>
      <c r="B498" s="126" t="s">
        <v>61</v>
      </c>
      <c r="C498" s="127">
        <v>15902</v>
      </c>
      <c r="D498" s="128">
        <v>110739</v>
      </c>
      <c r="E498" s="129" t="s">
        <v>3258</v>
      </c>
      <c r="F498" s="129" t="s">
        <v>3258</v>
      </c>
      <c r="G498" s="130">
        <v>5500</v>
      </c>
      <c r="H498" s="130">
        <v>5</v>
      </c>
      <c r="I498" s="129" t="s">
        <v>209</v>
      </c>
      <c r="J498" s="129" t="s">
        <v>3259</v>
      </c>
      <c r="K498" s="129" t="s">
        <v>3260</v>
      </c>
      <c r="L498" s="130">
        <v>1</v>
      </c>
      <c r="M498" s="130">
        <v>1</v>
      </c>
      <c r="N498" s="129" t="s">
        <v>1544</v>
      </c>
      <c r="O498" s="130">
        <v>100</v>
      </c>
      <c r="P498" s="130">
        <v>95</v>
      </c>
      <c r="Q498" s="130">
        <v>23</v>
      </c>
      <c r="R498" s="129" t="s">
        <v>1623</v>
      </c>
      <c r="S498" s="129" t="s">
        <v>1624</v>
      </c>
      <c r="T498" s="130">
        <v>207</v>
      </c>
      <c r="U498" s="129" t="s">
        <v>1625</v>
      </c>
      <c r="V498" s="129" t="s">
        <v>1626</v>
      </c>
      <c r="W498" s="130">
        <v>1</v>
      </c>
      <c r="X498" s="130">
        <v>2</v>
      </c>
      <c r="Y498" s="129" t="s">
        <v>194</v>
      </c>
      <c r="Z498" s="129" t="s">
        <v>195</v>
      </c>
      <c r="AA498" s="129" t="s">
        <v>196</v>
      </c>
      <c r="AB498" s="129" t="s">
        <v>187</v>
      </c>
      <c r="AC498" s="129" t="s">
        <v>187</v>
      </c>
      <c r="AD498" s="131"/>
      <c r="AE498" s="129" t="s">
        <v>209</v>
      </c>
      <c r="AF498" s="130">
        <v>27.04569</v>
      </c>
      <c r="AG498" s="132">
        <v>98.319699999999997</v>
      </c>
      <c r="AM498" s="133" t="str" cm="1">
        <f t="array" ref="AM498">IF(ROWS($AN$2:$AN497)&lt;=$AN$2,INDEX($V$3:$V$3000,_xlfn.AGGREGATE(15,3,($B$3:$B$3000=$AM$2)/($B$3:$B$3000=$AM$2)*(ROW($B$3:$B$3000)-ROW($B$2)),ROWS($AN$2:$AN497))),"")</f>
        <v/>
      </c>
      <c r="AN498" s="134" t="str" cm="1">
        <f t="array" ref="AN498">IF(ROWS($AN$2:$AN497)&lt;=$AN$2,INDEX($F$3:$F$3000,_xlfn.AGGREGATE(15,3,($B$3:$B$3000=$AM$2)/($B$3:$B$3000=$AM$2)*(ROW($B$3:$B$3000)-ROW($B$2)),ROWS($AN$2:$AN497))),"")</f>
        <v/>
      </c>
      <c r="AO498" s="135" t="str" cm="1">
        <f t="array" ref="AO498">IF(ROWS($AN$2:$AN497)&lt;=$AN$2,INDEX($G$3:$G$3000,_xlfn.AGGREGATE(15,3,($B$3:$B$3000=$AM$2)/($B$3:$B$3000=$AM$2)*(ROW($B$3:$B$3000)-ROW($B$2)),ROWS($AN$2:$AN497))),"")</f>
        <v/>
      </c>
      <c r="AP498" s="121"/>
      <c r="AT498" s="111"/>
      <c r="AW498" s="134"/>
      <c r="AX498" s="136"/>
      <c r="AY498" s="134"/>
    </row>
    <row r="499" spans="1:51" s="110" customFormat="1" ht="20" customHeight="1">
      <c r="A499" s="125" t="s">
        <v>1620</v>
      </c>
      <c r="B499" s="126" t="s">
        <v>61</v>
      </c>
      <c r="C499" s="127">
        <v>10353</v>
      </c>
      <c r="D499" s="128">
        <v>100394</v>
      </c>
      <c r="E499" s="129" t="s">
        <v>3193</v>
      </c>
      <c r="F499" s="129" t="s">
        <v>3193</v>
      </c>
      <c r="G499" s="130">
        <v>5000</v>
      </c>
      <c r="H499" s="130">
        <v>5</v>
      </c>
      <c r="I499" s="129" t="s">
        <v>209</v>
      </c>
      <c r="J499" s="129" t="s">
        <v>3194</v>
      </c>
      <c r="K499" s="129" t="s">
        <v>3193</v>
      </c>
      <c r="L499" s="130">
        <v>3</v>
      </c>
      <c r="M499" s="130">
        <v>1</v>
      </c>
      <c r="N499" s="129" t="s">
        <v>1544</v>
      </c>
      <c r="O499" s="130">
        <v>90</v>
      </c>
      <c r="P499" s="130">
        <v>38</v>
      </c>
      <c r="Q499" s="130">
        <v>23</v>
      </c>
      <c r="R499" s="129" t="s">
        <v>1623</v>
      </c>
      <c r="S499" s="129" t="s">
        <v>1624</v>
      </c>
      <c r="T499" s="130">
        <v>207</v>
      </c>
      <c r="U499" s="129" t="s">
        <v>1625</v>
      </c>
      <c r="V499" s="129" t="s">
        <v>1626</v>
      </c>
      <c r="W499" s="130">
        <v>1</v>
      </c>
      <c r="X499" s="130">
        <v>2</v>
      </c>
      <c r="Y499" s="129" t="s">
        <v>194</v>
      </c>
      <c r="Z499" s="129" t="s">
        <v>195</v>
      </c>
      <c r="AA499" s="129" t="s">
        <v>196</v>
      </c>
      <c r="AB499" s="129" t="s">
        <v>187</v>
      </c>
      <c r="AC499" s="129" t="s">
        <v>187</v>
      </c>
      <c r="AD499" s="131"/>
      <c r="AE499" s="129" t="s">
        <v>209</v>
      </c>
      <c r="AF499" s="130">
        <v>23.349070000000001</v>
      </c>
      <c r="AG499" s="132">
        <v>98.588800000000006</v>
      </c>
      <c r="AM499" s="133" t="str" cm="1">
        <f t="array" ref="AM499">IF(ROWS($AN$2:$AN498)&lt;=$AN$2,INDEX($V$3:$V$3000,_xlfn.AGGREGATE(15,3,($B$3:$B$3000=$AM$2)/($B$3:$B$3000=$AM$2)*(ROW($B$3:$B$3000)-ROW($B$2)),ROWS($AN$2:$AN498))),"")</f>
        <v/>
      </c>
      <c r="AN499" s="134" t="str" cm="1">
        <f t="array" ref="AN499">IF(ROWS($AN$2:$AN498)&lt;=$AN$2,INDEX($F$3:$F$3000,_xlfn.AGGREGATE(15,3,($B$3:$B$3000=$AM$2)/($B$3:$B$3000=$AM$2)*(ROW($B$3:$B$3000)-ROW($B$2)),ROWS($AN$2:$AN498))),"")</f>
        <v/>
      </c>
      <c r="AO499" s="135" t="str" cm="1">
        <f t="array" ref="AO499">IF(ROWS($AN$2:$AN498)&lt;=$AN$2,INDEX($G$3:$G$3000,_xlfn.AGGREGATE(15,3,($B$3:$B$3000=$AM$2)/($B$3:$B$3000=$AM$2)*(ROW($B$3:$B$3000)-ROW($B$2)),ROWS($AN$2:$AN498))),"")</f>
        <v/>
      </c>
      <c r="AP499" s="121"/>
      <c r="AT499" s="111"/>
      <c r="AW499" s="134"/>
      <c r="AX499" s="136"/>
      <c r="AY499" s="134"/>
    </row>
    <row r="500" spans="1:51" s="110" customFormat="1" ht="20" customHeight="1">
      <c r="A500" s="125" t="s">
        <v>1620</v>
      </c>
      <c r="B500" s="126" t="s">
        <v>61</v>
      </c>
      <c r="C500" s="127">
        <v>20597</v>
      </c>
      <c r="D500" s="128">
        <v>116890</v>
      </c>
      <c r="E500" s="129" t="s">
        <v>2886</v>
      </c>
      <c r="F500" s="129" t="s">
        <v>2886</v>
      </c>
      <c r="G500" s="130">
        <v>3000</v>
      </c>
      <c r="H500" s="130">
        <v>5</v>
      </c>
      <c r="I500" s="129" t="s">
        <v>209</v>
      </c>
      <c r="J500" s="129" t="s">
        <v>2887</v>
      </c>
      <c r="K500" s="129" t="s">
        <v>2888</v>
      </c>
      <c r="L500" s="130">
        <v>4</v>
      </c>
      <c r="M500" s="130">
        <v>1</v>
      </c>
      <c r="N500" s="129" t="s">
        <v>1544</v>
      </c>
      <c r="O500" s="130">
        <v>55</v>
      </c>
      <c r="P500" s="130">
        <v>40</v>
      </c>
      <c r="Q500" s="130">
        <v>23</v>
      </c>
      <c r="R500" s="129" t="s">
        <v>1623</v>
      </c>
      <c r="S500" s="129" t="s">
        <v>1624</v>
      </c>
      <c r="T500" s="130">
        <v>207</v>
      </c>
      <c r="U500" s="129" t="s">
        <v>1625</v>
      </c>
      <c r="V500" s="129" t="s">
        <v>1626</v>
      </c>
      <c r="W500" s="130">
        <v>1</v>
      </c>
      <c r="X500" s="130">
        <v>2</v>
      </c>
      <c r="Y500" s="129" t="s">
        <v>194</v>
      </c>
      <c r="Z500" s="129" t="s">
        <v>195</v>
      </c>
      <c r="AA500" s="129" t="s">
        <v>196</v>
      </c>
      <c r="AB500" s="129" t="s">
        <v>187</v>
      </c>
      <c r="AC500" s="129" t="s">
        <v>187</v>
      </c>
      <c r="AD500" s="131"/>
      <c r="AE500" s="129" t="s">
        <v>209</v>
      </c>
      <c r="AF500" s="130">
        <v>24.865212</v>
      </c>
      <c r="AG500" s="132">
        <v>94.924859999999995</v>
      </c>
      <c r="AM500" s="133" t="str" cm="1">
        <f t="array" ref="AM500">IF(ROWS($AN$2:$AN499)&lt;=$AN$2,INDEX($V$3:$V$3000,_xlfn.AGGREGATE(15,3,($B$3:$B$3000=$AM$2)/($B$3:$B$3000=$AM$2)*(ROW($B$3:$B$3000)-ROW($B$2)),ROWS($AN$2:$AN499))),"")</f>
        <v/>
      </c>
      <c r="AN500" s="134" t="str" cm="1">
        <f t="array" ref="AN500">IF(ROWS($AN$2:$AN499)&lt;=$AN$2,INDEX($F$3:$F$3000,_xlfn.AGGREGATE(15,3,($B$3:$B$3000=$AM$2)/($B$3:$B$3000=$AM$2)*(ROW($B$3:$B$3000)-ROW($B$2)),ROWS($AN$2:$AN499))),"")</f>
        <v/>
      </c>
      <c r="AO500" s="135" t="str" cm="1">
        <f t="array" ref="AO500">IF(ROWS($AN$2:$AN499)&lt;=$AN$2,INDEX($G$3:$G$3000,_xlfn.AGGREGATE(15,3,($B$3:$B$3000=$AM$2)/($B$3:$B$3000=$AM$2)*(ROW($B$3:$B$3000)-ROW($B$2)),ROWS($AN$2:$AN499))),"")</f>
        <v/>
      </c>
      <c r="AP500" s="121"/>
      <c r="AT500" s="111"/>
      <c r="AW500" s="134"/>
      <c r="AX500" s="136"/>
      <c r="AY500" s="134"/>
    </row>
    <row r="501" spans="1:51" s="110" customFormat="1" ht="20" customHeight="1">
      <c r="A501" s="125" t="s">
        <v>1620</v>
      </c>
      <c r="B501" s="126" t="s">
        <v>61</v>
      </c>
      <c r="C501" s="127">
        <v>18965</v>
      </c>
      <c r="D501" s="128">
        <v>115064</v>
      </c>
      <c r="E501" s="129" t="s">
        <v>2848</v>
      </c>
      <c r="F501" s="129" t="s">
        <v>2848</v>
      </c>
      <c r="G501" s="130">
        <v>2700</v>
      </c>
      <c r="H501" s="130">
        <v>5</v>
      </c>
      <c r="I501" s="129" t="s">
        <v>209</v>
      </c>
      <c r="J501" s="129" t="s">
        <v>2849</v>
      </c>
      <c r="K501" s="129" t="s">
        <v>2848</v>
      </c>
      <c r="L501" s="130">
        <v>4</v>
      </c>
      <c r="M501" s="130">
        <v>1</v>
      </c>
      <c r="N501" s="129" t="s">
        <v>1544</v>
      </c>
      <c r="O501" s="130">
        <v>90</v>
      </c>
      <c r="P501" s="130">
        <v>60</v>
      </c>
      <c r="Q501" s="130">
        <v>23</v>
      </c>
      <c r="R501" s="129" t="s">
        <v>1623</v>
      </c>
      <c r="S501" s="129" t="s">
        <v>1624</v>
      </c>
      <c r="T501" s="130">
        <v>207</v>
      </c>
      <c r="U501" s="129" t="s">
        <v>1625</v>
      </c>
      <c r="V501" s="129" t="s">
        <v>1626</v>
      </c>
      <c r="W501" s="130">
        <v>1</v>
      </c>
      <c r="X501" s="130">
        <v>2</v>
      </c>
      <c r="Y501" s="129" t="s">
        <v>194</v>
      </c>
      <c r="Z501" s="129" t="s">
        <v>195</v>
      </c>
      <c r="AA501" s="129" t="s">
        <v>196</v>
      </c>
      <c r="AB501" s="129" t="s">
        <v>187</v>
      </c>
      <c r="AC501" s="129" t="s">
        <v>187</v>
      </c>
      <c r="AD501" s="131"/>
      <c r="AE501" s="129" t="s">
        <v>209</v>
      </c>
      <c r="AF501" s="130">
        <v>22.971540000000001</v>
      </c>
      <c r="AG501" s="132">
        <v>93.692019999999999</v>
      </c>
      <c r="AM501" s="133" t="str" cm="1">
        <f t="array" ref="AM501">IF(ROWS($AN$2:$AN500)&lt;=$AN$2,INDEX($V$3:$V$3000,_xlfn.AGGREGATE(15,3,($B$3:$B$3000=$AM$2)/($B$3:$B$3000=$AM$2)*(ROW($B$3:$B$3000)-ROW($B$2)),ROWS($AN$2:$AN500))),"")</f>
        <v/>
      </c>
      <c r="AN501" s="134" t="str" cm="1">
        <f t="array" ref="AN501">IF(ROWS($AN$2:$AN500)&lt;=$AN$2,INDEX($F$3:$F$3000,_xlfn.AGGREGATE(15,3,($B$3:$B$3000=$AM$2)/($B$3:$B$3000=$AM$2)*(ROW($B$3:$B$3000)-ROW($B$2)),ROWS($AN$2:$AN500))),"")</f>
        <v/>
      </c>
      <c r="AO501" s="135" t="str" cm="1">
        <f t="array" ref="AO501">IF(ROWS($AN$2:$AN500)&lt;=$AN$2,INDEX($G$3:$G$3000,_xlfn.AGGREGATE(15,3,($B$3:$B$3000=$AM$2)/($B$3:$B$3000=$AM$2)*(ROW($B$3:$B$3000)-ROW($B$2)),ROWS($AN$2:$AN500))),"")</f>
        <v/>
      </c>
      <c r="AP501" s="121"/>
      <c r="AT501" s="111"/>
      <c r="AW501" s="134"/>
      <c r="AX501" s="136"/>
      <c r="AY501" s="134"/>
    </row>
    <row r="502" spans="1:51" s="110" customFormat="1" ht="20" customHeight="1">
      <c r="A502" s="125" t="s">
        <v>1620</v>
      </c>
      <c r="B502" s="126" t="s">
        <v>61</v>
      </c>
      <c r="C502" s="127">
        <v>20580</v>
      </c>
      <c r="D502" s="128">
        <v>116887</v>
      </c>
      <c r="E502" s="129" t="s">
        <v>2779</v>
      </c>
      <c r="F502" s="129" t="s">
        <v>2779</v>
      </c>
      <c r="G502" s="130">
        <v>2300</v>
      </c>
      <c r="H502" s="130">
        <v>5</v>
      </c>
      <c r="I502" s="129" t="s">
        <v>209</v>
      </c>
      <c r="J502" s="129" t="s">
        <v>2780</v>
      </c>
      <c r="K502" s="129" t="s">
        <v>2779</v>
      </c>
      <c r="L502" s="130">
        <v>2</v>
      </c>
      <c r="M502" s="130">
        <v>1</v>
      </c>
      <c r="N502" s="129" t="s">
        <v>1544</v>
      </c>
      <c r="O502" s="130">
        <v>70</v>
      </c>
      <c r="P502" s="130">
        <v>60</v>
      </c>
      <c r="Q502" s="130">
        <v>23</v>
      </c>
      <c r="R502" s="129" t="s">
        <v>1623</v>
      </c>
      <c r="S502" s="129" t="s">
        <v>1624</v>
      </c>
      <c r="T502" s="130">
        <v>207</v>
      </c>
      <c r="U502" s="129" t="s">
        <v>1625</v>
      </c>
      <c r="V502" s="129" t="s">
        <v>1626</v>
      </c>
      <c r="W502" s="130">
        <v>1</v>
      </c>
      <c r="X502" s="130">
        <v>2</v>
      </c>
      <c r="Y502" s="129" t="s">
        <v>194</v>
      </c>
      <c r="Z502" s="129" t="s">
        <v>195</v>
      </c>
      <c r="AA502" s="129" t="s">
        <v>196</v>
      </c>
      <c r="AB502" s="129" t="s">
        <v>187</v>
      </c>
      <c r="AC502" s="129" t="s">
        <v>187</v>
      </c>
      <c r="AD502" s="131"/>
      <c r="AE502" s="129" t="s">
        <v>209</v>
      </c>
      <c r="AF502" s="130">
        <v>25.441908999999999</v>
      </c>
      <c r="AG502" s="132">
        <v>94.946194000000006</v>
      </c>
      <c r="AM502" s="133" t="str" cm="1">
        <f t="array" ref="AM502">IF(ROWS($AN$2:$AN501)&lt;=$AN$2,INDEX($V$3:$V$3000,_xlfn.AGGREGATE(15,3,($B$3:$B$3000=$AM$2)/($B$3:$B$3000=$AM$2)*(ROW($B$3:$B$3000)-ROW($B$2)),ROWS($AN$2:$AN501))),"")</f>
        <v/>
      </c>
      <c r="AN502" s="134" t="str" cm="1">
        <f t="array" ref="AN502">IF(ROWS($AN$2:$AN501)&lt;=$AN$2,INDEX($F$3:$F$3000,_xlfn.AGGREGATE(15,3,($B$3:$B$3000=$AM$2)/($B$3:$B$3000=$AM$2)*(ROW($B$3:$B$3000)-ROW($B$2)),ROWS($AN$2:$AN501))),"")</f>
        <v/>
      </c>
      <c r="AO502" s="135" t="str" cm="1">
        <f t="array" ref="AO502">IF(ROWS($AN$2:$AN501)&lt;=$AN$2,INDEX($G$3:$G$3000,_xlfn.AGGREGATE(15,3,($B$3:$B$3000=$AM$2)/($B$3:$B$3000=$AM$2)*(ROW($B$3:$B$3000)-ROW($B$2)),ROWS($AN$2:$AN501))),"")</f>
        <v/>
      </c>
      <c r="AP502" s="121"/>
      <c r="AT502" s="111"/>
      <c r="AW502" s="134"/>
      <c r="AX502" s="136"/>
      <c r="AY502" s="134"/>
    </row>
    <row r="503" spans="1:51" s="110" customFormat="1" ht="20" customHeight="1">
      <c r="A503" s="125" t="s">
        <v>1620</v>
      </c>
      <c r="B503" s="126" t="s">
        <v>61</v>
      </c>
      <c r="C503" s="127">
        <v>12659</v>
      </c>
      <c r="D503" s="128">
        <v>104941</v>
      </c>
      <c r="E503" s="129" t="s">
        <v>2586</v>
      </c>
      <c r="F503" s="129" t="s">
        <v>2586</v>
      </c>
      <c r="G503" s="130">
        <v>1600</v>
      </c>
      <c r="H503" s="130">
        <v>5</v>
      </c>
      <c r="I503" s="129" t="s">
        <v>209</v>
      </c>
      <c r="J503" s="129" t="s">
        <v>2587</v>
      </c>
      <c r="K503" s="129" t="s">
        <v>2588</v>
      </c>
      <c r="L503" s="130">
        <v>2</v>
      </c>
      <c r="M503" s="130">
        <v>1</v>
      </c>
      <c r="N503" s="129" t="s">
        <v>1544</v>
      </c>
      <c r="O503" s="130">
        <v>65</v>
      </c>
      <c r="P503" s="130">
        <v>28</v>
      </c>
      <c r="Q503" s="130">
        <v>23</v>
      </c>
      <c r="R503" s="129" t="s">
        <v>1623</v>
      </c>
      <c r="S503" s="129" t="s">
        <v>1624</v>
      </c>
      <c r="T503" s="130">
        <v>207</v>
      </c>
      <c r="U503" s="129" t="s">
        <v>1625</v>
      </c>
      <c r="V503" s="129" t="s">
        <v>1626</v>
      </c>
      <c r="W503" s="130">
        <v>1</v>
      </c>
      <c r="X503" s="130">
        <v>2</v>
      </c>
      <c r="Y503" s="129" t="s">
        <v>194</v>
      </c>
      <c r="Z503" s="129" t="s">
        <v>195</v>
      </c>
      <c r="AA503" s="129" t="s">
        <v>196</v>
      </c>
      <c r="AB503" s="129" t="s">
        <v>187</v>
      </c>
      <c r="AC503" s="129" t="s">
        <v>187</v>
      </c>
      <c r="AD503" s="131"/>
      <c r="AE503" s="129" t="s">
        <v>209</v>
      </c>
      <c r="AF503" s="130">
        <v>26.21011</v>
      </c>
      <c r="AG503" s="132">
        <v>95.250680000000003</v>
      </c>
      <c r="AM503" s="133" t="str" cm="1">
        <f t="array" ref="AM503">IF(ROWS($AN$2:$AN502)&lt;=$AN$2,INDEX($V$3:$V$3000,_xlfn.AGGREGATE(15,3,($B$3:$B$3000=$AM$2)/($B$3:$B$3000=$AM$2)*(ROW($B$3:$B$3000)-ROW($B$2)),ROWS($AN$2:$AN502))),"")</f>
        <v/>
      </c>
      <c r="AN503" s="134" t="str" cm="1">
        <f t="array" ref="AN503">IF(ROWS($AN$2:$AN502)&lt;=$AN$2,INDEX($F$3:$F$3000,_xlfn.AGGREGATE(15,3,($B$3:$B$3000=$AM$2)/($B$3:$B$3000=$AM$2)*(ROW($B$3:$B$3000)-ROW($B$2)),ROWS($AN$2:$AN502))),"")</f>
        <v/>
      </c>
      <c r="AO503" s="135" t="str" cm="1">
        <f t="array" ref="AO503">IF(ROWS($AN$2:$AN502)&lt;=$AN$2,INDEX($G$3:$G$3000,_xlfn.AGGREGATE(15,3,($B$3:$B$3000=$AM$2)/($B$3:$B$3000=$AM$2)*(ROW($B$3:$B$3000)-ROW($B$2)),ROWS($AN$2:$AN502))),"")</f>
        <v/>
      </c>
      <c r="AP503" s="121"/>
      <c r="AT503" s="111"/>
      <c r="AW503" s="134"/>
      <c r="AX503" s="136"/>
      <c r="AY503" s="134"/>
    </row>
    <row r="504" spans="1:51" s="110" customFormat="1" ht="20" customHeight="1">
      <c r="A504" s="125" t="s">
        <v>1620</v>
      </c>
      <c r="B504" s="126" t="s">
        <v>61</v>
      </c>
      <c r="C504" s="127">
        <v>20563</v>
      </c>
      <c r="D504" s="128">
        <v>116853</v>
      </c>
      <c r="E504" s="129" t="s">
        <v>2434</v>
      </c>
      <c r="F504" s="129" t="s">
        <v>2434</v>
      </c>
      <c r="G504" s="130">
        <v>1200</v>
      </c>
      <c r="H504" s="130">
        <v>5</v>
      </c>
      <c r="I504" s="129" t="s">
        <v>209</v>
      </c>
      <c r="J504" s="129" t="s">
        <v>2435</v>
      </c>
      <c r="K504" s="129" t="s">
        <v>2434</v>
      </c>
      <c r="L504" s="130">
        <v>1</v>
      </c>
      <c r="M504" s="130">
        <v>1</v>
      </c>
      <c r="N504" s="129" t="s">
        <v>1544</v>
      </c>
      <c r="O504" s="130">
        <v>80</v>
      </c>
      <c r="P504" s="130">
        <v>50</v>
      </c>
      <c r="Q504" s="130">
        <v>23</v>
      </c>
      <c r="R504" s="129" t="s">
        <v>1623</v>
      </c>
      <c r="S504" s="129" t="s">
        <v>1624</v>
      </c>
      <c r="T504" s="130">
        <v>207</v>
      </c>
      <c r="U504" s="129" t="s">
        <v>1625</v>
      </c>
      <c r="V504" s="129" t="s">
        <v>1626</v>
      </c>
      <c r="W504" s="130">
        <v>1</v>
      </c>
      <c r="X504" s="130">
        <v>2</v>
      </c>
      <c r="Y504" s="129" t="s">
        <v>194</v>
      </c>
      <c r="Z504" s="129" t="s">
        <v>195</v>
      </c>
      <c r="AA504" s="129" t="s">
        <v>196</v>
      </c>
      <c r="AB504" s="129" t="s">
        <v>187</v>
      </c>
      <c r="AC504" s="129" t="s">
        <v>187</v>
      </c>
      <c r="AD504" s="131"/>
      <c r="AE504" s="129" t="s">
        <v>209</v>
      </c>
      <c r="AF504" s="130">
        <v>21.609974999999999</v>
      </c>
      <c r="AG504" s="132">
        <v>93.440832999999998</v>
      </c>
      <c r="AM504" s="133" t="str" cm="1">
        <f t="array" ref="AM504">IF(ROWS($AN$2:$AN503)&lt;=$AN$2,INDEX($V$3:$V$3000,_xlfn.AGGREGATE(15,3,($B$3:$B$3000=$AM$2)/($B$3:$B$3000=$AM$2)*(ROW($B$3:$B$3000)-ROW($B$2)),ROWS($AN$2:$AN503))),"")</f>
        <v/>
      </c>
      <c r="AN504" s="134" t="str" cm="1">
        <f t="array" ref="AN504">IF(ROWS($AN$2:$AN503)&lt;=$AN$2,INDEX($F$3:$F$3000,_xlfn.AGGREGATE(15,3,($B$3:$B$3000=$AM$2)/($B$3:$B$3000=$AM$2)*(ROW($B$3:$B$3000)-ROW($B$2)),ROWS($AN$2:$AN503))),"")</f>
        <v/>
      </c>
      <c r="AO504" s="135" t="str" cm="1">
        <f t="array" ref="AO504">IF(ROWS($AN$2:$AN503)&lt;=$AN$2,INDEX($G$3:$G$3000,_xlfn.AGGREGATE(15,3,($B$3:$B$3000=$AM$2)/($B$3:$B$3000=$AM$2)*(ROW($B$3:$B$3000)-ROW($B$2)),ROWS($AN$2:$AN503))),"")</f>
        <v/>
      </c>
      <c r="AP504" s="121"/>
      <c r="AT504" s="111"/>
      <c r="AW504" s="134"/>
      <c r="AX504" s="136"/>
      <c r="AY504" s="134"/>
    </row>
    <row r="505" spans="1:51" s="110" customFormat="1" ht="20" customHeight="1">
      <c r="A505" s="125" t="s">
        <v>1620</v>
      </c>
      <c r="B505" s="126" t="s">
        <v>61</v>
      </c>
      <c r="C505" s="127">
        <v>20576</v>
      </c>
      <c r="D505" s="128">
        <v>116886</v>
      </c>
      <c r="E505" s="129" t="s">
        <v>2436</v>
      </c>
      <c r="F505" s="129" t="s">
        <v>2436</v>
      </c>
      <c r="G505" s="130">
        <v>1200</v>
      </c>
      <c r="H505" s="130">
        <v>5</v>
      </c>
      <c r="I505" s="129" t="s">
        <v>209</v>
      </c>
      <c r="J505" s="129" t="s">
        <v>2437</v>
      </c>
      <c r="K505" s="129" t="s">
        <v>2438</v>
      </c>
      <c r="L505" s="130">
        <v>1</v>
      </c>
      <c r="M505" s="130">
        <v>1</v>
      </c>
      <c r="N505" s="129" t="s">
        <v>1544</v>
      </c>
      <c r="O505" s="130">
        <v>95</v>
      </c>
      <c r="P505" s="130">
        <v>55</v>
      </c>
      <c r="Q505" s="130">
        <v>23</v>
      </c>
      <c r="R505" s="129" t="s">
        <v>1623</v>
      </c>
      <c r="S505" s="129" t="s">
        <v>1624</v>
      </c>
      <c r="T505" s="130">
        <v>207</v>
      </c>
      <c r="U505" s="129" t="s">
        <v>1625</v>
      </c>
      <c r="V505" s="129" t="s">
        <v>1626</v>
      </c>
      <c r="W505" s="130">
        <v>1</v>
      </c>
      <c r="X505" s="130">
        <v>2</v>
      </c>
      <c r="Y505" s="129" t="s">
        <v>194</v>
      </c>
      <c r="Z505" s="129" t="s">
        <v>195</v>
      </c>
      <c r="AA505" s="129" t="s">
        <v>196</v>
      </c>
      <c r="AB505" s="129" t="s">
        <v>187</v>
      </c>
      <c r="AC505" s="129" t="s">
        <v>187</v>
      </c>
      <c r="AD505" s="131"/>
      <c r="AE505" s="129" t="s">
        <v>209</v>
      </c>
      <c r="AF505" s="130">
        <v>25.447202999999998</v>
      </c>
      <c r="AG505" s="132">
        <v>94.956988999999993</v>
      </c>
      <c r="AM505" s="133" t="str" cm="1">
        <f t="array" ref="AM505">IF(ROWS($AN$2:$AN504)&lt;=$AN$2,INDEX($V$3:$V$3000,_xlfn.AGGREGATE(15,3,($B$3:$B$3000=$AM$2)/($B$3:$B$3000=$AM$2)*(ROW($B$3:$B$3000)-ROW($B$2)),ROWS($AN$2:$AN504))),"")</f>
        <v/>
      </c>
      <c r="AN505" s="134" t="str" cm="1">
        <f t="array" ref="AN505">IF(ROWS($AN$2:$AN504)&lt;=$AN$2,INDEX($F$3:$F$3000,_xlfn.AGGREGATE(15,3,($B$3:$B$3000=$AM$2)/($B$3:$B$3000=$AM$2)*(ROW($B$3:$B$3000)-ROW($B$2)),ROWS($AN$2:$AN504))),"")</f>
        <v/>
      </c>
      <c r="AO505" s="135" t="str" cm="1">
        <f t="array" ref="AO505">IF(ROWS($AN$2:$AN504)&lt;=$AN$2,INDEX($G$3:$G$3000,_xlfn.AGGREGATE(15,3,($B$3:$B$3000=$AM$2)/($B$3:$B$3000=$AM$2)*(ROW($B$3:$B$3000)-ROW($B$2)),ROWS($AN$2:$AN504))),"")</f>
        <v/>
      </c>
      <c r="AP505" s="121"/>
      <c r="AT505" s="111"/>
      <c r="AW505" s="134"/>
      <c r="AX505" s="136"/>
      <c r="AY505" s="134"/>
    </row>
    <row r="506" spans="1:51" s="110" customFormat="1" ht="20" customHeight="1">
      <c r="A506" s="125" t="s">
        <v>1620</v>
      </c>
      <c r="B506" s="126" t="s">
        <v>61</v>
      </c>
      <c r="C506" s="127">
        <v>20557</v>
      </c>
      <c r="D506" s="128">
        <v>116848</v>
      </c>
      <c r="E506" s="129" t="s">
        <v>2372</v>
      </c>
      <c r="F506" s="129" t="s">
        <v>2372</v>
      </c>
      <c r="G506" s="130">
        <v>1100</v>
      </c>
      <c r="H506" s="130">
        <v>5</v>
      </c>
      <c r="I506" s="129" t="s">
        <v>209</v>
      </c>
      <c r="J506" s="129" t="s">
        <v>2373</v>
      </c>
      <c r="K506" s="129" t="s">
        <v>2372</v>
      </c>
      <c r="L506" s="130">
        <v>4</v>
      </c>
      <c r="M506" s="130">
        <v>1</v>
      </c>
      <c r="N506" s="129" t="s">
        <v>1544</v>
      </c>
      <c r="O506" s="130">
        <v>95</v>
      </c>
      <c r="P506" s="130">
        <v>90</v>
      </c>
      <c r="Q506" s="130">
        <v>23</v>
      </c>
      <c r="R506" s="129" t="s">
        <v>1623</v>
      </c>
      <c r="S506" s="129" t="s">
        <v>1624</v>
      </c>
      <c r="T506" s="130">
        <v>207</v>
      </c>
      <c r="U506" s="129" t="s">
        <v>1625</v>
      </c>
      <c r="V506" s="129" t="s">
        <v>1626</v>
      </c>
      <c r="W506" s="130">
        <v>1</v>
      </c>
      <c r="X506" s="130">
        <v>2</v>
      </c>
      <c r="Y506" s="129" t="s">
        <v>194</v>
      </c>
      <c r="Z506" s="129" t="s">
        <v>195</v>
      </c>
      <c r="AA506" s="129" t="s">
        <v>196</v>
      </c>
      <c r="AB506" s="129" t="s">
        <v>187</v>
      </c>
      <c r="AC506" s="129" t="s">
        <v>187</v>
      </c>
      <c r="AD506" s="131"/>
      <c r="AE506" s="129" t="s">
        <v>209</v>
      </c>
      <c r="AF506" s="130">
        <v>21.372302000000001</v>
      </c>
      <c r="AG506" s="132">
        <v>93.975295000000003</v>
      </c>
      <c r="AM506" s="133" t="str" cm="1">
        <f t="array" ref="AM506">IF(ROWS($AN$2:$AN505)&lt;=$AN$2,INDEX($V$3:$V$3000,_xlfn.AGGREGATE(15,3,($B$3:$B$3000=$AM$2)/($B$3:$B$3000=$AM$2)*(ROW($B$3:$B$3000)-ROW($B$2)),ROWS($AN$2:$AN505))),"")</f>
        <v/>
      </c>
      <c r="AN506" s="134" t="str" cm="1">
        <f t="array" ref="AN506">IF(ROWS($AN$2:$AN505)&lt;=$AN$2,INDEX($F$3:$F$3000,_xlfn.AGGREGATE(15,3,($B$3:$B$3000=$AM$2)/($B$3:$B$3000=$AM$2)*(ROW($B$3:$B$3000)-ROW($B$2)),ROWS($AN$2:$AN505))),"")</f>
        <v/>
      </c>
      <c r="AO506" s="135" t="str" cm="1">
        <f t="array" ref="AO506">IF(ROWS($AN$2:$AN505)&lt;=$AN$2,INDEX($G$3:$G$3000,_xlfn.AGGREGATE(15,3,($B$3:$B$3000=$AM$2)/($B$3:$B$3000=$AM$2)*(ROW($B$3:$B$3000)-ROW($B$2)),ROWS($AN$2:$AN505))),"")</f>
        <v/>
      </c>
      <c r="AP506" s="121"/>
      <c r="AT506" s="111"/>
      <c r="AW506" s="134"/>
      <c r="AX506" s="136"/>
      <c r="AY506" s="134"/>
    </row>
    <row r="507" spans="1:51" s="110" customFormat="1" ht="20" customHeight="1">
      <c r="A507" s="125" t="s">
        <v>1620</v>
      </c>
      <c r="B507" s="126" t="s">
        <v>61</v>
      </c>
      <c r="C507" s="127">
        <v>20573</v>
      </c>
      <c r="D507" s="128">
        <v>116889</v>
      </c>
      <c r="E507" s="129" t="s">
        <v>2374</v>
      </c>
      <c r="F507" s="129" t="s">
        <v>2374</v>
      </c>
      <c r="G507" s="130">
        <v>1100</v>
      </c>
      <c r="H507" s="130">
        <v>5</v>
      </c>
      <c r="I507" s="129" t="s">
        <v>209</v>
      </c>
      <c r="J507" s="129" t="s">
        <v>2375</v>
      </c>
      <c r="K507" s="129" t="s">
        <v>2376</v>
      </c>
      <c r="L507" s="130">
        <v>1</v>
      </c>
      <c r="M507" s="130">
        <v>1</v>
      </c>
      <c r="N507" s="129" t="s">
        <v>1544</v>
      </c>
      <c r="O507" s="130">
        <v>90</v>
      </c>
      <c r="P507" s="130">
        <v>45</v>
      </c>
      <c r="Q507" s="130">
        <v>23</v>
      </c>
      <c r="R507" s="129" t="s">
        <v>1623</v>
      </c>
      <c r="S507" s="129" t="s">
        <v>1624</v>
      </c>
      <c r="T507" s="130">
        <v>207</v>
      </c>
      <c r="U507" s="129" t="s">
        <v>1625</v>
      </c>
      <c r="V507" s="129" t="s">
        <v>1626</v>
      </c>
      <c r="W507" s="130">
        <v>1</v>
      </c>
      <c r="X507" s="130">
        <v>2</v>
      </c>
      <c r="Y507" s="129" t="s">
        <v>194</v>
      </c>
      <c r="Z507" s="129" t="s">
        <v>195</v>
      </c>
      <c r="AA507" s="129" t="s">
        <v>196</v>
      </c>
      <c r="AB507" s="129" t="s">
        <v>187</v>
      </c>
      <c r="AC507" s="129" t="s">
        <v>187</v>
      </c>
      <c r="AD507" s="131"/>
      <c r="AE507" s="129" t="s">
        <v>209</v>
      </c>
      <c r="AF507" s="130">
        <v>26.321421999999998</v>
      </c>
      <c r="AG507" s="132">
        <v>95.443254999999994</v>
      </c>
      <c r="AM507" s="133" t="str" cm="1">
        <f t="array" ref="AM507">IF(ROWS($AN$2:$AN506)&lt;=$AN$2,INDEX($V$3:$V$3000,_xlfn.AGGREGATE(15,3,($B$3:$B$3000=$AM$2)/($B$3:$B$3000=$AM$2)*(ROW($B$3:$B$3000)-ROW($B$2)),ROWS($AN$2:$AN506))),"")</f>
        <v/>
      </c>
      <c r="AN507" s="134" t="str" cm="1">
        <f t="array" ref="AN507">IF(ROWS($AN$2:$AN506)&lt;=$AN$2,INDEX($F$3:$F$3000,_xlfn.AGGREGATE(15,3,($B$3:$B$3000=$AM$2)/($B$3:$B$3000=$AM$2)*(ROW($B$3:$B$3000)-ROW($B$2)),ROWS($AN$2:$AN506))),"")</f>
        <v/>
      </c>
      <c r="AO507" s="135" t="str" cm="1">
        <f t="array" ref="AO507">IF(ROWS($AN$2:$AN506)&lt;=$AN$2,INDEX($G$3:$G$3000,_xlfn.AGGREGATE(15,3,($B$3:$B$3000=$AM$2)/($B$3:$B$3000=$AM$2)*(ROW($B$3:$B$3000)-ROW($B$2)),ROWS($AN$2:$AN506))),"")</f>
        <v/>
      </c>
      <c r="AP507" s="121"/>
      <c r="AT507" s="111"/>
      <c r="AW507" s="134"/>
      <c r="AX507" s="136"/>
      <c r="AY507" s="134"/>
    </row>
    <row r="508" spans="1:51" s="110" customFormat="1" ht="20" customHeight="1">
      <c r="A508" s="125" t="s">
        <v>1620</v>
      </c>
      <c r="B508" s="126" t="s">
        <v>61</v>
      </c>
      <c r="C508" s="127">
        <v>15305</v>
      </c>
      <c r="D508" s="128">
        <v>109904</v>
      </c>
      <c r="E508" s="129" t="s">
        <v>2334</v>
      </c>
      <c r="F508" s="129" t="s">
        <v>2334</v>
      </c>
      <c r="G508" s="130">
        <v>1000</v>
      </c>
      <c r="H508" s="130">
        <v>5</v>
      </c>
      <c r="I508" s="129" t="s">
        <v>209</v>
      </c>
      <c r="J508" s="129" t="s">
        <v>2335</v>
      </c>
      <c r="K508" s="129" t="s">
        <v>2334</v>
      </c>
      <c r="L508" s="130">
        <v>0</v>
      </c>
      <c r="M508" s="130">
        <v>1</v>
      </c>
      <c r="N508" s="129" t="s">
        <v>1544</v>
      </c>
      <c r="O508" s="130">
        <v>90</v>
      </c>
      <c r="P508" s="130">
        <v>80</v>
      </c>
      <c r="Q508" s="130">
        <v>23</v>
      </c>
      <c r="R508" s="129" t="s">
        <v>1623</v>
      </c>
      <c r="S508" s="129" t="s">
        <v>1624</v>
      </c>
      <c r="T508" s="130">
        <v>207</v>
      </c>
      <c r="U508" s="129" t="s">
        <v>1625</v>
      </c>
      <c r="V508" s="129" t="s">
        <v>1626</v>
      </c>
      <c r="W508" s="130">
        <v>1</v>
      </c>
      <c r="X508" s="130">
        <v>2</v>
      </c>
      <c r="Y508" s="129" t="s">
        <v>194</v>
      </c>
      <c r="Z508" s="129" t="s">
        <v>195</v>
      </c>
      <c r="AA508" s="129" t="s">
        <v>196</v>
      </c>
      <c r="AB508" s="129" t="s">
        <v>187</v>
      </c>
      <c r="AC508" s="129" t="s">
        <v>187</v>
      </c>
      <c r="AD508" s="131"/>
      <c r="AE508" s="129" t="s">
        <v>209</v>
      </c>
      <c r="AF508" s="130">
        <v>22.499639999686199</v>
      </c>
      <c r="AG508" s="132">
        <v>94.095719999578293</v>
      </c>
      <c r="AM508" s="133" t="str" cm="1">
        <f t="array" ref="AM508">IF(ROWS($AN$2:$AN507)&lt;=$AN$2,INDEX($V$3:$V$3000,_xlfn.AGGREGATE(15,3,($B$3:$B$3000=$AM$2)/($B$3:$B$3000=$AM$2)*(ROW($B$3:$B$3000)-ROW($B$2)),ROWS($AN$2:$AN507))),"")</f>
        <v/>
      </c>
      <c r="AN508" s="134" t="str" cm="1">
        <f t="array" ref="AN508">IF(ROWS($AN$2:$AN507)&lt;=$AN$2,INDEX($F$3:$F$3000,_xlfn.AGGREGATE(15,3,($B$3:$B$3000=$AM$2)/($B$3:$B$3000=$AM$2)*(ROW($B$3:$B$3000)-ROW($B$2)),ROWS($AN$2:$AN507))),"")</f>
        <v/>
      </c>
      <c r="AO508" s="135" t="str" cm="1">
        <f t="array" ref="AO508">IF(ROWS($AN$2:$AN507)&lt;=$AN$2,INDEX($G$3:$G$3000,_xlfn.AGGREGATE(15,3,($B$3:$B$3000=$AM$2)/($B$3:$B$3000=$AM$2)*(ROW($B$3:$B$3000)-ROW($B$2)),ROWS($AN$2:$AN507))),"")</f>
        <v/>
      </c>
      <c r="AP508" s="121"/>
      <c r="AT508" s="111"/>
      <c r="AW508" s="134"/>
      <c r="AX508" s="136"/>
      <c r="AY508" s="134"/>
    </row>
    <row r="509" spans="1:51" s="110" customFormat="1" ht="20" customHeight="1">
      <c r="A509" s="125" t="s">
        <v>1620</v>
      </c>
      <c r="B509" s="126" t="s">
        <v>61</v>
      </c>
      <c r="C509" s="127">
        <v>10741</v>
      </c>
      <c r="D509" s="128">
        <v>101163</v>
      </c>
      <c r="E509" s="129" t="s">
        <v>2126</v>
      </c>
      <c r="F509" s="129" t="s">
        <v>2126</v>
      </c>
      <c r="G509" s="130">
        <v>700</v>
      </c>
      <c r="H509" s="130">
        <v>5</v>
      </c>
      <c r="I509" s="129" t="s">
        <v>209</v>
      </c>
      <c r="J509" s="129" t="s">
        <v>2127</v>
      </c>
      <c r="K509" s="129" t="s">
        <v>2126</v>
      </c>
      <c r="L509" s="130">
        <v>5</v>
      </c>
      <c r="M509" s="130">
        <v>1</v>
      </c>
      <c r="N509" s="129" t="s">
        <v>1544</v>
      </c>
      <c r="O509" s="130">
        <v>100</v>
      </c>
      <c r="P509" s="130">
        <v>40</v>
      </c>
      <c r="Q509" s="130">
        <v>23</v>
      </c>
      <c r="R509" s="129" t="s">
        <v>1623</v>
      </c>
      <c r="S509" s="129" t="s">
        <v>1624</v>
      </c>
      <c r="T509" s="130">
        <v>207</v>
      </c>
      <c r="U509" s="129" t="s">
        <v>1625</v>
      </c>
      <c r="V509" s="129" t="s">
        <v>1626</v>
      </c>
      <c r="W509" s="130">
        <v>1</v>
      </c>
      <c r="X509" s="130">
        <v>2</v>
      </c>
      <c r="Y509" s="129" t="s">
        <v>194</v>
      </c>
      <c r="Z509" s="129" t="s">
        <v>195</v>
      </c>
      <c r="AA509" s="129" t="s">
        <v>196</v>
      </c>
      <c r="AB509" s="129" t="s">
        <v>187</v>
      </c>
      <c r="AC509" s="129" t="s">
        <v>187</v>
      </c>
      <c r="AD509" s="131"/>
      <c r="AE509" s="129" t="s">
        <v>209</v>
      </c>
      <c r="AF509" s="130">
        <v>22.08672</v>
      </c>
      <c r="AG509" s="132">
        <v>93.368039999999993</v>
      </c>
      <c r="AM509" s="133" t="str" cm="1">
        <f t="array" ref="AM509">IF(ROWS($AN$2:$AN508)&lt;=$AN$2,INDEX($V$3:$V$3000,_xlfn.AGGREGATE(15,3,($B$3:$B$3000=$AM$2)/($B$3:$B$3000=$AM$2)*(ROW($B$3:$B$3000)-ROW($B$2)),ROWS($AN$2:$AN508))),"")</f>
        <v/>
      </c>
      <c r="AN509" s="134" t="str" cm="1">
        <f t="array" ref="AN509">IF(ROWS($AN$2:$AN508)&lt;=$AN$2,INDEX($F$3:$F$3000,_xlfn.AGGREGATE(15,3,($B$3:$B$3000=$AM$2)/($B$3:$B$3000=$AM$2)*(ROW($B$3:$B$3000)-ROW($B$2)),ROWS($AN$2:$AN508))),"")</f>
        <v/>
      </c>
      <c r="AO509" s="135" t="str" cm="1">
        <f t="array" ref="AO509">IF(ROWS($AN$2:$AN508)&lt;=$AN$2,INDEX($G$3:$G$3000,_xlfn.AGGREGATE(15,3,($B$3:$B$3000=$AM$2)/($B$3:$B$3000=$AM$2)*(ROW($B$3:$B$3000)-ROW($B$2)),ROWS($AN$2:$AN508))),"")</f>
        <v/>
      </c>
      <c r="AP509" s="121"/>
      <c r="AT509" s="111"/>
      <c r="AW509" s="134"/>
      <c r="AX509" s="136"/>
      <c r="AY509" s="134"/>
    </row>
    <row r="510" spans="1:51" s="110" customFormat="1" ht="20" customHeight="1">
      <c r="A510" s="125" t="s">
        <v>1620</v>
      </c>
      <c r="B510" s="126" t="s">
        <v>61</v>
      </c>
      <c r="C510" s="127">
        <v>14260</v>
      </c>
      <c r="D510" s="128">
        <v>107760</v>
      </c>
      <c r="E510" s="129" t="s">
        <v>1969</v>
      </c>
      <c r="F510" s="129" t="s">
        <v>1969</v>
      </c>
      <c r="G510" s="130">
        <v>500</v>
      </c>
      <c r="H510" s="130">
        <v>5</v>
      </c>
      <c r="I510" s="129" t="s">
        <v>209</v>
      </c>
      <c r="J510" s="129" t="s">
        <v>1970</v>
      </c>
      <c r="K510" s="129" t="s">
        <v>1969</v>
      </c>
      <c r="L510" s="130">
        <v>5</v>
      </c>
      <c r="M510" s="130">
        <v>1</v>
      </c>
      <c r="N510" s="129" t="s">
        <v>1544</v>
      </c>
      <c r="O510" s="130">
        <v>86</v>
      </c>
      <c r="P510" s="130">
        <v>50</v>
      </c>
      <c r="Q510" s="130">
        <v>23</v>
      </c>
      <c r="R510" s="129" t="s">
        <v>1623</v>
      </c>
      <c r="S510" s="129" t="s">
        <v>1624</v>
      </c>
      <c r="T510" s="130">
        <v>207</v>
      </c>
      <c r="U510" s="129" t="s">
        <v>1625</v>
      </c>
      <c r="V510" s="129" t="s">
        <v>1626</v>
      </c>
      <c r="W510" s="130">
        <v>1</v>
      </c>
      <c r="X510" s="130">
        <v>2</v>
      </c>
      <c r="Y510" s="129" t="s">
        <v>194</v>
      </c>
      <c r="Z510" s="129" t="s">
        <v>195</v>
      </c>
      <c r="AA510" s="129" t="s">
        <v>196</v>
      </c>
      <c r="AB510" s="129" t="s">
        <v>187</v>
      </c>
      <c r="AC510" s="129" t="s">
        <v>187</v>
      </c>
      <c r="AD510" s="131"/>
      <c r="AE510" s="129" t="s">
        <v>209</v>
      </c>
      <c r="AF510" s="130">
        <v>23.849519999999998</v>
      </c>
      <c r="AG510" s="132">
        <v>93.904269999999997</v>
      </c>
      <c r="AM510" s="133" t="str" cm="1">
        <f t="array" ref="AM510">IF(ROWS($AN$2:$AN509)&lt;=$AN$2,INDEX($V$3:$V$3000,_xlfn.AGGREGATE(15,3,($B$3:$B$3000=$AM$2)/($B$3:$B$3000=$AM$2)*(ROW($B$3:$B$3000)-ROW($B$2)),ROWS($AN$2:$AN509))),"")</f>
        <v/>
      </c>
      <c r="AN510" s="134" t="str" cm="1">
        <f t="array" ref="AN510">IF(ROWS($AN$2:$AN509)&lt;=$AN$2,INDEX($F$3:$F$3000,_xlfn.AGGREGATE(15,3,($B$3:$B$3000=$AM$2)/($B$3:$B$3000=$AM$2)*(ROW($B$3:$B$3000)-ROW($B$2)),ROWS($AN$2:$AN509))),"")</f>
        <v/>
      </c>
      <c r="AO510" s="135" t="str" cm="1">
        <f t="array" ref="AO510">IF(ROWS($AN$2:$AN509)&lt;=$AN$2,INDEX($G$3:$G$3000,_xlfn.AGGREGATE(15,3,($B$3:$B$3000=$AM$2)/($B$3:$B$3000=$AM$2)*(ROW($B$3:$B$3000)-ROW($B$2)),ROWS($AN$2:$AN509))),"")</f>
        <v/>
      </c>
      <c r="AP510" s="121"/>
      <c r="AT510" s="111"/>
      <c r="AW510" s="134"/>
      <c r="AX510" s="136"/>
      <c r="AY510" s="134"/>
    </row>
    <row r="511" spans="1:51" s="110" customFormat="1" ht="20" customHeight="1">
      <c r="A511" s="125" t="s">
        <v>1620</v>
      </c>
      <c r="B511" s="126" t="s">
        <v>61</v>
      </c>
      <c r="C511" s="127">
        <v>19810</v>
      </c>
      <c r="D511" s="128">
        <v>115359</v>
      </c>
      <c r="E511" s="129" t="s">
        <v>1621</v>
      </c>
      <c r="F511" s="129" t="s">
        <v>1621</v>
      </c>
      <c r="G511" s="130">
        <v>100</v>
      </c>
      <c r="H511" s="130">
        <v>5</v>
      </c>
      <c r="I511" s="129" t="s">
        <v>209</v>
      </c>
      <c r="J511" s="129" t="s">
        <v>1622</v>
      </c>
      <c r="K511" s="129" t="s">
        <v>1621</v>
      </c>
      <c r="L511" s="130">
        <v>4</v>
      </c>
      <c r="M511" s="130">
        <v>1</v>
      </c>
      <c r="N511" s="129" t="s">
        <v>1544</v>
      </c>
      <c r="O511" s="130">
        <v>80</v>
      </c>
      <c r="P511" s="130">
        <v>25</v>
      </c>
      <c r="Q511" s="130">
        <v>23</v>
      </c>
      <c r="R511" s="129" t="s">
        <v>1623</v>
      </c>
      <c r="S511" s="129" t="s">
        <v>1624</v>
      </c>
      <c r="T511" s="130">
        <v>207</v>
      </c>
      <c r="U511" s="129" t="s">
        <v>1625</v>
      </c>
      <c r="V511" s="129" t="s">
        <v>1626</v>
      </c>
      <c r="W511" s="130">
        <v>1</v>
      </c>
      <c r="X511" s="130">
        <v>2</v>
      </c>
      <c r="Y511" s="129" t="s">
        <v>194</v>
      </c>
      <c r="Z511" s="129" t="s">
        <v>195</v>
      </c>
      <c r="AA511" s="129" t="s">
        <v>196</v>
      </c>
      <c r="AB511" s="129" t="s">
        <v>187</v>
      </c>
      <c r="AC511" s="129" t="s">
        <v>209</v>
      </c>
      <c r="AD511" s="131"/>
      <c r="AE511" s="129" t="s">
        <v>209</v>
      </c>
      <c r="AF511" s="130">
        <v>19.761710000000001</v>
      </c>
      <c r="AG511" s="132">
        <v>96.097894999999994</v>
      </c>
      <c r="AM511" s="133" t="str" cm="1">
        <f t="array" ref="AM511">IF(ROWS($AN$2:$AN510)&lt;=$AN$2,INDEX($V$3:$V$3000,_xlfn.AGGREGATE(15,3,($B$3:$B$3000=$AM$2)/($B$3:$B$3000=$AM$2)*(ROW($B$3:$B$3000)-ROW($B$2)),ROWS($AN$2:$AN510))),"")</f>
        <v/>
      </c>
      <c r="AN511" s="134" t="str" cm="1">
        <f t="array" ref="AN511">IF(ROWS($AN$2:$AN510)&lt;=$AN$2,INDEX($F$3:$F$3000,_xlfn.AGGREGATE(15,3,($B$3:$B$3000=$AM$2)/($B$3:$B$3000=$AM$2)*(ROW($B$3:$B$3000)-ROW($B$2)),ROWS($AN$2:$AN510))),"")</f>
        <v/>
      </c>
      <c r="AO511" s="135" t="str" cm="1">
        <f t="array" ref="AO511">IF(ROWS($AN$2:$AN510)&lt;=$AN$2,INDEX($G$3:$G$3000,_xlfn.AGGREGATE(15,3,($B$3:$B$3000=$AM$2)/($B$3:$B$3000=$AM$2)*(ROW($B$3:$B$3000)-ROW($B$2)),ROWS($AN$2:$AN510))),"")</f>
        <v/>
      </c>
      <c r="AP511" s="121"/>
      <c r="AT511" s="111"/>
      <c r="AW511" s="134"/>
      <c r="AX511" s="136"/>
      <c r="AY511" s="134"/>
    </row>
    <row r="512" spans="1:51" s="110" customFormat="1" ht="20" customHeight="1">
      <c r="A512" s="125" t="s">
        <v>1620</v>
      </c>
      <c r="B512" s="126" t="s">
        <v>61</v>
      </c>
      <c r="C512" s="127">
        <v>13076</v>
      </c>
      <c r="D512" s="128">
        <v>105802</v>
      </c>
      <c r="E512" s="129" t="s">
        <v>3198</v>
      </c>
      <c r="F512" s="129" t="s">
        <v>3198</v>
      </c>
      <c r="G512" s="130">
        <v>340000</v>
      </c>
      <c r="H512" s="130">
        <v>5</v>
      </c>
      <c r="I512" s="129" t="s">
        <v>209</v>
      </c>
      <c r="J512" s="129" t="s">
        <v>3197</v>
      </c>
      <c r="K512" s="129" t="s">
        <v>3198</v>
      </c>
      <c r="L512" s="130">
        <v>5</v>
      </c>
      <c r="M512" s="130">
        <v>1</v>
      </c>
      <c r="N512" s="129" t="s">
        <v>1544</v>
      </c>
      <c r="O512" s="130">
        <v>85</v>
      </c>
      <c r="P512" s="130">
        <v>52</v>
      </c>
      <c r="Q512" s="130">
        <v>23</v>
      </c>
      <c r="R512" s="129" t="s">
        <v>1623</v>
      </c>
      <c r="S512" s="129" t="s">
        <v>1624</v>
      </c>
      <c r="T512" s="130">
        <v>212</v>
      </c>
      <c r="U512" s="129" t="s">
        <v>3199</v>
      </c>
      <c r="V512" s="129" t="s">
        <v>3198</v>
      </c>
      <c r="W512" s="130">
        <v>4</v>
      </c>
      <c r="X512" s="130">
        <v>2</v>
      </c>
      <c r="Y512" s="129" t="s">
        <v>194</v>
      </c>
      <c r="Z512" s="129" t="s">
        <v>195</v>
      </c>
      <c r="AA512" s="129" t="s">
        <v>196</v>
      </c>
      <c r="AB512" s="129" t="s">
        <v>187</v>
      </c>
      <c r="AC512" s="129" t="s">
        <v>187</v>
      </c>
      <c r="AD512" s="131"/>
      <c r="AE512" s="129" t="s">
        <v>209</v>
      </c>
      <c r="AF512" s="130">
        <v>27.313080000141898</v>
      </c>
      <c r="AG512" s="132">
        <v>98.585229999664705</v>
      </c>
      <c r="AM512" s="133" t="str" cm="1">
        <f t="array" ref="AM512">IF(ROWS($AN$2:$AN511)&lt;=$AN$2,INDEX($V$3:$V$3000,_xlfn.AGGREGATE(15,3,($B$3:$B$3000=$AM$2)/($B$3:$B$3000=$AM$2)*(ROW($B$3:$B$3000)-ROW($B$2)),ROWS($AN$2:$AN511))),"")</f>
        <v/>
      </c>
      <c r="AN512" s="134" t="str" cm="1">
        <f t="array" ref="AN512">IF(ROWS($AN$2:$AN511)&lt;=$AN$2,INDEX($F$3:$F$3000,_xlfn.AGGREGATE(15,3,($B$3:$B$3000=$AM$2)/($B$3:$B$3000=$AM$2)*(ROW($B$3:$B$3000)-ROW($B$2)),ROWS($AN$2:$AN511))),"")</f>
        <v/>
      </c>
      <c r="AO512" s="135" t="str" cm="1">
        <f t="array" ref="AO512">IF(ROWS($AN$2:$AN511)&lt;=$AN$2,INDEX($G$3:$G$3000,_xlfn.AGGREGATE(15,3,($B$3:$B$3000=$AM$2)/($B$3:$B$3000=$AM$2)*(ROW($B$3:$B$3000)-ROW($B$2)),ROWS($AN$2:$AN511))),"")</f>
        <v/>
      </c>
      <c r="AP512" s="121"/>
      <c r="AT512" s="111"/>
      <c r="AW512" s="134"/>
      <c r="AX512" s="136"/>
      <c r="AY512" s="134"/>
    </row>
    <row r="513" spans="1:51" s="110" customFormat="1" ht="20" customHeight="1">
      <c r="A513" s="125" t="s">
        <v>185</v>
      </c>
      <c r="B513" s="126" t="s">
        <v>59</v>
      </c>
      <c r="C513" s="127">
        <v>13442</v>
      </c>
      <c r="D513" s="145">
        <v>106154</v>
      </c>
      <c r="E513" s="146" t="s">
        <v>4782</v>
      </c>
      <c r="F513" s="146" t="s">
        <v>4782</v>
      </c>
      <c r="G513" s="147">
        <v>269000</v>
      </c>
      <c r="H513" s="147">
        <v>4</v>
      </c>
      <c r="I513" s="146" t="s">
        <v>209</v>
      </c>
      <c r="J513" s="146" t="s">
        <v>4783</v>
      </c>
      <c r="K513" s="146" t="s">
        <v>4784</v>
      </c>
      <c r="L513" s="147">
        <v>4</v>
      </c>
      <c r="M513" s="147">
        <v>1</v>
      </c>
      <c r="N513" s="146" t="s">
        <v>1544</v>
      </c>
      <c r="O513" s="147">
        <v>96</v>
      </c>
      <c r="P513" s="147">
        <v>10</v>
      </c>
      <c r="Q513" s="147">
        <v>17</v>
      </c>
      <c r="R513" s="146" t="s">
        <v>190</v>
      </c>
      <c r="S513" s="146" t="s">
        <v>191</v>
      </c>
      <c r="T513" s="147">
        <v>215</v>
      </c>
      <c r="U513" s="146" t="s">
        <v>447</v>
      </c>
      <c r="V513" s="146" t="s">
        <v>211</v>
      </c>
      <c r="W513" s="147">
        <v>1</v>
      </c>
      <c r="X513" s="147">
        <v>2</v>
      </c>
      <c r="Y513" s="146" t="s">
        <v>194</v>
      </c>
      <c r="Z513" s="146" t="s">
        <v>195</v>
      </c>
      <c r="AA513" s="146" t="s">
        <v>196</v>
      </c>
      <c r="AB513" s="146" t="s">
        <v>187</v>
      </c>
      <c r="AC513" s="146" t="s">
        <v>187</v>
      </c>
      <c r="AD513" s="148"/>
      <c r="AE513" s="146" t="s">
        <v>209</v>
      </c>
      <c r="AF513" s="147">
        <v>-10.257680000000001</v>
      </c>
      <c r="AG513" s="149">
        <v>123.58196</v>
      </c>
      <c r="AM513" s="133" t="str" cm="1">
        <f t="array" ref="AM513">IF(ROWS($AN$2:$AN512)&lt;=$AN$2,INDEX($V$3:$V$3000,_xlfn.AGGREGATE(15,3,($B$3:$B$3000=$AM$2)/($B$3:$B$3000=$AM$2)*(ROW($B$3:$B$3000)-ROW($B$2)),ROWS($AN$2:$AN512))),"")</f>
        <v/>
      </c>
      <c r="AN513" s="134" t="str" cm="1">
        <f t="array" ref="AN513">IF(ROWS($AN$2:$AN512)&lt;=$AN$2,INDEX($F$3:$F$3000,_xlfn.AGGREGATE(15,3,($B$3:$B$3000=$AM$2)/($B$3:$B$3000=$AM$2)*(ROW($B$3:$B$3000)-ROW($B$2)),ROWS($AN$2:$AN512))),"")</f>
        <v/>
      </c>
      <c r="AO513" s="135" t="str" cm="1">
        <f t="array" ref="AO513">IF(ROWS($AN$2:$AN512)&lt;=$AN$2,INDEX($G$3:$G$3000,_xlfn.AGGREGATE(15,3,($B$3:$B$3000=$AM$2)/($B$3:$B$3000=$AM$2)*(ROW($B$3:$B$3000)-ROW($B$2)),ROWS($AN$2:$AN512))),"")</f>
        <v/>
      </c>
      <c r="AP513" s="121"/>
      <c r="AT513" s="111"/>
      <c r="AW513" s="134"/>
      <c r="AX513" s="136"/>
      <c r="AY513" s="134"/>
    </row>
    <row r="514" spans="1:51" s="110" customFormat="1" ht="20" customHeight="1">
      <c r="A514" s="125" t="s">
        <v>185</v>
      </c>
      <c r="B514" s="126" t="s">
        <v>59</v>
      </c>
      <c r="C514" s="127">
        <v>10764</v>
      </c>
      <c r="D514" s="145">
        <v>101209</v>
      </c>
      <c r="E514" s="146" t="s">
        <v>3741</v>
      </c>
      <c r="F514" s="146" t="s">
        <v>3742</v>
      </c>
      <c r="G514" s="147">
        <v>12000</v>
      </c>
      <c r="H514" s="147">
        <v>4</v>
      </c>
      <c r="I514" s="146" t="s">
        <v>209</v>
      </c>
      <c r="J514" s="146" t="s">
        <v>3743</v>
      </c>
      <c r="K514" s="146" t="s">
        <v>3741</v>
      </c>
      <c r="L514" s="147">
        <v>4</v>
      </c>
      <c r="M514" s="147">
        <v>1</v>
      </c>
      <c r="N514" s="146" t="s">
        <v>1544</v>
      </c>
      <c r="O514" s="147">
        <v>60</v>
      </c>
      <c r="P514" s="147">
        <v>3</v>
      </c>
      <c r="Q514" s="147">
        <v>17</v>
      </c>
      <c r="R514" s="146" t="s">
        <v>190</v>
      </c>
      <c r="S514" s="146" t="s">
        <v>191</v>
      </c>
      <c r="T514" s="147">
        <v>215</v>
      </c>
      <c r="U514" s="146" t="s">
        <v>447</v>
      </c>
      <c r="V514" s="146" t="s">
        <v>211</v>
      </c>
      <c r="W514" s="147">
        <v>1</v>
      </c>
      <c r="X514" s="147">
        <v>2</v>
      </c>
      <c r="Y514" s="146" t="s">
        <v>194</v>
      </c>
      <c r="Z514" s="146" t="s">
        <v>195</v>
      </c>
      <c r="AA514" s="146" t="s">
        <v>196</v>
      </c>
      <c r="AB514" s="146" t="s">
        <v>187</v>
      </c>
      <c r="AC514" s="146" t="s">
        <v>187</v>
      </c>
      <c r="AD514" s="148"/>
      <c r="AE514" s="146" t="s">
        <v>209</v>
      </c>
      <c r="AF514" s="147">
        <v>-1.5837399999999999</v>
      </c>
      <c r="AG514" s="149">
        <v>120.36315999999999</v>
      </c>
      <c r="AM514" s="133" t="str" cm="1">
        <f t="array" ref="AM514">IF(ROWS($AN$2:$AN513)&lt;=$AN$2,INDEX($V$3:$V$3000,_xlfn.AGGREGATE(15,3,($B$3:$B$3000=$AM$2)/($B$3:$B$3000=$AM$2)*(ROW($B$3:$B$3000)-ROW($B$2)),ROWS($AN$2:$AN513))),"")</f>
        <v/>
      </c>
      <c r="AN514" s="134" t="str" cm="1">
        <f t="array" ref="AN514">IF(ROWS($AN$2:$AN513)&lt;=$AN$2,INDEX($F$3:$F$3000,_xlfn.AGGREGATE(15,3,($B$3:$B$3000=$AM$2)/($B$3:$B$3000=$AM$2)*(ROW($B$3:$B$3000)-ROW($B$2)),ROWS($AN$2:$AN513))),"")</f>
        <v/>
      </c>
      <c r="AO514" s="135" t="str" cm="1">
        <f t="array" ref="AO514">IF(ROWS($AN$2:$AN513)&lt;=$AN$2,INDEX($G$3:$G$3000,_xlfn.AGGREGATE(15,3,($B$3:$B$3000=$AM$2)/($B$3:$B$3000=$AM$2)*(ROW($B$3:$B$3000)-ROW($B$2)),ROWS($AN$2:$AN513))),"")</f>
        <v/>
      </c>
      <c r="AP514" s="121"/>
      <c r="AT514" s="111"/>
      <c r="AW514" s="134"/>
      <c r="AX514" s="136"/>
      <c r="AY514" s="134"/>
    </row>
    <row r="515" spans="1:51" s="110" customFormat="1" ht="20" customHeight="1">
      <c r="A515" s="125" t="s">
        <v>185</v>
      </c>
      <c r="B515" s="126" t="s">
        <v>59</v>
      </c>
      <c r="C515" s="127">
        <v>12244</v>
      </c>
      <c r="D515" s="145">
        <v>104047</v>
      </c>
      <c r="E515" s="146" t="s">
        <v>3359</v>
      </c>
      <c r="F515" s="146" t="s">
        <v>3359</v>
      </c>
      <c r="G515" s="147">
        <v>6500</v>
      </c>
      <c r="H515" s="147">
        <v>4</v>
      </c>
      <c r="I515" s="146" t="s">
        <v>209</v>
      </c>
      <c r="J515" s="146" t="s">
        <v>3360</v>
      </c>
      <c r="K515" s="146" t="s">
        <v>3361</v>
      </c>
      <c r="L515" s="147">
        <v>3</v>
      </c>
      <c r="M515" s="147">
        <v>1</v>
      </c>
      <c r="N515" s="146" t="s">
        <v>1544</v>
      </c>
      <c r="O515" s="147">
        <v>58</v>
      </c>
      <c r="P515" s="147">
        <v>6</v>
      </c>
      <c r="Q515" s="147">
        <v>17</v>
      </c>
      <c r="R515" s="146" t="s">
        <v>190</v>
      </c>
      <c r="S515" s="146" t="s">
        <v>191</v>
      </c>
      <c r="T515" s="147">
        <v>215</v>
      </c>
      <c r="U515" s="146" t="s">
        <v>447</v>
      </c>
      <c r="V515" s="146" t="s">
        <v>211</v>
      </c>
      <c r="W515" s="147">
        <v>1</v>
      </c>
      <c r="X515" s="147">
        <v>2</v>
      </c>
      <c r="Y515" s="146" t="s">
        <v>194</v>
      </c>
      <c r="Z515" s="146" t="s">
        <v>195</v>
      </c>
      <c r="AA515" s="146" t="s">
        <v>196</v>
      </c>
      <c r="AB515" s="146" t="s">
        <v>187</v>
      </c>
      <c r="AC515" s="146" t="s">
        <v>187</v>
      </c>
      <c r="AD515" s="148"/>
      <c r="AE515" s="146" t="s">
        <v>209</v>
      </c>
      <c r="AF515" s="147">
        <v>-3.04115</v>
      </c>
      <c r="AG515" s="149">
        <v>133.31416999999999</v>
      </c>
      <c r="AM515" s="133" t="str" cm="1">
        <f t="array" ref="AM515">IF(ROWS($AN$2:$AN514)&lt;=$AN$2,INDEX($V$3:$V$3000,_xlfn.AGGREGATE(15,3,($B$3:$B$3000=$AM$2)/($B$3:$B$3000=$AM$2)*(ROW($B$3:$B$3000)-ROW($B$2)),ROWS($AN$2:$AN514))),"")</f>
        <v/>
      </c>
      <c r="AN515" s="134" t="str" cm="1">
        <f t="array" ref="AN515">IF(ROWS($AN$2:$AN514)&lt;=$AN$2,INDEX($F$3:$F$3000,_xlfn.AGGREGATE(15,3,($B$3:$B$3000=$AM$2)/($B$3:$B$3000=$AM$2)*(ROW($B$3:$B$3000)-ROW($B$2)),ROWS($AN$2:$AN514))),"")</f>
        <v/>
      </c>
      <c r="AO515" s="135" t="str" cm="1">
        <f t="array" ref="AO515">IF(ROWS($AN$2:$AN514)&lt;=$AN$2,INDEX($G$3:$G$3000,_xlfn.AGGREGATE(15,3,($B$3:$B$3000=$AM$2)/($B$3:$B$3000=$AM$2)*(ROW($B$3:$B$3000)-ROW($B$2)),ROWS($AN$2:$AN514))),"")</f>
        <v/>
      </c>
      <c r="AP515" s="121"/>
      <c r="AT515" s="111"/>
      <c r="AW515" s="134"/>
      <c r="AX515" s="136"/>
      <c r="AY515" s="134"/>
    </row>
    <row r="516" spans="1:51" s="110" customFormat="1" ht="20" customHeight="1">
      <c r="A516" s="125" t="s">
        <v>185</v>
      </c>
      <c r="B516" s="126" t="s">
        <v>59</v>
      </c>
      <c r="C516" s="127">
        <v>14871</v>
      </c>
      <c r="D516" s="145">
        <v>108870</v>
      </c>
      <c r="E516" s="146" t="s">
        <v>2878</v>
      </c>
      <c r="F516" s="146" t="s">
        <v>2878</v>
      </c>
      <c r="G516" s="147">
        <v>3000</v>
      </c>
      <c r="H516" s="147">
        <v>4</v>
      </c>
      <c r="I516" s="146" t="s">
        <v>209</v>
      </c>
      <c r="J516" s="146" t="s">
        <v>254</v>
      </c>
      <c r="K516" s="146" t="s">
        <v>255</v>
      </c>
      <c r="L516" s="147">
        <v>3</v>
      </c>
      <c r="M516" s="147">
        <v>1</v>
      </c>
      <c r="N516" s="146" t="s">
        <v>1544</v>
      </c>
      <c r="O516" s="147">
        <v>58</v>
      </c>
      <c r="P516" s="147">
        <v>10</v>
      </c>
      <c r="Q516" s="147">
        <v>17</v>
      </c>
      <c r="R516" s="146" t="s">
        <v>190</v>
      </c>
      <c r="S516" s="146" t="s">
        <v>191</v>
      </c>
      <c r="T516" s="147">
        <v>215</v>
      </c>
      <c r="U516" s="146" t="s">
        <v>447</v>
      </c>
      <c r="V516" s="146" t="s">
        <v>211</v>
      </c>
      <c r="W516" s="147">
        <v>1</v>
      </c>
      <c r="X516" s="147">
        <v>2</v>
      </c>
      <c r="Y516" s="146" t="s">
        <v>194</v>
      </c>
      <c r="Z516" s="146" t="s">
        <v>195</v>
      </c>
      <c r="AA516" s="146" t="s">
        <v>196</v>
      </c>
      <c r="AB516" s="146" t="s">
        <v>187</v>
      </c>
      <c r="AC516" s="146" t="s">
        <v>187</v>
      </c>
      <c r="AD516" s="148"/>
      <c r="AE516" s="146" t="s">
        <v>209</v>
      </c>
      <c r="AF516" s="147">
        <v>-3.2090623807059799</v>
      </c>
      <c r="AG516" s="149">
        <v>128.97353921113199</v>
      </c>
      <c r="AM516" s="133" t="str" cm="1">
        <f t="array" ref="AM516">IF(ROWS($AN$2:$AN515)&lt;=$AN$2,INDEX($V$3:$V$3000,_xlfn.AGGREGATE(15,3,($B$3:$B$3000=$AM$2)/($B$3:$B$3000=$AM$2)*(ROW($B$3:$B$3000)-ROW($B$2)),ROWS($AN$2:$AN515))),"")</f>
        <v/>
      </c>
      <c r="AN516" s="134" t="str" cm="1">
        <f t="array" ref="AN516">IF(ROWS($AN$2:$AN515)&lt;=$AN$2,INDEX($F$3:$F$3000,_xlfn.AGGREGATE(15,3,($B$3:$B$3000=$AM$2)/($B$3:$B$3000=$AM$2)*(ROW($B$3:$B$3000)-ROW($B$2)),ROWS($AN$2:$AN515))),"")</f>
        <v/>
      </c>
      <c r="AO516" s="135" t="str" cm="1">
        <f t="array" ref="AO516">IF(ROWS($AN$2:$AN515)&lt;=$AN$2,INDEX($G$3:$G$3000,_xlfn.AGGREGATE(15,3,($B$3:$B$3000=$AM$2)/($B$3:$B$3000=$AM$2)*(ROW($B$3:$B$3000)-ROW($B$2)),ROWS($AN$2:$AN515))),"")</f>
        <v/>
      </c>
      <c r="AP516" s="121"/>
      <c r="AT516" s="111"/>
      <c r="AW516" s="134"/>
      <c r="AX516" s="136"/>
      <c r="AY516" s="134"/>
    </row>
    <row r="517" spans="1:51" s="110" customFormat="1" ht="20" customHeight="1">
      <c r="A517" s="125" t="s">
        <v>185</v>
      </c>
      <c r="B517" s="126" t="s">
        <v>59</v>
      </c>
      <c r="C517" s="127">
        <v>13443</v>
      </c>
      <c r="D517" s="128">
        <v>106156</v>
      </c>
      <c r="E517" s="129" t="s">
        <v>4868</v>
      </c>
      <c r="F517" s="129" t="s">
        <v>4868</v>
      </c>
      <c r="G517" s="130">
        <v>1109000</v>
      </c>
      <c r="H517" s="130">
        <v>5</v>
      </c>
      <c r="I517" s="129" t="s">
        <v>209</v>
      </c>
      <c r="J517" s="129" t="s">
        <v>4403</v>
      </c>
      <c r="K517" s="129" t="s">
        <v>4404</v>
      </c>
      <c r="L517" s="130">
        <v>5</v>
      </c>
      <c r="M517" s="130">
        <v>1</v>
      </c>
      <c r="N517" s="129" t="s">
        <v>1544</v>
      </c>
      <c r="O517" s="130">
        <v>55</v>
      </c>
      <c r="P517" s="130">
        <v>12.978999999999999</v>
      </c>
      <c r="Q517" s="130">
        <v>17</v>
      </c>
      <c r="R517" s="129" t="s">
        <v>190</v>
      </c>
      <c r="S517" s="129" t="s">
        <v>191</v>
      </c>
      <c r="T517" s="130">
        <v>215</v>
      </c>
      <c r="U517" s="129" t="s">
        <v>447</v>
      </c>
      <c r="V517" s="129" t="s">
        <v>211</v>
      </c>
      <c r="W517" s="130">
        <v>1</v>
      </c>
      <c r="X517" s="130">
        <v>2</v>
      </c>
      <c r="Y517" s="129" t="s">
        <v>194</v>
      </c>
      <c r="Z517" s="129" t="s">
        <v>195</v>
      </c>
      <c r="AA517" s="129" t="s">
        <v>196</v>
      </c>
      <c r="AB517" s="129" t="s">
        <v>187</v>
      </c>
      <c r="AC517" s="129" t="s">
        <v>187</v>
      </c>
      <c r="AD517" s="131"/>
      <c r="AE517" s="129" t="s">
        <v>209</v>
      </c>
      <c r="AF517" s="130">
        <v>1.47925</v>
      </c>
      <c r="AG517" s="132">
        <v>124.84679</v>
      </c>
      <c r="AM517" s="133" t="str" cm="1">
        <f t="array" ref="AM517">IF(ROWS($AN$2:$AN516)&lt;=$AN$2,INDEX($V$3:$V$3000,_xlfn.AGGREGATE(15,3,($B$3:$B$3000=$AM$2)/($B$3:$B$3000=$AM$2)*(ROW($B$3:$B$3000)-ROW($B$2)),ROWS($AN$2:$AN516))),"")</f>
        <v/>
      </c>
      <c r="AN517" s="134" t="str" cm="1">
        <f t="array" ref="AN517">IF(ROWS($AN$2:$AN516)&lt;=$AN$2,INDEX($F$3:$F$3000,_xlfn.AGGREGATE(15,3,($B$3:$B$3000=$AM$2)/($B$3:$B$3000=$AM$2)*(ROW($B$3:$B$3000)-ROW($B$2)),ROWS($AN$2:$AN516))),"")</f>
        <v/>
      </c>
      <c r="AO517" s="135" t="str" cm="1">
        <f t="array" ref="AO517">IF(ROWS($AN$2:$AN516)&lt;=$AN$2,INDEX($G$3:$G$3000,_xlfn.AGGREGATE(15,3,($B$3:$B$3000=$AM$2)/($B$3:$B$3000=$AM$2)*(ROW($B$3:$B$3000)-ROW($B$2)),ROWS($AN$2:$AN516))),"")</f>
        <v/>
      </c>
      <c r="AP517" s="121"/>
      <c r="AT517" s="111"/>
      <c r="AW517" s="134"/>
      <c r="AX517" s="136"/>
      <c r="AY517" s="134"/>
    </row>
    <row r="518" spans="1:51" s="110" customFormat="1" ht="20" customHeight="1">
      <c r="A518" s="125" t="s">
        <v>185</v>
      </c>
      <c r="B518" s="126" t="s">
        <v>59</v>
      </c>
      <c r="C518" s="127">
        <v>19077</v>
      </c>
      <c r="D518" s="151">
        <v>115342</v>
      </c>
      <c r="E518" s="152" t="s">
        <v>3341</v>
      </c>
      <c r="F518" s="152" t="s">
        <v>3341</v>
      </c>
      <c r="G518" s="153">
        <v>6300</v>
      </c>
      <c r="H518" s="153">
        <v>3</v>
      </c>
      <c r="I518" s="152" t="s">
        <v>209</v>
      </c>
      <c r="J518" s="152" t="s">
        <v>3342</v>
      </c>
      <c r="K518" s="152" t="s">
        <v>3343</v>
      </c>
      <c r="L518" s="153">
        <v>1</v>
      </c>
      <c r="M518" s="153">
        <v>1</v>
      </c>
      <c r="N518" s="152" t="s">
        <v>1544</v>
      </c>
      <c r="O518" s="153">
        <v>55</v>
      </c>
      <c r="P518" s="153">
        <v>2</v>
      </c>
      <c r="Q518" s="153">
        <v>17</v>
      </c>
      <c r="R518" s="152" t="s">
        <v>190</v>
      </c>
      <c r="S518" s="152" t="s">
        <v>191</v>
      </c>
      <c r="T518" s="153">
        <v>222</v>
      </c>
      <c r="U518" s="152" t="s">
        <v>256</v>
      </c>
      <c r="V518" s="152" t="s">
        <v>257</v>
      </c>
      <c r="W518" s="153">
        <v>1</v>
      </c>
      <c r="X518" s="153">
        <v>2</v>
      </c>
      <c r="Y518" s="152" t="s">
        <v>194</v>
      </c>
      <c r="Z518" s="152" t="s">
        <v>195</v>
      </c>
      <c r="AA518" s="152" t="s">
        <v>196</v>
      </c>
      <c r="AB518" s="152" t="s">
        <v>187</v>
      </c>
      <c r="AC518" s="152" t="s">
        <v>187</v>
      </c>
      <c r="AD518" s="154"/>
      <c r="AE518" s="152" t="s">
        <v>209</v>
      </c>
      <c r="AF518" s="153">
        <v>-3.70754999983262</v>
      </c>
      <c r="AG518" s="155">
        <v>128.07304999955801</v>
      </c>
      <c r="AM518" s="133" t="str" cm="1">
        <f t="array" ref="AM518">IF(ROWS($AN$2:$AN517)&lt;=$AN$2,INDEX($V$3:$V$3000,_xlfn.AGGREGATE(15,3,($B$3:$B$3000=$AM$2)/($B$3:$B$3000=$AM$2)*(ROW($B$3:$B$3000)-ROW($B$2)),ROWS($AN$2:$AN517))),"")</f>
        <v/>
      </c>
      <c r="AN518" s="134" t="str" cm="1">
        <f t="array" ref="AN518">IF(ROWS($AN$2:$AN517)&lt;=$AN$2,INDEX($F$3:$F$3000,_xlfn.AGGREGATE(15,3,($B$3:$B$3000=$AM$2)/($B$3:$B$3000=$AM$2)*(ROW($B$3:$B$3000)-ROW($B$2)),ROWS($AN$2:$AN517))),"")</f>
        <v/>
      </c>
      <c r="AO518" s="135" t="str" cm="1">
        <f t="array" ref="AO518">IF(ROWS($AN$2:$AN517)&lt;=$AN$2,INDEX($G$3:$G$3000,_xlfn.AGGREGATE(15,3,($B$3:$B$3000=$AM$2)/($B$3:$B$3000=$AM$2)*(ROW($B$3:$B$3000)-ROW($B$2)),ROWS($AN$2:$AN517))),"")</f>
        <v/>
      </c>
      <c r="AP518" s="121"/>
      <c r="AT518" s="111"/>
      <c r="AW518" s="134"/>
      <c r="AX518" s="136"/>
      <c r="AY518" s="134"/>
    </row>
    <row r="519" spans="1:51" s="110" customFormat="1" ht="20" customHeight="1">
      <c r="A519" s="125" t="s">
        <v>185</v>
      </c>
      <c r="B519" s="126" t="s">
        <v>59</v>
      </c>
      <c r="C519" s="127">
        <v>13397</v>
      </c>
      <c r="D519" s="145">
        <v>107327</v>
      </c>
      <c r="E519" s="146" t="s">
        <v>3264</v>
      </c>
      <c r="F519" s="146" t="s">
        <v>3264</v>
      </c>
      <c r="G519" s="147">
        <v>5600</v>
      </c>
      <c r="H519" s="147">
        <v>4</v>
      </c>
      <c r="I519" s="146" t="s">
        <v>209</v>
      </c>
      <c r="J519" s="146" t="s">
        <v>3265</v>
      </c>
      <c r="K519" s="146" t="s">
        <v>3264</v>
      </c>
      <c r="L519" s="147">
        <v>3</v>
      </c>
      <c r="M519" s="147">
        <v>1</v>
      </c>
      <c r="N519" s="146" t="s">
        <v>1544</v>
      </c>
      <c r="O519" s="147">
        <v>65</v>
      </c>
      <c r="P519" s="147">
        <v>4</v>
      </c>
      <c r="Q519" s="147">
        <v>17</v>
      </c>
      <c r="R519" s="146" t="s">
        <v>190</v>
      </c>
      <c r="S519" s="146" t="s">
        <v>191</v>
      </c>
      <c r="T519" s="147">
        <v>222</v>
      </c>
      <c r="U519" s="146" t="s">
        <v>256</v>
      </c>
      <c r="V519" s="146" t="s">
        <v>257</v>
      </c>
      <c r="W519" s="147">
        <v>1</v>
      </c>
      <c r="X519" s="147">
        <v>2</v>
      </c>
      <c r="Y519" s="146" t="s">
        <v>194</v>
      </c>
      <c r="Z519" s="146" t="s">
        <v>195</v>
      </c>
      <c r="AA519" s="146" t="s">
        <v>196</v>
      </c>
      <c r="AB519" s="146" t="s">
        <v>187</v>
      </c>
      <c r="AC519" s="146" t="s">
        <v>187</v>
      </c>
      <c r="AD519" s="148"/>
      <c r="AE519" s="146" t="s">
        <v>209</v>
      </c>
      <c r="AF519" s="147">
        <v>-2.56541</v>
      </c>
      <c r="AG519" s="149">
        <v>140.16421</v>
      </c>
      <c r="AM519" s="133" t="str" cm="1">
        <f t="array" ref="AM519">IF(ROWS($AN$2:$AN518)&lt;=$AN$2,INDEX($V$3:$V$3000,_xlfn.AGGREGATE(15,3,($B$3:$B$3000=$AM$2)/($B$3:$B$3000=$AM$2)*(ROW($B$3:$B$3000)-ROW($B$2)),ROWS($AN$2:$AN518))),"")</f>
        <v/>
      </c>
      <c r="AN519" s="134" t="str" cm="1">
        <f t="array" ref="AN519">IF(ROWS($AN$2:$AN518)&lt;=$AN$2,INDEX($F$3:$F$3000,_xlfn.AGGREGATE(15,3,($B$3:$B$3000=$AM$2)/($B$3:$B$3000=$AM$2)*(ROW($B$3:$B$3000)-ROW($B$2)),ROWS($AN$2:$AN518))),"")</f>
        <v/>
      </c>
      <c r="AO519" s="135" t="str" cm="1">
        <f t="array" ref="AO519">IF(ROWS($AN$2:$AN518)&lt;=$AN$2,INDEX($G$3:$G$3000,_xlfn.AGGREGATE(15,3,($B$3:$B$3000=$AM$2)/($B$3:$B$3000=$AM$2)*(ROW($B$3:$B$3000)-ROW($B$2)),ROWS($AN$2:$AN518))),"")</f>
        <v/>
      </c>
      <c r="AP519" s="121"/>
      <c r="AT519" s="111"/>
      <c r="AW519" s="134"/>
      <c r="AX519" s="136"/>
      <c r="AY519" s="134"/>
    </row>
    <row r="520" spans="1:51" s="110" customFormat="1" ht="20" customHeight="1">
      <c r="A520" s="125" t="s">
        <v>185</v>
      </c>
      <c r="B520" s="126" t="s">
        <v>59</v>
      </c>
      <c r="C520" s="127">
        <v>13052</v>
      </c>
      <c r="D520" s="145">
        <v>105751</v>
      </c>
      <c r="E520" s="146" t="s">
        <v>3120</v>
      </c>
      <c r="F520" s="146" t="s">
        <v>3120</v>
      </c>
      <c r="G520" s="147">
        <v>4600</v>
      </c>
      <c r="H520" s="147">
        <v>4</v>
      </c>
      <c r="I520" s="146" t="s">
        <v>209</v>
      </c>
      <c r="J520" s="146" t="s">
        <v>3121</v>
      </c>
      <c r="K520" s="146" t="s">
        <v>3122</v>
      </c>
      <c r="L520" s="147">
        <v>1</v>
      </c>
      <c r="M520" s="147">
        <v>1</v>
      </c>
      <c r="N520" s="146" t="s">
        <v>1544</v>
      </c>
      <c r="O520" s="147">
        <v>70</v>
      </c>
      <c r="P520" s="147">
        <v>3</v>
      </c>
      <c r="Q520" s="147">
        <v>17</v>
      </c>
      <c r="R520" s="146" t="s">
        <v>190</v>
      </c>
      <c r="S520" s="146" t="s">
        <v>191</v>
      </c>
      <c r="T520" s="147">
        <v>222</v>
      </c>
      <c r="U520" s="146" t="s">
        <v>256</v>
      </c>
      <c r="V520" s="146" t="s">
        <v>257</v>
      </c>
      <c r="W520" s="147">
        <v>1</v>
      </c>
      <c r="X520" s="147">
        <v>2</v>
      </c>
      <c r="Y520" s="146" t="s">
        <v>194</v>
      </c>
      <c r="Z520" s="146" t="s">
        <v>195</v>
      </c>
      <c r="AA520" s="146" t="s">
        <v>196</v>
      </c>
      <c r="AB520" s="146" t="s">
        <v>187</v>
      </c>
      <c r="AC520" s="146" t="s">
        <v>187</v>
      </c>
      <c r="AD520" s="148"/>
      <c r="AE520" s="146" t="s">
        <v>209</v>
      </c>
      <c r="AF520" s="147">
        <v>-3.11212</v>
      </c>
      <c r="AG520" s="149">
        <v>129.88624999999999</v>
      </c>
      <c r="AM520" s="133" t="str" cm="1">
        <f t="array" ref="AM520">IF(ROWS($AN$2:$AN519)&lt;=$AN$2,INDEX($V$3:$V$3000,_xlfn.AGGREGATE(15,3,($B$3:$B$3000=$AM$2)/($B$3:$B$3000=$AM$2)*(ROW($B$3:$B$3000)-ROW($B$2)),ROWS($AN$2:$AN519))),"")</f>
        <v/>
      </c>
      <c r="AN520" s="134" t="str" cm="1">
        <f t="array" ref="AN520">IF(ROWS($AN$2:$AN519)&lt;=$AN$2,INDEX($F$3:$F$3000,_xlfn.AGGREGATE(15,3,($B$3:$B$3000=$AM$2)/($B$3:$B$3000=$AM$2)*(ROW($B$3:$B$3000)-ROW($B$2)),ROWS($AN$2:$AN519))),"")</f>
        <v/>
      </c>
      <c r="AO520" s="135" t="str" cm="1">
        <f t="array" ref="AO520">IF(ROWS($AN$2:$AN519)&lt;=$AN$2,INDEX($G$3:$G$3000,_xlfn.AGGREGATE(15,3,($B$3:$B$3000=$AM$2)/($B$3:$B$3000=$AM$2)*(ROW($B$3:$B$3000)-ROW($B$2)),ROWS($AN$2:$AN519))),"")</f>
        <v/>
      </c>
      <c r="AP520" s="121"/>
      <c r="AT520" s="111"/>
      <c r="AW520" s="134"/>
      <c r="AX520" s="136"/>
      <c r="AY520" s="134"/>
    </row>
    <row r="521" spans="1:51" s="110" customFormat="1" ht="20" customHeight="1">
      <c r="A521" s="125" t="s">
        <v>185</v>
      </c>
      <c r="B521" s="126" t="s">
        <v>59</v>
      </c>
      <c r="C521" s="127">
        <v>15907</v>
      </c>
      <c r="D521" s="145">
        <v>110745</v>
      </c>
      <c r="E521" s="146" t="s">
        <v>3088</v>
      </c>
      <c r="F521" s="146" t="s">
        <v>3088</v>
      </c>
      <c r="G521" s="147">
        <v>4400</v>
      </c>
      <c r="H521" s="147">
        <v>4</v>
      </c>
      <c r="I521" s="146" t="s">
        <v>209</v>
      </c>
      <c r="J521" s="146" t="s">
        <v>3013</v>
      </c>
      <c r="K521" s="146" t="s">
        <v>3014</v>
      </c>
      <c r="L521" s="147">
        <v>1</v>
      </c>
      <c r="M521" s="147">
        <v>1</v>
      </c>
      <c r="N521" s="146" t="s">
        <v>1544</v>
      </c>
      <c r="O521" s="147">
        <v>80</v>
      </c>
      <c r="P521" s="147">
        <v>3</v>
      </c>
      <c r="Q521" s="147">
        <v>17</v>
      </c>
      <c r="R521" s="146" t="s">
        <v>190</v>
      </c>
      <c r="S521" s="146" t="s">
        <v>191</v>
      </c>
      <c r="T521" s="147">
        <v>222</v>
      </c>
      <c r="U521" s="146" t="s">
        <v>256</v>
      </c>
      <c r="V521" s="146" t="s">
        <v>257</v>
      </c>
      <c r="W521" s="147">
        <v>1</v>
      </c>
      <c r="X521" s="147">
        <v>2</v>
      </c>
      <c r="Y521" s="146" t="s">
        <v>194</v>
      </c>
      <c r="Z521" s="146" t="s">
        <v>195</v>
      </c>
      <c r="AA521" s="146" t="s">
        <v>196</v>
      </c>
      <c r="AB521" s="146" t="s">
        <v>187</v>
      </c>
      <c r="AC521" s="146" t="s">
        <v>187</v>
      </c>
      <c r="AD521" s="148"/>
      <c r="AE521" s="146" t="s">
        <v>209</v>
      </c>
      <c r="AF521" s="147">
        <v>-3.0566300000000002</v>
      </c>
      <c r="AG521" s="149">
        <v>128.82955999999999</v>
      </c>
      <c r="AM521" s="133" t="str" cm="1">
        <f t="array" ref="AM521">IF(ROWS($AN$2:$AN520)&lt;=$AN$2,INDEX($V$3:$V$3000,_xlfn.AGGREGATE(15,3,($B$3:$B$3000=$AM$2)/($B$3:$B$3000=$AM$2)*(ROW($B$3:$B$3000)-ROW($B$2)),ROWS($AN$2:$AN520))),"")</f>
        <v/>
      </c>
      <c r="AN521" s="134" t="str" cm="1">
        <f t="array" ref="AN521">IF(ROWS($AN$2:$AN520)&lt;=$AN$2,INDEX($F$3:$F$3000,_xlfn.AGGREGATE(15,3,($B$3:$B$3000=$AM$2)/($B$3:$B$3000=$AM$2)*(ROW($B$3:$B$3000)-ROW($B$2)),ROWS($AN$2:$AN520))),"")</f>
        <v/>
      </c>
      <c r="AO521" s="135" t="str" cm="1">
        <f t="array" ref="AO521">IF(ROWS($AN$2:$AN520)&lt;=$AN$2,INDEX($G$3:$G$3000,_xlfn.AGGREGATE(15,3,($B$3:$B$3000=$AM$2)/($B$3:$B$3000=$AM$2)*(ROW($B$3:$B$3000)-ROW($B$2)),ROWS($AN$2:$AN520))),"")</f>
        <v/>
      </c>
      <c r="AP521" s="121"/>
      <c r="AT521" s="111"/>
      <c r="AW521" s="134"/>
      <c r="AX521" s="136"/>
      <c r="AY521" s="134"/>
    </row>
    <row r="522" spans="1:51" s="110" customFormat="1" ht="20" customHeight="1">
      <c r="A522" s="125" t="s">
        <v>185</v>
      </c>
      <c r="B522" s="126" t="s">
        <v>59</v>
      </c>
      <c r="C522" s="127">
        <v>15908</v>
      </c>
      <c r="D522" s="145">
        <v>110746</v>
      </c>
      <c r="E522" s="146" t="s">
        <v>3011</v>
      </c>
      <c r="F522" s="146" t="s">
        <v>3012</v>
      </c>
      <c r="G522" s="147">
        <v>3800</v>
      </c>
      <c r="H522" s="147">
        <v>4</v>
      </c>
      <c r="I522" s="146" t="s">
        <v>209</v>
      </c>
      <c r="J522" s="146" t="s">
        <v>3013</v>
      </c>
      <c r="K522" s="146" t="s">
        <v>3014</v>
      </c>
      <c r="L522" s="147">
        <v>1</v>
      </c>
      <c r="M522" s="147">
        <v>1</v>
      </c>
      <c r="N522" s="146" t="s">
        <v>1544</v>
      </c>
      <c r="O522" s="147">
        <v>80</v>
      </c>
      <c r="P522" s="147">
        <v>7</v>
      </c>
      <c r="Q522" s="147">
        <v>17</v>
      </c>
      <c r="R522" s="146" t="s">
        <v>190</v>
      </c>
      <c r="S522" s="146" t="s">
        <v>191</v>
      </c>
      <c r="T522" s="147">
        <v>222</v>
      </c>
      <c r="U522" s="146" t="s">
        <v>256</v>
      </c>
      <c r="V522" s="146" t="s">
        <v>257</v>
      </c>
      <c r="W522" s="147">
        <v>1</v>
      </c>
      <c r="X522" s="147">
        <v>2</v>
      </c>
      <c r="Y522" s="146" t="s">
        <v>194</v>
      </c>
      <c r="Z522" s="146" t="s">
        <v>195</v>
      </c>
      <c r="AA522" s="146" t="s">
        <v>196</v>
      </c>
      <c r="AB522" s="146" t="s">
        <v>187</v>
      </c>
      <c r="AC522" s="146" t="s">
        <v>187</v>
      </c>
      <c r="AD522" s="148"/>
      <c r="AE522" s="146" t="s">
        <v>209</v>
      </c>
      <c r="AF522" s="147">
        <v>-3.2943699999999998</v>
      </c>
      <c r="AG522" s="149">
        <v>128.53836999999999</v>
      </c>
      <c r="AM522" s="133" t="str" cm="1">
        <f t="array" ref="AM522">IF(ROWS($AN$2:$AN521)&lt;=$AN$2,INDEX($V$3:$V$3000,_xlfn.AGGREGATE(15,3,($B$3:$B$3000=$AM$2)/($B$3:$B$3000=$AM$2)*(ROW($B$3:$B$3000)-ROW($B$2)),ROWS($AN$2:$AN521))),"")</f>
        <v/>
      </c>
      <c r="AN522" s="134" t="str" cm="1">
        <f t="array" ref="AN522">IF(ROWS($AN$2:$AN521)&lt;=$AN$2,INDEX($F$3:$F$3000,_xlfn.AGGREGATE(15,3,($B$3:$B$3000=$AM$2)/($B$3:$B$3000=$AM$2)*(ROW($B$3:$B$3000)-ROW($B$2)),ROWS($AN$2:$AN521))),"")</f>
        <v/>
      </c>
      <c r="AO522" s="135" t="str" cm="1">
        <f t="array" ref="AO522">IF(ROWS($AN$2:$AN521)&lt;=$AN$2,INDEX($G$3:$G$3000,_xlfn.AGGREGATE(15,3,($B$3:$B$3000=$AM$2)/($B$3:$B$3000=$AM$2)*(ROW($B$3:$B$3000)-ROW($B$2)),ROWS($AN$2:$AN521))),"")</f>
        <v/>
      </c>
      <c r="AP522" s="121"/>
      <c r="AT522" s="111"/>
      <c r="AW522" s="134"/>
      <c r="AX522" s="136"/>
      <c r="AY522" s="134"/>
    </row>
    <row r="523" spans="1:51" s="110" customFormat="1" ht="20" customHeight="1">
      <c r="A523" s="125" t="s">
        <v>185</v>
      </c>
      <c r="B523" s="126" t="s">
        <v>59</v>
      </c>
      <c r="C523" s="127">
        <v>15452</v>
      </c>
      <c r="D523" s="145">
        <v>109981</v>
      </c>
      <c r="E523" s="146" t="s">
        <v>2643</v>
      </c>
      <c r="F523" s="146" t="s">
        <v>2643</v>
      </c>
      <c r="G523" s="147">
        <v>1800</v>
      </c>
      <c r="H523" s="147">
        <v>4</v>
      </c>
      <c r="I523" s="146" t="s">
        <v>209</v>
      </c>
      <c r="J523" s="146" t="s">
        <v>254</v>
      </c>
      <c r="K523" s="146" t="s">
        <v>255</v>
      </c>
      <c r="L523" s="147">
        <v>3</v>
      </c>
      <c r="M523" s="147">
        <v>1</v>
      </c>
      <c r="N523" s="146" t="s">
        <v>1544</v>
      </c>
      <c r="O523" s="147">
        <v>60</v>
      </c>
      <c r="P523" s="147">
        <v>4</v>
      </c>
      <c r="Q523" s="147">
        <v>17</v>
      </c>
      <c r="R523" s="146" t="s">
        <v>190</v>
      </c>
      <c r="S523" s="146" t="s">
        <v>191</v>
      </c>
      <c r="T523" s="147">
        <v>222</v>
      </c>
      <c r="U523" s="146" t="s">
        <v>256</v>
      </c>
      <c r="V523" s="146" t="s">
        <v>257</v>
      </c>
      <c r="W523" s="147">
        <v>1</v>
      </c>
      <c r="X523" s="147">
        <v>2</v>
      </c>
      <c r="Y523" s="146" t="s">
        <v>194</v>
      </c>
      <c r="Z523" s="146" t="s">
        <v>195</v>
      </c>
      <c r="AA523" s="146" t="s">
        <v>196</v>
      </c>
      <c r="AB523" s="146" t="s">
        <v>187</v>
      </c>
      <c r="AC523" s="146" t="s">
        <v>187</v>
      </c>
      <c r="AD523" s="148"/>
      <c r="AE523" s="146" t="s">
        <v>209</v>
      </c>
      <c r="AF523" s="147">
        <v>-3.2050014309220201</v>
      </c>
      <c r="AG523" s="149">
        <v>128.969378131144</v>
      </c>
      <c r="AM523" s="133" t="str" cm="1">
        <f t="array" ref="AM523">IF(ROWS($AN$2:$AN522)&lt;=$AN$2,INDEX($V$3:$V$3000,_xlfn.AGGREGATE(15,3,($B$3:$B$3000=$AM$2)/($B$3:$B$3000=$AM$2)*(ROW($B$3:$B$3000)-ROW($B$2)),ROWS($AN$2:$AN522))),"")</f>
        <v/>
      </c>
      <c r="AN523" s="134" t="str" cm="1">
        <f t="array" ref="AN523">IF(ROWS($AN$2:$AN522)&lt;=$AN$2,INDEX($F$3:$F$3000,_xlfn.AGGREGATE(15,3,($B$3:$B$3000=$AM$2)/($B$3:$B$3000=$AM$2)*(ROW($B$3:$B$3000)-ROW($B$2)),ROWS($AN$2:$AN522))),"")</f>
        <v/>
      </c>
      <c r="AO523" s="135" t="str" cm="1">
        <f t="array" ref="AO523">IF(ROWS($AN$2:$AN522)&lt;=$AN$2,INDEX($G$3:$G$3000,_xlfn.AGGREGATE(15,3,($B$3:$B$3000=$AM$2)/($B$3:$B$3000=$AM$2)*(ROW($B$3:$B$3000)-ROW($B$2)),ROWS($AN$2:$AN522))),"")</f>
        <v/>
      </c>
      <c r="AP523" s="121"/>
      <c r="AT523" s="111"/>
      <c r="AW523" s="134"/>
      <c r="AX523" s="136"/>
      <c r="AY523" s="134"/>
    </row>
    <row r="524" spans="1:51" s="110" customFormat="1" ht="20" customHeight="1">
      <c r="A524" s="125" t="s">
        <v>185</v>
      </c>
      <c r="B524" s="126" t="s">
        <v>59</v>
      </c>
      <c r="C524" s="127">
        <v>10934</v>
      </c>
      <c r="D524" s="145">
        <v>101595</v>
      </c>
      <c r="E524" s="146" t="s">
        <v>2510</v>
      </c>
      <c r="F524" s="146" t="s">
        <v>2511</v>
      </c>
      <c r="G524" s="147">
        <v>1500</v>
      </c>
      <c r="H524" s="147">
        <v>4</v>
      </c>
      <c r="I524" s="146" t="s">
        <v>209</v>
      </c>
      <c r="J524" s="146" t="s">
        <v>1574</v>
      </c>
      <c r="K524" s="146" t="s">
        <v>1575</v>
      </c>
      <c r="L524" s="147">
        <v>1</v>
      </c>
      <c r="M524" s="147">
        <v>1</v>
      </c>
      <c r="N524" s="146" t="s">
        <v>1544</v>
      </c>
      <c r="O524" s="147">
        <v>90</v>
      </c>
      <c r="P524" s="147">
        <v>4</v>
      </c>
      <c r="Q524" s="147">
        <v>17</v>
      </c>
      <c r="R524" s="146" t="s">
        <v>190</v>
      </c>
      <c r="S524" s="146" t="s">
        <v>191</v>
      </c>
      <c r="T524" s="147">
        <v>222</v>
      </c>
      <c r="U524" s="146" t="s">
        <v>256</v>
      </c>
      <c r="V524" s="146" t="s">
        <v>257</v>
      </c>
      <c r="W524" s="147">
        <v>1</v>
      </c>
      <c r="X524" s="147">
        <v>2</v>
      </c>
      <c r="Y524" s="146" t="s">
        <v>194</v>
      </c>
      <c r="Z524" s="146" t="s">
        <v>195</v>
      </c>
      <c r="AA524" s="146" t="s">
        <v>196</v>
      </c>
      <c r="AB524" s="146" t="s">
        <v>187</v>
      </c>
      <c r="AC524" s="146" t="s">
        <v>187</v>
      </c>
      <c r="AD524" s="148"/>
      <c r="AE524" s="146" t="s">
        <v>209</v>
      </c>
      <c r="AF524" s="147">
        <v>-3.29569</v>
      </c>
      <c r="AG524" s="149">
        <v>130.59350000000001</v>
      </c>
      <c r="AM524" s="133" t="str" cm="1">
        <f t="array" ref="AM524">IF(ROWS($AN$2:$AN523)&lt;=$AN$2,INDEX($V$3:$V$3000,_xlfn.AGGREGATE(15,3,($B$3:$B$3000=$AM$2)/($B$3:$B$3000=$AM$2)*(ROW($B$3:$B$3000)-ROW($B$2)),ROWS($AN$2:$AN523))),"")</f>
        <v/>
      </c>
      <c r="AN524" s="134" t="str" cm="1">
        <f t="array" ref="AN524">IF(ROWS($AN$2:$AN523)&lt;=$AN$2,INDEX($F$3:$F$3000,_xlfn.AGGREGATE(15,3,($B$3:$B$3000=$AM$2)/($B$3:$B$3000=$AM$2)*(ROW($B$3:$B$3000)-ROW($B$2)),ROWS($AN$2:$AN523))),"")</f>
        <v/>
      </c>
      <c r="AO524" s="135" t="str" cm="1">
        <f t="array" ref="AO524">IF(ROWS($AN$2:$AN523)&lt;=$AN$2,INDEX($G$3:$G$3000,_xlfn.AGGREGATE(15,3,($B$3:$B$3000=$AM$2)/($B$3:$B$3000=$AM$2)*(ROW($B$3:$B$3000)-ROW($B$2)),ROWS($AN$2:$AN523))),"")</f>
        <v/>
      </c>
      <c r="AP524" s="121"/>
      <c r="AT524" s="111"/>
      <c r="AW524" s="134"/>
      <c r="AX524" s="136"/>
      <c r="AY524" s="134"/>
    </row>
    <row r="525" spans="1:51" s="110" customFormat="1" ht="20" customHeight="1">
      <c r="A525" s="125" t="s">
        <v>185</v>
      </c>
      <c r="B525" s="126" t="s">
        <v>59</v>
      </c>
      <c r="C525" s="127">
        <v>12417</v>
      </c>
      <c r="D525" s="145">
        <v>104412</v>
      </c>
      <c r="E525" s="146" t="s">
        <v>2252</v>
      </c>
      <c r="F525" s="146" t="s">
        <v>2252</v>
      </c>
      <c r="G525" s="147">
        <v>900</v>
      </c>
      <c r="H525" s="147">
        <v>4</v>
      </c>
      <c r="I525" s="146" t="s">
        <v>209</v>
      </c>
      <c r="J525" s="146" t="s">
        <v>254</v>
      </c>
      <c r="K525" s="146" t="s">
        <v>255</v>
      </c>
      <c r="L525" s="147">
        <v>3</v>
      </c>
      <c r="M525" s="147">
        <v>1</v>
      </c>
      <c r="N525" s="146" t="s">
        <v>1544</v>
      </c>
      <c r="O525" s="147">
        <v>80</v>
      </c>
      <c r="P525" s="147">
        <v>4</v>
      </c>
      <c r="Q525" s="147">
        <v>17</v>
      </c>
      <c r="R525" s="146" t="s">
        <v>190</v>
      </c>
      <c r="S525" s="146" t="s">
        <v>191</v>
      </c>
      <c r="T525" s="147">
        <v>222</v>
      </c>
      <c r="U525" s="146" t="s">
        <v>256</v>
      </c>
      <c r="V525" s="146" t="s">
        <v>257</v>
      </c>
      <c r="W525" s="147">
        <v>1</v>
      </c>
      <c r="X525" s="147">
        <v>2</v>
      </c>
      <c r="Y525" s="146" t="s">
        <v>194</v>
      </c>
      <c r="Z525" s="146" t="s">
        <v>195</v>
      </c>
      <c r="AA525" s="146" t="s">
        <v>196</v>
      </c>
      <c r="AB525" s="146" t="s">
        <v>187</v>
      </c>
      <c r="AC525" s="146" t="s">
        <v>187</v>
      </c>
      <c r="AD525" s="148"/>
      <c r="AE525" s="146" t="s">
        <v>209</v>
      </c>
      <c r="AF525" s="147">
        <v>-3.1722600000000001</v>
      </c>
      <c r="AG525" s="149">
        <v>128.20554000000001</v>
      </c>
      <c r="AM525" s="133" t="str" cm="1">
        <f t="array" ref="AM525">IF(ROWS($AN$2:$AN524)&lt;=$AN$2,INDEX($V$3:$V$3000,_xlfn.AGGREGATE(15,3,($B$3:$B$3000=$AM$2)/($B$3:$B$3000=$AM$2)*(ROW($B$3:$B$3000)-ROW($B$2)),ROWS($AN$2:$AN524))),"")</f>
        <v/>
      </c>
      <c r="AN525" s="134" t="str" cm="1">
        <f t="array" ref="AN525">IF(ROWS($AN$2:$AN524)&lt;=$AN$2,INDEX($F$3:$F$3000,_xlfn.AGGREGATE(15,3,($B$3:$B$3000=$AM$2)/($B$3:$B$3000=$AM$2)*(ROW($B$3:$B$3000)-ROW($B$2)),ROWS($AN$2:$AN524))),"")</f>
        <v/>
      </c>
      <c r="AO525" s="135" t="str" cm="1">
        <f t="array" ref="AO525">IF(ROWS($AN$2:$AN524)&lt;=$AN$2,INDEX($G$3:$G$3000,_xlfn.AGGREGATE(15,3,($B$3:$B$3000=$AM$2)/($B$3:$B$3000=$AM$2)*(ROW($B$3:$B$3000)-ROW($B$2)),ROWS($AN$2:$AN524))),"")</f>
        <v/>
      </c>
      <c r="AP525" s="121"/>
      <c r="AT525" s="111"/>
      <c r="AW525" s="134"/>
      <c r="AX525" s="136"/>
      <c r="AY525" s="134"/>
    </row>
    <row r="526" spans="1:51" s="110" customFormat="1" ht="20" customHeight="1">
      <c r="A526" s="125" t="s">
        <v>185</v>
      </c>
      <c r="B526" s="126" t="s">
        <v>59</v>
      </c>
      <c r="C526" s="127">
        <v>11756</v>
      </c>
      <c r="D526" s="145">
        <v>102918</v>
      </c>
      <c r="E526" s="146" t="s">
        <v>1757</v>
      </c>
      <c r="F526" s="146" t="s">
        <v>1757</v>
      </c>
      <c r="G526" s="147">
        <v>300</v>
      </c>
      <c r="H526" s="147">
        <v>4</v>
      </c>
      <c r="I526" s="146" t="s">
        <v>209</v>
      </c>
      <c r="J526" s="146" t="s">
        <v>254</v>
      </c>
      <c r="K526" s="146" t="s">
        <v>255</v>
      </c>
      <c r="L526" s="147">
        <v>3</v>
      </c>
      <c r="M526" s="147">
        <v>1</v>
      </c>
      <c r="N526" s="146" t="s">
        <v>1544</v>
      </c>
      <c r="O526" s="147">
        <v>55</v>
      </c>
      <c r="P526" s="147">
        <v>4</v>
      </c>
      <c r="Q526" s="147">
        <v>17</v>
      </c>
      <c r="R526" s="146" t="s">
        <v>190</v>
      </c>
      <c r="S526" s="146" t="s">
        <v>191</v>
      </c>
      <c r="T526" s="147">
        <v>222</v>
      </c>
      <c r="U526" s="146" t="s">
        <v>256</v>
      </c>
      <c r="V526" s="146" t="s">
        <v>257</v>
      </c>
      <c r="W526" s="147">
        <v>1</v>
      </c>
      <c r="X526" s="147">
        <v>2</v>
      </c>
      <c r="Y526" s="146" t="s">
        <v>194</v>
      </c>
      <c r="Z526" s="146" t="s">
        <v>195</v>
      </c>
      <c r="AA526" s="146" t="s">
        <v>196</v>
      </c>
      <c r="AB526" s="146" t="s">
        <v>187</v>
      </c>
      <c r="AC526" s="146" t="s">
        <v>187</v>
      </c>
      <c r="AD526" s="148"/>
      <c r="AE526" s="146" t="s">
        <v>209</v>
      </c>
      <c r="AF526" s="147">
        <v>-8.0374630000000007</v>
      </c>
      <c r="AG526" s="149">
        <v>129.76093499999999</v>
      </c>
      <c r="AM526" s="133" t="str" cm="1">
        <f t="array" ref="AM526">IF(ROWS($AN$2:$AN525)&lt;=$AN$2,INDEX($V$3:$V$3000,_xlfn.AGGREGATE(15,3,($B$3:$B$3000=$AM$2)/($B$3:$B$3000=$AM$2)*(ROW($B$3:$B$3000)-ROW($B$2)),ROWS($AN$2:$AN525))),"")</f>
        <v/>
      </c>
      <c r="AN526" s="134" t="str" cm="1">
        <f t="array" ref="AN526">IF(ROWS($AN$2:$AN525)&lt;=$AN$2,INDEX($F$3:$F$3000,_xlfn.AGGREGATE(15,3,($B$3:$B$3000=$AM$2)/($B$3:$B$3000=$AM$2)*(ROW($B$3:$B$3000)-ROW($B$2)),ROWS($AN$2:$AN525))),"")</f>
        <v/>
      </c>
      <c r="AO526" s="135" t="str" cm="1">
        <f t="array" ref="AO526">IF(ROWS($AN$2:$AN525)&lt;=$AN$2,INDEX($G$3:$G$3000,_xlfn.AGGREGATE(15,3,($B$3:$B$3000=$AM$2)/($B$3:$B$3000=$AM$2)*(ROW($B$3:$B$3000)-ROW($B$2)),ROWS($AN$2:$AN525))),"")</f>
        <v/>
      </c>
      <c r="AP526" s="121"/>
      <c r="AT526" s="111"/>
      <c r="AW526" s="134"/>
      <c r="AX526" s="136"/>
      <c r="AY526" s="134"/>
    </row>
    <row r="527" spans="1:51" s="110" customFormat="1" ht="20" customHeight="1">
      <c r="A527" s="125" t="s">
        <v>185</v>
      </c>
      <c r="B527" s="126" t="s">
        <v>59</v>
      </c>
      <c r="C527" s="127">
        <v>14344</v>
      </c>
      <c r="D527" s="145">
        <v>107949</v>
      </c>
      <c r="E527" s="146" t="s">
        <v>1571</v>
      </c>
      <c r="F527" s="146" t="s">
        <v>1571</v>
      </c>
      <c r="G527" s="147">
        <v>90</v>
      </c>
      <c r="H527" s="147">
        <v>4</v>
      </c>
      <c r="I527" s="146" t="s">
        <v>209</v>
      </c>
      <c r="J527" s="146" t="s">
        <v>747</v>
      </c>
      <c r="K527" s="146" t="s">
        <v>746</v>
      </c>
      <c r="L527" s="147">
        <v>5</v>
      </c>
      <c r="M527" s="147">
        <v>1</v>
      </c>
      <c r="N527" s="146" t="s">
        <v>1544</v>
      </c>
      <c r="O527" s="147">
        <v>90</v>
      </c>
      <c r="P527" s="147">
        <v>4</v>
      </c>
      <c r="Q527" s="147">
        <v>17</v>
      </c>
      <c r="R527" s="146" t="s">
        <v>190</v>
      </c>
      <c r="S527" s="146" t="s">
        <v>191</v>
      </c>
      <c r="T527" s="147">
        <v>222</v>
      </c>
      <c r="U527" s="146" t="s">
        <v>256</v>
      </c>
      <c r="V527" s="146" t="s">
        <v>257</v>
      </c>
      <c r="W527" s="147">
        <v>1</v>
      </c>
      <c r="X527" s="147">
        <v>2</v>
      </c>
      <c r="Y527" s="146" t="s">
        <v>194</v>
      </c>
      <c r="Z527" s="146" t="s">
        <v>195</v>
      </c>
      <c r="AA527" s="146" t="s">
        <v>196</v>
      </c>
      <c r="AB527" s="146" t="s">
        <v>187</v>
      </c>
      <c r="AC527" s="146" t="s">
        <v>187</v>
      </c>
      <c r="AD527" s="148"/>
      <c r="AE527" s="146" t="s">
        <v>209</v>
      </c>
      <c r="AF527" s="147">
        <v>-3.2565400000000002</v>
      </c>
      <c r="AG527" s="149">
        <v>128.77716000000001</v>
      </c>
      <c r="AM527" s="133" t="str" cm="1">
        <f t="array" ref="AM527">IF(ROWS($AN$2:$AN526)&lt;=$AN$2,INDEX($V$3:$V$3000,_xlfn.AGGREGATE(15,3,($B$3:$B$3000=$AM$2)/($B$3:$B$3000=$AM$2)*(ROW($B$3:$B$3000)-ROW($B$2)),ROWS($AN$2:$AN526))),"")</f>
        <v/>
      </c>
      <c r="AN527" s="134" t="str" cm="1">
        <f t="array" ref="AN527">IF(ROWS($AN$2:$AN526)&lt;=$AN$2,INDEX($F$3:$F$3000,_xlfn.AGGREGATE(15,3,($B$3:$B$3000=$AM$2)/($B$3:$B$3000=$AM$2)*(ROW($B$3:$B$3000)-ROW($B$2)),ROWS($AN$2:$AN526))),"")</f>
        <v/>
      </c>
      <c r="AO527" s="135" t="str" cm="1">
        <f t="array" ref="AO527">IF(ROWS($AN$2:$AN526)&lt;=$AN$2,INDEX($G$3:$G$3000,_xlfn.AGGREGATE(15,3,($B$3:$B$3000=$AM$2)/($B$3:$B$3000=$AM$2)*(ROW($B$3:$B$3000)-ROW($B$2)),ROWS($AN$2:$AN526))),"")</f>
        <v/>
      </c>
      <c r="AP527" s="121"/>
      <c r="AT527" s="111"/>
      <c r="AW527" s="134"/>
      <c r="AX527" s="136"/>
      <c r="AY527" s="134"/>
    </row>
    <row r="528" spans="1:51" s="110" customFormat="1" ht="20" customHeight="1">
      <c r="A528" s="125" t="s">
        <v>185</v>
      </c>
      <c r="B528" s="126" t="s">
        <v>59</v>
      </c>
      <c r="C528" s="127">
        <v>14659</v>
      </c>
      <c r="D528" s="145">
        <v>108544</v>
      </c>
      <c r="E528" s="146" t="s">
        <v>1572</v>
      </c>
      <c r="F528" s="146" t="s">
        <v>1573</v>
      </c>
      <c r="G528" s="147">
        <v>90</v>
      </c>
      <c r="H528" s="147">
        <v>4</v>
      </c>
      <c r="I528" s="146" t="s">
        <v>209</v>
      </c>
      <c r="J528" s="146" t="s">
        <v>1574</v>
      </c>
      <c r="K528" s="146" t="s">
        <v>1575</v>
      </c>
      <c r="L528" s="147">
        <v>1</v>
      </c>
      <c r="M528" s="147">
        <v>1</v>
      </c>
      <c r="N528" s="146" t="s">
        <v>1544</v>
      </c>
      <c r="O528" s="147">
        <v>55</v>
      </c>
      <c r="P528" s="147">
        <v>10</v>
      </c>
      <c r="Q528" s="147">
        <v>17</v>
      </c>
      <c r="R528" s="146" t="s">
        <v>190</v>
      </c>
      <c r="S528" s="146" t="s">
        <v>191</v>
      </c>
      <c r="T528" s="147">
        <v>222</v>
      </c>
      <c r="U528" s="146" t="s">
        <v>256</v>
      </c>
      <c r="V528" s="146" t="s">
        <v>257</v>
      </c>
      <c r="W528" s="147">
        <v>1</v>
      </c>
      <c r="X528" s="147">
        <v>2</v>
      </c>
      <c r="Y528" s="146" t="s">
        <v>194</v>
      </c>
      <c r="Z528" s="146" t="s">
        <v>195</v>
      </c>
      <c r="AA528" s="146" t="s">
        <v>196</v>
      </c>
      <c r="AB528" s="146" t="s">
        <v>187</v>
      </c>
      <c r="AC528" s="146" t="s">
        <v>187</v>
      </c>
      <c r="AD528" s="148"/>
      <c r="AE528" s="146" t="s">
        <v>209</v>
      </c>
      <c r="AF528" s="147">
        <v>-3.14472</v>
      </c>
      <c r="AG528" s="149">
        <v>130.53129000000001</v>
      </c>
      <c r="AM528" s="133" t="str" cm="1">
        <f t="array" ref="AM528">IF(ROWS($AN$2:$AN527)&lt;=$AN$2,INDEX($V$3:$V$3000,_xlfn.AGGREGATE(15,3,($B$3:$B$3000=$AM$2)/($B$3:$B$3000=$AM$2)*(ROW($B$3:$B$3000)-ROW($B$2)),ROWS($AN$2:$AN527))),"")</f>
        <v/>
      </c>
      <c r="AN528" s="134" t="str" cm="1">
        <f t="array" ref="AN528">IF(ROWS($AN$2:$AN527)&lt;=$AN$2,INDEX($F$3:$F$3000,_xlfn.AGGREGATE(15,3,($B$3:$B$3000=$AM$2)/($B$3:$B$3000=$AM$2)*(ROW($B$3:$B$3000)-ROW($B$2)),ROWS($AN$2:$AN527))),"")</f>
        <v/>
      </c>
      <c r="AO528" s="135" t="str" cm="1">
        <f t="array" ref="AO528">IF(ROWS($AN$2:$AN527)&lt;=$AN$2,INDEX($G$3:$G$3000,_xlfn.AGGREGATE(15,3,($B$3:$B$3000=$AM$2)/($B$3:$B$3000=$AM$2)*(ROW($B$3:$B$3000)-ROW($B$2)),ROWS($AN$2:$AN527))),"")</f>
        <v/>
      </c>
      <c r="AP528" s="121"/>
      <c r="AT528" s="111"/>
      <c r="AW528" s="134"/>
      <c r="AX528" s="136"/>
      <c r="AY528" s="134"/>
    </row>
    <row r="529" spans="1:51" s="110" customFormat="1" ht="20" customHeight="1">
      <c r="A529" s="125" t="s">
        <v>185</v>
      </c>
      <c r="B529" s="126" t="s">
        <v>59</v>
      </c>
      <c r="C529" s="127">
        <v>10284</v>
      </c>
      <c r="D529" s="128">
        <v>100274</v>
      </c>
      <c r="E529" s="129" t="s">
        <v>4799</v>
      </c>
      <c r="F529" s="129" t="s">
        <v>4799</v>
      </c>
      <c r="G529" s="130">
        <v>322000</v>
      </c>
      <c r="H529" s="130">
        <v>5</v>
      </c>
      <c r="I529" s="129" t="s">
        <v>209</v>
      </c>
      <c r="J529" s="129" t="s">
        <v>254</v>
      </c>
      <c r="K529" s="129" t="s">
        <v>255</v>
      </c>
      <c r="L529" s="130">
        <v>3</v>
      </c>
      <c r="M529" s="130">
        <v>1</v>
      </c>
      <c r="N529" s="129" t="s">
        <v>1544</v>
      </c>
      <c r="O529" s="130">
        <v>70</v>
      </c>
      <c r="P529" s="130">
        <v>40</v>
      </c>
      <c r="Q529" s="130">
        <v>17</v>
      </c>
      <c r="R529" s="129" t="s">
        <v>190</v>
      </c>
      <c r="S529" s="129" t="s">
        <v>191</v>
      </c>
      <c r="T529" s="130">
        <v>222</v>
      </c>
      <c r="U529" s="129" t="s">
        <v>256</v>
      </c>
      <c r="V529" s="129" t="s">
        <v>257</v>
      </c>
      <c r="W529" s="130">
        <v>2</v>
      </c>
      <c r="X529" s="130">
        <v>2</v>
      </c>
      <c r="Y529" s="129" t="s">
        <v>194</v>
      </c>
      <c r="Z529" s="129" t="s">
        <v>195</v>
      </c>
      <c r="AA529" s="129" t="s">
        <v>196</v>
      </c>
      <c r="AB529" s="129" t="s">
        <v>187</v>
      </c>
      <c r="AC529" s="129" t="s">
        <v>187</v>
      </c>
      <c r="AD529" s="131"/>
      <c r="AE529" s="129" t="s">
        <v>209</v>
      </c>
      <c r="AF529" s="130">
        <v>-3.6559919136958601</v>
      </c>
      <c r="AG529" s="132">
        <v>128.219883391905</v>
      </c>
      <c r="AM529" s="133" t="str" cm="1">
        <f t="array" ref="AM529">IF(ROWS($AN$2:$AN528)&lt;=$AN$2,INDEX($V$3:$V$3000,_xlfn.AGGREGATE(15,3,($B$3:$B$3000=$AM$2)/($B$3:$B$3000=$AM$2)*(ROW($B$3:$B$3000)-ROW($B$2)),ROWS($AN$2:$AN528))),"")</f>
        <v/>
      </c>
      <c r="AN529" s="134" t="str" cm="1">
        <f t="array" ref="AN529">IF(ROWS($AN$2:$AN528)&lt;=$AN$2,INDEX($F$3:$F$3000,_xlfn.AGGREGATE(15,3,($B$3:$B$3000=$AM$2)/($B$3:$B$3000=$AM$2)*(ROW($B$3:$B$3000)-ROW($B$2)),ROWS($AN$2:$AN528))),"")</f>
        <v/>
      </c>
      <c r="AO529" s="135" t="str" cm="1">
        <f t="array" ref="AO529">IF(ROWS($AN$2:$AN528)&lt;=$AN$2,INDEX($G$3:$G$3000,_xlfn.AGGREGATE(15,3,($B$3:$B$3000=$AM$2)/($B$3:$B$3000=$AM$2)*(ROW($B$3:$B$3000)-ROW($B$2)),ROWS($AN$2:$AN528))),"")</f>
        <v/>
      </c>
      <c r="AP529" s="121"/>
      <c r="AT529" s="111"/>
      <c r="AW529" s="134"/>
      <c r="AX529" s="136"/>
      <c r="AY529" s="134"/>
    </row>
    <row r="530" spans="1:51" s="110" customFormat="1" ht="20" customHeight="1">
      <c r="A530" s="125" t="s">
        <v>185</v>
      </c>
      <c r="B530" s="126" t="s">
        <v>59</v>
      </c>
      <c r="C530" s="127">
        <v>10257</v>
      </c>
      <c r="D530" s="128">
        <v>100237</v>
      </c>
      <c r="E530" s="129" t="s">
        <v>4104</v>
      </c>
      <c r="F530" s="129" t="s">
        <v>4105</v>
      </c>
      <c r="G530" s="130">
        <v>23000</v>
      </c>
      <c r="H530" s="130">
        <v>5</v>
      </c>
      <c r="I530" s="129" t="s">
        <v>209</v>
      </c>
      <c r="J530" s="129" t="s">
        <v>4106</v>
      </c>
      <c r="K530" s="129" t="s">
        <v>4104</v>
      </c>
      <c r="L530" s="130">
        <v>4</v>
      </c>
      <c r="M530" s="130">
        <v>1</v>
      </c>
      <c r="N530" s="129" t="s">
        <v>1544</v>
      </c>
      <c r="O530" s="130">
        <v>80</v>
      </c>
      <c r="P530" s="130">
        <v>12</v>
      </c>
      <c r="Q530" s="130">
        <v>17</v>
      </c>
      <c r="R530" s="129" t="s">
        <v>190</v>
      </c>
      <c r="S530" s="129" t="s">
        <v>191</v>
      </c>
      <c r="T530" s="130">
        <v>222</v>
      </c>
      <c r="U530" s="129" t="s">
        <v>256</v>
      </c>
      <c r="V530" s="129" t="s">
        <v>257</v>
      </c>
      <c r="W530" s="130">
        <v>1</v>
      </c>
      <c r="X530" s="130">
        <v>2</v>
      </c>
      <c r="Y530" s="129" t="s">
        <v>194</v>
      </c>
      <c r="Z530" s="129" t="s">
        <v>195</v>
      </c>
      <c r="AA530" s="129" t="s">
        <v>196</v>
      </c>
      <c r="AB530" s="129" t="s">
        <v>187</v>
      </c>
      <c r="AC530" s="129" t="s">
        <v>187</v>
      </c>
      <c r="AD530" s="131"/>
      <c r="AE530" s="129" t="s">
        <v>209</v>
      </c>
      <c r="AF530" s="130">
        <v>-3.0713300000000001</v>
      </c>
      <c r="AG530" s="132">
        <v>128.40122</v>
      </c>
      <c r="AM530" s="133" t="str" cm="1">
        <f t="array" ref="AM530">IF(ROWS($AN$2:$AN529)&lt;=$AN$2,INDEX($V$3:$V$3000,_xlfn.AGGREGATE(15,3,($B$3:$B$3000=$AM$2)/($B$3:$B$3000=$AM$2)*(ROW($B$3:$B$3000)-ROW($B$2)),ROWS($AN$2:$AN529))),"")</f>
        <v/>
      </c>
      <c r="AN530" s="134" t="str" cm="1">
        <f t="array" ref="AN530">IF(ROWS($AN$2:$AN529)&lt;=$AN$2,INDEX($F$3:$F$3000,_xlfn.AGGREGATE(15,3,($B$3:$B$3000=$AM$2)/($B$3:$B$3000=$AM$2)*(ROW($B$3:$B$3000)-ROW($B$2)),ROWS($AN$2:$AN529))),"")</f>
        <v/>
      </c>
      <c r="AO530" s="135" t="str" cm="1">
        <f t="array" ref="AO530">IF(ROWS($AN$2:$AN529)&lt;=$AN$2,INDEX($G$3:$G$3000,_xlfn.AGGREGATE(15,3,($B$3:$B$3000=$AM$2)/($B$3:$B$3000=$AM$2)*(ROW($B$3:$B$3000)-ROW($B$2)),ROWS($AN$2:$AN529))),"")</f>
        <v/>
      </c>
      <c r="AP530" s="121"/>
      <c r="AT530" s="111"/>
      <c r="AW530" s="134"/>
      <c r="AX530" s="136"/>
      <c r="AY530" s="134"/>
    </row>
    <row r="531" spans="1:51" s="110" customFormat="1" ht="20" customHeight="1">
      <c r="A531" s="125" t="s">
        <v>185</v>
      </c>
      <c r="B531" s="126" t="s">
        <v>59</v>
      </c>
      <c r="C531" s="127">
        <v>14755</v>
      </c>
      <c r="D531" s="128">
        <v>108695</v>
      </c>
      <c r="E531" s="129" t="s">
        <v>3921</v>
      </c>
      <c r="F531" s="129" t="s">
        <v>3921</v>
      </c>
      <c r="G531" s="130">
        <v>16000</v>
      </c>
      <c r="H531" s="130">
        <v>5</v>
      </c>
      <c r="I531" s="129" t="s">
        <v>209</v>
      </c>
      <c r="J531" s="129" t="s">
        <v>3922</v>
      </c>
      <c r="K531" s="129" t="s">
        <v>3921</v>
      </c>
      <c r="L531" s="130">
        <v>0</v>
      </c>
      <c r="M531" s="130">
        <v>1</v>
      </c>
      <c r="N531" s="129" t="s">
        <v>1544</v>
      </c>
      <c r="O531" s="130">
        <v>70</v>
      </c>
      <c r="P531" s="130">
        <v>15</v>
      </c>
      <c r="Q531" s="130">
        <v>17</v>
      </c>
      <c r="R531" s="129" t="s">
        <v>190</v>
      </c>
      <c r="S531" s="129" t="s">
        <v>191</v>
      </c>
      <c r="T531" s="130">
        <v>222</v>
      </c>
      <c r="U531" s="129" t="s">
        <v>256</v>
      </c>
      <c r="V531" s="129" t="s">
        <v>257</v>
      </c>
      <c r="W531" s="130">
        <v>1</v>
      </c>
      <c r="X531" s="130">
        <v>2</v>
      </c>
      <c r="Y531" s="129" t="s">
        <v>194</v>
      </c>
      <c r="Z531" s="129" t="s">
        <v>195</v>
      </c>
      <c r="AA531" s="129" t="s">
        <v>196</v>
      </c>
      <c r="AB531" s="129" t="s">
        <v>187</v>
      </c>
      <c r="AC531" s="129" t="s">
        <v>187</v>
      </c>
      <c r="AD531" s="131"/>
      <c r="AE531" s="129" t="s">
        <v>209</v>
      </c>
      <c r="AF531" s="130">
        <v>-3.5610339999999998</v>
      </c>
      <c r="AG531" s="132">
        <v>128.642202</v>
      </c>
      <c r="AM531" s="133" t="str" cm="1">
        <f t="array" ref="AM531">IF(ROWS($AN$2:$AN530)&lt;=$AN$2,INDEX($V$3:$V$3000,_xlfn.AGGREGATE(15,3,($B$3:$B$3000=$AM$2)/($B$3:$B$3000=$AM$2)*(ROW($B$3:$B$3000)-ROW($B$2)),ROWS($AN$2:$AN530))),"")</f>
        <v/>
      </c>
      <c r="AN531" s="134" t="str" cm="1">
        <f t="array" ref="AN531">IF(ROWS($AN$2:$AN530)&lt;=$AN$2,INDEX($F$3:$F$3000,_xlfn.AGGREGATE(15,3,($B$3:$B$3000=$AM$2)/($B$3:$B$3000=$AM$2)*(ROW($B$3:$B$3000)-ROW($B$2)),ROWS($AN$2:$AN530))),"")</f>
        <v/>
      </c>
      <c r="AO531" s="135" t="str" cm="1">
        <f t="array" ref="AO531">IF(ROWS($AN$2:$AN530)&lt;=$AN$2,INDEX($G$3:$G$3000,_xlfn.AGGREGATE(15,3,($B$3:$B$3000=$AM$2)/($B$3:$B$3000=$AM$2)*(ROW($B$3:$B$3000)-ROW($B$2)),ROWS($AN$2:$AN530))),"")</f>
        <v/>
      </c>
      <c r="AP531" s="121"/>
      <c r="AT531" s="111"/>
      <c r="AW531" s="134"/>
      <c r="AX531" s="136"/>
      <c r="AY531" s="134"/>
    </row>
    <row r="532" spans="1:51" s="110" customFormat="1" ht="20" customHeight="1">
      <c r="A532" s="125" t="s">
        <v>185</v>
      </c>
      <c r="B532" s="126" t="s">
        <v>59</v>
      </c>
      <c r="C532" s="127">
        <v>15521</v>
      </c>
      <c r="D532" s="145">
        <v>110114</v>
      </c>
      <c r="E532" s="146" t="s">
        <v>4312</v>
      </c>
      <c r="F532" s="146" t="s">
        <v>4312</v>
      </c>
      <c r="G532" s="147">
        <v>36000</v>
      </c>
      <c r="H532" s="147">
        <v>4</v>
      </c>
      <c r="I532" s="146" t="s">
        <v>209</v>
      </c>
      <c r="J532" s="146" t="s">
        <v>4313</v>
      </c>
      <c r="K532" s="146" t="s">
        <v>4312</v>
      </c>
      <c r="L532" s="147">
        <v>5</v>
      </c>
      <c r="M532" s="147">
        <v>1</v>
      </c>
      <c r="N532" s="146" t="s">
        <v>1544</v>
      </c>
      <c r="O532" s="147">
        <v>51</v>
      </c>
      <c r="P532" s="147">
        <v>5</v>
      </c>
      <c r="Q532" s="147">
        <v>17</v>
      </c>
      <c r="R532" s="146" t="s">
        <v>190</v>
      </c>
      <c r="S532" s="146" t="s">
        <v>191</v>
      </c>
      <c r="T532" s="147">
        <v>223</v>
      </c>
      <c r="U532" s="146" t="s">
        <v>557</v>
      </c>
      <c r="V532" s="146" t="s">
        <v>558</v>
      </c>
      <c r="W532" s="147">
        <v>1</v>
      </c>
      <c r="X532" s="147">
        <v>2</v>
      </c>
      <c r="Y532" s="146" t="s">
        <v>194</v>
      </c>
      <c r="Z532" s="146" t="s">
        <v>195</v>
      </c>
      <c r="AA532" s="146" t="s">
        <v>196</v>
      </c>
      <c r="AB532" s="146" t="s">
        <v>187</v>
      </c>
      <c r="AC532" s="146" t="s">
        <v>187</v>
      </c>
      <c r="AD532" s="148"/>
      <c r="AE532" s="146" t="s">
        <v>209</v>
      </c>
      <c r="AF532" s="147">
        <v>1.48051</v>
      </c>
      <c r="AG532" s="149">
        <v>128.51026999999999</v>
      </c>
      <c r="AM532" s="133" t="str" cm="1">
        <f t="array" ref="AM532">IF(ROWS($AN$2:$AN531)&lt;=$AN$2,INDEX($V$3:$V$3000,_xlfn.AGGREGATE(15,3,($B$3:$B$3000=$AM$2)/($B$3:$B$3000=$AM$2)*(ROW($B$3:$B$3000)-ROW($B$2)),ROWS($AN$2:$AN531))),"")</f>
        <v/>
      </c>
      <c r="AN532" s="134" t="str" cm="1">
        <f t="array" ref="AN532">IF(ROWS($AN$2:$AN531)&lt;=$AN$2,INDEX($F$3:$F$3000,_xlfn.AGGREGATE(15,3,($B$3:$B$3000=$AM$2)/($B$3:$B$3000=$AM$2)*(ROW($B$3:$B$3000)-ROW($B$2)),ROWS($AN$2:$AN531))),"")</f>
        <v/>
      </c>
      <c r="AO532" s="135" t="str" cm="1">
        <f t="array" ref="AO532">IF(ROWS($AN$2:$AN531)&lt;=$AN$2,INDEX($G$3:$G$3000,_xlfn.AGGREGATE(15,3,($B$3:$B$3000=$AM$2)/($B$3:$B$3000=$AM$2)*(ROW($B$3:$B$3000)-ROW($B$2)),ROWS($AN$2:$AN531))),"")</f>
        <v/>
      </c>
      <c r="AP532" s="121"/>
      <c r="AT532" s="111"/>
      <c r="AW532" s="134"/>
      <c r="AX532" s="136"/>
      <c r="AY532" s="134"/>
    </row>
    <row r="533" spans="1:51" s="110" customFormat="1" ht="20" customHeight="1">
      <c r="A533" s="125" t="s">
        <v>185</v>
      </c>
      <c r="B533" s="126" t="s">
        <v>59</v>
      </c>
      <c r="C533" s="127">
        <v>13094</v>
      </c>
      <c r="D533" s="145">
        <v>105836</v>
      </c>
      <c r="E533" s="146" t="s">
        <v>4109</v>
      </c>
      <c r="F533" s="146" t="s">
        <v>4109</v>
      </c>
      <c r="G533" s="147">
        <v>23000</v>
      </c>
      <c r="H533" s="147">
        <v>4</v>
      </c>
      <c r="I533" s="146" t="s">
        <v>209</v>
      </c>
      <c r="J533" s="146" t="s">
        <v>4110</v>
      </c>
      <c r="K533" s="146" t="s">
        <v>2903</v>
      </c>
      <c r="L533" s="147">
        <v>3</v>
      </c>
      <c r="M533" s="147">
        <v>1</v>
      </c>
      <c r="N533" s="146" t="s">
        <v>1544</v>
      </c>
      <c r="O533" s="147">
        <v>65</v>
      </c>
      <c r="P533" s="147">
        <v>4</v>
      </c>
      <c r="Q533" s="147">
        <v>17</v>
      </c>
      <c r="R533" s="146" t="s">
        <v>190</v>
      </c>
      <c r="S533" s="146" t="s">
        <v>191</v>
      </c>
      <c r="T533" s="147">
        <v>223</v>
      </c>
      <c r="U533" s="146" t="s">
        <v>557</v>
      </c>
      <c r="V533" s="146" t="s">
        <v>558</v>
      </c>
      <c r="W533" s="147">
        <v>1</v>
      </c>
      <c r="X533" s="147">
        <v>2</v>
      </c>
      <c r="Y533" s="146" t="s">
        <v>194</v>
      </c>
      <c r="Z533" s="146" t="s">
        <v>195</v>
      </c>
      <c r="AA533" s="146" t="s">
        <v>196</v>
      </c>
      <c r="AB533" s="146" t="s">
        <v>187</v>
      </c>
      <c r="AC533" s="146" t="s">
        <v>187</v>
      </c>
      <c r="AD533" s="148"/>
      <c r="AE533" s="146" t="s">
        <v>209</v>
      </c>
      <c r="AF533" s="147">
        <v>1.9573499999999999</v>
      </c>
      <c r="AG533" s="149">
        <v>127.76102</v>
      </c>
      <c r="AM533" s="133" t="str" cm="1">
        <f t="array" ref="AM533">IF(ROWS($AN$2:$AN532)&lt;=$AN$2,INDEX($V$3:$V$3000,_xlfn.AGGREGATE(15,3,($B$3:$B$3000=$AM$2)/($B$3:$B$3000=$AM$2)*(ROW($B$3:$B$3000)-ROW($B$2)),ROWS($AN$2:$AN532))),"")</f>
        <v/>
      </c>
      <c r="AN533" s="134" t="str" cm="1">
        <f t="array" ref="AN533">IF(ROWS($AN$2:$AN532)&lt;=$AN$2,INDEX($F$3:$F$3000,_xlfn.AGGREGATE(15,3,($B$3:$B$3000=$AM$2)/($B$3:$B$3000=$AM$2)*(ROW($B$3:$B$3000)-ROW($B$2)),ROWS($AN$2:$AN532))),"")</f>
        <v/>
      </c>
      <c r="AO533" s="135" t="str" cm="1">
        <f t="array" ref="AO533">IF(ROWS($AN$2:$AN532)&lt;=$AN$2,INDEX($G$3:$G$3000,_xlfn.AGGREGATE(15,3,($B$3:$B$3000=$AM$2)/($B$3:$B$3000=$AM$2)*(ROW($B$3:$B$3000)-ROW($B$2)),ROWS($AN$2:$AN532))),"")</f>
        <v/>
      </c>
      <c r="AP533" s="121"/>
      <c r="AT533" s="111"/>
      <c r="AW533" s="134"/>
      <c r="AX533" s="136"/>
      <c r="AY533" s="134"/>
    </row>
    <row r="534" spans="1:51" s="110" customFormat="1" ht="20" customHeight="1">
      <c r="A534" s="125" t="s">
        <v>185</v>
      </c>
      <c r="B534" s="126" t="s">
        <v>59</v>
      </c>
      <c r="C534" s="127">
        <v>15157</v>
      </c>
      <c r="D534" s="145">
        <v>109670</v>
      </c>
      <c r="E534" s="146" t="s">
        <v>4080</v>
      </c>
      <c r="F534" s="146" t="s">
        <v>4080</v>
      </c>
      <c r="G534" s="147">
        <v>22000</v>
      </c>
      <c r="H534" s="147">
        <v>4</v>
      </c>
      <c r="I534" s="146" t="s">
        <v>209</v>
      </c>
      <c r="J534" s="146" t="s">
        <v>4081</v>
      </c>
      <c r="K534" s="146" t="s">
        <v>4080</v>
      </c>
      <c r="L534" s="147">
        <v>4</v>
      </c>
      <c r="M534" s="147">
        <v>1</v>
      </c>
      <c r="N534" s="146" t="s">
        <v>1544</v>
      </c>
      <c r="O534" s="147">
        <v>70</v>
      </c>
      <c r="P534" s="147">
        <v>5</v>
      </c>
      <c r="Q534" s="147">
        <v>17</v>
      </c>
      <c r="R534" s="146" t="s">
        <v>190</v>
      </c>
      <c r="S534" s="146" t="s">
        <v>191</v>
      </c>
      <c r="T534" s="147">
        <v>223</v>
      </c>
      <c r="U534" s="146" t="s">
        <v>557</v>
      </c>
      <c r="V534" s="146" t="s">
        <v>558</v>
      </c>
      <c r="W534" s="147">
        <v>1</v>
      </c>
      <c r="X534" s="147">
        <v>2</v>
      </c>
      <c r="Y534" s="146" t="s">
        <v>194</v>
      </c>
      <c r="Z534" s="146" t="s">
        <v>195</v>
      </c>
      <c r="AA534" s="146" t="s">
        <v>196</v>
      </c>
      <c r="AB534" s="146" t="s">
        <v>187</v>
      </c>
      <c r="AC534" s="146" t="s">
        <v>187</v>
      </c>
      <c r="AD534" s="148"/>
      <c r="AE534" s="146" t="s">
        <v>209</v>
      </c>
      <c r="AF534" s="147">
        <v>1.42117</v>
      </c>
      <c r="AG534" s="149">
        <v>127.58967</v>
      </c>
      <c r="AM534" s="133" t="str" cm="1">
        <f t="array" ref="AM534">IF(ROWS($AN$2:$AN533)&lt;=$AN$2,INDEX($V$3:$V$3000,_xlfn.AGGREGATE(15,3,($B$3:$B$3000=$AM$2)/($B$3:$B$3000=$AM$2)*(ROW($B$3:$B$3000)-ROW($B$2)),ROWS($AN$2:$AN533))),"")</f>
        <v/>
      </c>
      <c r="AN534" s="134" t="str" cm="1">
        <f t="array" ref="AN534">IF(ROWS($AN$2:$AN533)&lt;=$AN$2,INDEX($F$3:$F$3000,_xlfn.AGGREGATE(15,3,($B$3:$B$3000=$AM$2)/($B$3:$B$3000=$AM$2)*(ROW($B$3:$B$3000)-ROW($B$2)),ROWS($AN$2:$AN533))),"")</f>
        <v/>
      </c>
      <c r="AO534" s="135" t="str" cm="1">
        <f t="array" ref="AO534">IF(ROWS($AN$2:$AN533)&lt;=$AN$2,INDEX($G$3:$G$3000,_xlfn.AGGREGATE(15,3,($B$3:$B$3000=$AM$2)/($B$3:$B$3000=$AM$2)*(ROW($B$3:$B$3000)-ROW($B$2)),ROWS($AN$2:$AN533))),"")</f>
        <v/>
      </c>
      <c r="AP534" s="121"/>
      <c r="AT534" s="111"/>
      <c r="AW534" s="134"/>
      <c r="AX534" s="136"/>
      <c r="AY534" s="134"/>
    </row>
    <row r="535" spans="1:51" s="110" customFormat="1" ht="20" customHeight="1">
      <c r="A535" s="125" t="s">
        <v>185</v>
      </c>
      <c r="B535" s="126" t="s">
        <v>59</v>
      </c>
      <c r="C535" s="127">
        <v>14642</v>
      </c>
      <c r="D535" s="145">
        <v>108520</v>
      </c>
      <c r="E535" s="146" t="s">
        <v>3751</v>
      </c>
      <c r="F535" s="146" t="s">
        <v>3752</v>
      </c>
      <c r="G535" s="147">
        <v>12000</v>
      </c>
      <c r="H535" s="147">
        <v>4</v>
      </c>
      <c r="I535" s="146" t="s">
        <v>209</v>
      </c>
      <c r="J535" s="146" t="s">
        <v>3753</v>
      </c>
      <c r="K535" s="146" t="s">
        <v>3751</v>
      </c>
      <c r="L535" s="147">
        <v>4</v>
      </c>
      <c r="M535" s="147">
        <v>1</v>
      </c>
      <c r="N535" s="146" t="s">
        <v>1544</v>
      </c>
      <c r="O535" s="147">
        <v>65</v>
      </c>
      <c r="P535" s="147">
        <v>5</v>
      </c>
      <c r="Q535" s="147">
        <v>17</v>
      </c>
      <c r="R535" s="146" t="s">
        <v>190</v>
      </c>
      <c r="S535" s="146" t="s">
        <v>191</v>
      </c>
      <c r="T535" s="147">
        <v>223</v>
      </c>
      <c r="U535" s="146" t="s">
        <v>557</v>
      </c>
      <c r="V535" s="146" t="s">
        <v>558</v>
      </c>
      <c r="W535" s="147">
        <v>1</v>
      </c>
      <c r="X535" s="147">
        <v>2</v>
      </c>
      <c r="Y535" s="146" t="s">
        <v>194</v>
      </c>
      <c r="Z535" s="146" t="s">
        <v>195</v>
      </c>
      <c r="AA535" s="146" t="s">
        <v>196</v>
      </c>
      <c r="AB535" s="146" t="s">
        <v>187</v>
      </c>
      <c r="AC535" s="146" t="s">
        <v>187</v>
      </c>
      <c r="AD535" s="148"/>
      <c r="AE535" s="146" t="s">
        <v>209</v>
      </c>
      <c r="AF535" s="147">
        <v>1.0857399999999999</v>
      </c>
      <c r="AG535" s="149">
        <v>127.48166000000001</v>
      </c>
      <c r="AM535" s="133" t="str" cm="1">
        <f t="array" ref="AM535">IF(ROWS($AN$2:$AN534)&lt;=$AN$2,INDEX($V$3:$V$3000,_xlfn.AGGREGATE(15,3,($B$3:$B$3000=$AM$2)/($B$3:$B$3000=$AM$2)*(ROW($B$3:$B$3000)-ROW($B$2)),ROWS($AN$2:$AN534))),"")</f>
        <v/>
      </c>
      <c r="AN535" s="134" t="str" cm="1">
        <f t="array" ref="AN535">IF(ROWS($AN$2:$AN534)&lt;=$AN$2,INDEX($F$3:$F$3000,_xlfn.AGGREGATE(15,3,($B$3:$B$3000=$AM$2)/($B$3:$B$3000=$AM$2)*(ROW($B$3:$B$3000)-ROW($B$2)),ROWS($AN$2:$AN534))),"")</f>
        <v/>
      </c>
      <c r="AO535" s="135" t="str" cm="1">
        <f t="array" ref="AO535">IF(ROWS($AN$2:$AN534)&lt;=$AN$2,INDEX($G$3:$G$3000,_xlfn.AGGREGATE(15,3,($B$3:$B$3000=$AM$2)/($B$3:$B$3000=$AM$2)*(ROW($B$3:$B$3000)-ROW($B$2)),ROWS($AN$2:$AN534))),"")</f>
        <v/>
      </c>
      <c r="AP535" s="121"/>
      <c r="AT535" s="111"/>
      <c r="AW535" s="134"/>
      <c r="AX535" s="136"/>
      <c r="AY535" s="134"/>
    </row>
    <row r="536" spans="1:51" s="110" customFormat="1" ht="20" customHeight="1">
      <c r="A536" s="125" t="s">
        <v>185</v>
      </c>
      <c r="B536" s="126" t="s">
        <v>59</v>
      </c>
      <c r="C536" s="127">
        <v>15215</v>
      </c>
      <c r="D536" s="145">
        <v>109757</v>
      </c>
      <c r="E536" s="146" t="s">
        <v>3562</v>
      </c>
      <c r="F536" s="146" t="s">
        <v>3562</v>
      </c>
      <c r="G536" s="147">
        <v>9100</v>
      </c>
      <c r="H536" s="147">
        <v>4</v>
      </c>
      <c r="I536" s="146" t="s">
        <v>209</v>
      </c>
      <c r="J536" s="146" t="s">
        <v>3563</v>
      </c>
      <c r="K536" s="146" t="s">
        <v>3564</v>
      </c>
      <c r="L536" s="147">
        <v>1</v>
      </c>
      <c r="M536" s="147">
        <v>1</v>
      </c>
      <c r="N536" s="146" t="s">
        <v>1544</v>
      </c>
      <c r="O536" s="147">
        <v>62</v>
      </c>
      <c r="P536" s="147">
        <v>7.5</v>
      </c>
      <c r="Q536" s="147">
        <v>17</v>
      </c>
      <c r="R536" s="146" t="s">
        <v>190</v>
      </c>
      <c r="S536" s="146" t="s">
        <v>191</v>
      </c>
      <c r="T536" s="147">
        <v>223</v>
      </c>
      <c r="U536" s="146" t="s">
        <v>557</v>
      </c>
      <c r="V536" s="146" t="s">
        <v>558</v>
      </c>
      <c r="W536" s="147">
        <v>1</v>
      </c>
      <c r="X536" s="147">
        <v>2</v>
      </c>
      <c r="Y536" s="146" t="s">
        <v>194</v>
      </c>
      <c r="Z536" s="146" t="s">
        <v>195</v>
      </c>
      <c r="AA536" s="146" t="s">
        <v>196</v>
      </c>
      <c r="AB536" s="146" t="s">
        <v>187</v>
      </c>
      <c r="AC536" s="146" t="s">
        <v>187</v>
      </c>
      <c r="AD536" s="148"/>
      <c r="AE536" s="146" t="s">
        <v>209</v>
      </c>
      <c r="AF536" s="147">
        <v>-1.7930999999999999</v>
      </c>
      <c r="AG536" s="149">
        <v>124.92178</v>
      </c>
      <c r="AM536" s="133" t="str" cm="1">
        <f t="array" ref="AM536">IF(ROWS($AN$2:$AN535)&lt;=$AN$2,INDEX($V$3:$V$3000,_xlfn.AGGREGATE(15,3,($B$3:$B$3000=$AM$2)/($B$3:$B$3000=$AM$2)*(ROW($B$3:$B$3000)-ROW($B$2)),ROWS($AN$2:$AN535))),"")</f>
        <v/>
      </c>
      <c r="AN536" s="134" t="str" cm="1">
        <f t="array" ref="AN536">IF(ROWS($AN$2:$AN535)&lt;=$AN$2,INDEX($F$3:$F$3000,_xlfn.AGGREGATE(15,3,($B$3:$B$3000=$AM$2)/($B$3:$B$3000=$AM$2)*(ROW($B$3:$B$3000)-ROW($B$2)),ROWS($AN$2:$AN535))),"")</f>
        <v/>
      </c>
      <c r="AO536" s="135" t="str" cm="1">
        <f t="array" ref="AO536">IF(ROWS($AN$2:$AN535)&lt;=$AN$2,INDEX($G$3:$G$3000,_xlfn.AGGREGATE(15,3,($B$3:$B$3000=$AM$2)/($B$3:$B$3000=$AM$2)*(ROW($B$3:$B$3000)-ROW($B$2)),ROWS($AN$2:$AN535))),"")</f>
        <v/>
      </c>
      <c r="AP536" s="121"/>
      <c r="AT536" s="111"/>
      <c r="AW536" s="134"/>
      <c r="AX536" s="136"/>
      <c r="AY536" s="134"/>
    </row>
    <row r="537" spans="1:51" s="110" customFormat="1" ht="20" customHeight="1">
      <c r="A537" s="125" t="s">
        <v>185</v>
      </c>
      <c r="B537" s="126" t="s">
        <v>59</v>
      </c>
      <c r="C537" s="127">
        <v>12605</v>
      </c>
      <c r="D537" s="157">
        <v>104803</v>
      </c>
      <c r="E537" s="158" t="s">
        <v>4635</v>
      </c>
      <c r="F537" s="158" t="s">
        <v>4636</v>
      </c>
      <c r="G537" s="159">
        <v>115000</v>
      </c>
      <c r="H537" s="159">
        <v>2</v>
      </c>
      <c r="I537" s="158" t="s">
        <v>209</v>
      </c>
      <c r="J537" s="158" t="s">
        <v>4637</v>
      </c>
      <c r="K537" s="158" t="s">
        <v>4635</v>
      </c>
      <c r="L537" s="159">
        <v>1</v>
      </c>
      <c r="M537" s="159">
        <v>1</v>
      </c>
      <c r="N537" s="158" t="s">
        <v>1544</v>
      </c>
      <c r="O537" s="159">
        <v>49</v>
      </c>
      <c r="P537" s="159">
        <v>1</v>
      </c>
      <c r="Q537" s="159">
        <v>17</v>
      </c>
      <c r="R537" s="158" t="s">
        <v>190</v>
      </c>
      <c r="S537" s="158" t="s">
        <v>191</v>
      </c>
      <c r="T537" s="159">
        <v>224</v>
      </c>
      <c r="U537" s="158" t="s">
        <v>420</v>
      </c>
      <c r="V537" s="158" t="s">
        <v>421</v>
      </c>
      <c r="W537" s="159">
        <v>1</v>
      </c>
      <c r="X537" s="159">
        <v>2</v>
      </c>
      <c r="Y537" s="158" t="s">
        <v>194</v>
      </c>
      <c r="Z537" s="158" t="s">
        <v>195</v>
      </c>
      <c r="AA537" s="158" t="s">
        <v>196</v>
      </c>
      <c r="AB537" s="158" t="s">
        <v>187</v>
      </c>
      <c r="AC537" s="158" t="s">
        <v>187</v>
      </c>
      <c r="AD537" s="160"/>
      <c r="AE537" s="158" t="s">
        <v>209</v>
      </c>
      <c r="AF537" s="159">
        <v>-5.5777799999999997</v>
      </c>
      <c r="AG537" s="161">
        <v>133.07059000000001</v>
      </c>
      <c r="AM537" s="133" t="str" cm="1">
        <f t="array" ref="AM537">IF(ROWS($AN$2:$AN536)&lt;=$AN$2,INDEX($V$3:$V$3000,_xlfn.AGGREGATE(15,3,($B$3:$B$3000=$AM$2)/($B$3:$B$3000=$AM$2)*(ROW($B$3:$B$3000)-ROW($B$2)),ROWS($AN$2:$AN536))),"")</f>
        <v/>
      </c>
      <c r="AN537" s="134" t="str" cm="1">
        <f t="array" ref="AN537">IF(ROWS($AN$2:$AN536)&lt;=$AN$2,INDEX($F$3:$F$3000,_xlfn.AGGREGATE(15,3,($B$3:$B$3000=$AM$2)/($B$3:$B$3000=$AM$2)*(ROW($B$3:$B$3000)-ROW($B$2)),ROWS($AN$2:$AN536))),"")</f>
        <v/>
      </c>
      <c r="AO537" s="135" t="str" cm="1">
        <f t="array" ref="AO537">IF(ROWS($AN$2:$AN536)&lt;=$AN$2,INDEX($G$3:$G$3000,_xlfn.AGGREGATE(15,3,($B$3:$B$3000=$AM$2)/($B$3:$B$3000=$AM$2)*(ROW($B$3:$B$3000)-ROW($B$2)),ROWS($AN$2:$AN536))),"")</f>
        <v/>
      </c>
      <c r="AP537" s="121"/>
      <c r="AT537" s="111"/>
      <c r="AW537" s="134"/>
      <c r="AX537" s="136"/>
      <c r="AY537" s="134"/>
    </row>
    <row r="538" spans="1:51" s="110" customFormat="1" ht="20" customHeight="1">
      <c r="A538" s="125" t="s">
        <v>185</v>
      </c>
      <c r="B538" s="126" t="s">
        <v>59</v>
      </c>
      <c r="C538" s="127">
        <v>15321</v>
      </c>
      <c r="D538" s="151">
        <v>109926</v>
      </c>
      <c r="E538" s="152" t="s">
        <v>2490</v>
      </c>
      <c r="F538" s="152" t="s">
        <v>2490</v>
      </c>
      <c r="G538" s="153">
        <v>1400</v>
      </c>
      <c r="H538" s="153">
        <v>3</v>
      </c>
      <c r="I538" s="152" t="s">
        <v>209</v>
      </c>
      <c r="J538" s="152" t="s">
        <v>2491</v>
      </c>
      <c r="K538" s="152" t="s">
        <v>2490</v>
      </c>
      <c r="L538" s="153">
        <v>1</v>
      </c>
      <c r="M538" s="153">
        <v>1</v>
      </c>
      <c r="N538" s="152" t="s">
        <v>1544</v>
      </c>
      <c r="O538" s="153">
        <v>60</v>
      </c>
      <c r="P538" s="153">
        <v>0.2</v>
      </c>
      <c r="Q538" s="153">
        <v>17</v>
      </c>
      <c r="R538" s="152" t="s">
        <v>190</v>
      </c>
      <c r="S538" s="152" t="s">
        <v>191</v>
      </c>
      <c r="T538" s="153">
        <v>224</v>
      </c>
      <c r="U538" s="152" t="s">
        <v>420</v>
      </c>
      <c r="V538" s="152" t="s">
        <v>421</v>
      </c>
      <c r="W538" s="153">
        <v>1</v>
      </c>
      <c r="X538" s="153">
        <v>2</v>
      </c>
      <c r="Y538" s="152" t="s">
        <v>194</v>
      </c>
      <c r="Z538" s="152" t="s">
        <v>195</v>
      </c>
      <c r="AA538" s="152" t="s">
        <v>196</v>
      </c>
      <c r="AB538" s="152" t="s">
        <v>187</v>
      </c>
      <c r="AC538" s="152" t="s">
        <v>187</v>
      </c>
      <c r="AD538" s="154"/>
      <c r="AE538" s="152" t="s">
        <v>209</v>
      </c>
      <c r="AF538" s="153">
        <v>-8.0102899999999995</v>
      </c>
      <c r="AG538" s="155">
        <v>129.68677</v>
      </c>
      <c r="AM538" s="133" t="str" cm="1">
        <f t="array" ref="AM538">IF(ROWS($AN$2:$AN537)&lt;=$AN$2,INDEX($V$3:$V$3000,_xlfn.AGGREGATE(15,3,($B$3:$B$3000=$AM$2)/($B$3:$B$3000=$AM$2)*(ROW($B$3:$B$3000)-ROW($B$2)),ROWS($AN$2:$AN537))),"")</f>
        <v/>
      </c>
      <c r="AN538" s="134" t="str" cm="1">
        <f t="array" ref="AN538">IF(ROWS($AN$2:$AN537)&lt;=$AN$2,INDEX($F$3:$F$3000,_xlfn.AGGREGATE(15,3,($B$3:$B$3000=$AM$2)/($B$3:$B$3000=$AM$2)*(ROW($B$3:$B$3000)-ROW($B$2)),ROWS($AN$2:$AN537))),"")</f>
        <v/>
      </c>
      <c r="AO538" s="135" t="str" cm="1">
        <f t="array" ref="AO538">IF(ROWS($AN$2:$AN537)&lt;=$AN$2,INDEX($G$3:$G$3000,_xlfn.AGGREGATE(15,3,($B$3:$B$3000=$AM$2)/($B$3:$B$3000=$AM$2)*(ROW($B$3:$B$3000)-ROW($B$2)),ROWS($AN$2:$AN537))),"")</f>
        <v/>
      </c>
      <c r="AP538" s="121"/>
      <c r="AT538" s="111"/>
      <c r="AW538" s="134"/>
      <c r="AX538" s="136"/>
      <c r="AY538" s="134"/>
    </row>
    <row r="539" spans="1:51" s="110" customFormat="1" ht="20" customHeight="1">
      <c r="A539" s="125" t="s">
        <v>185</v>
      </c>
      <c r="B539" s="126" t="s">
        <v>59</v>
      </c>
      <c r="C539" s="127">
        <v>13568</v>
      </c>
      <c r="D539" s="151">
        <v>106378</v>
      </c>
      <c r="E539" s="152" t="s">
        <v>2315</v>
      </c>
      <c r="F539" s="152" t="s">
        <v>2315</v>
      </c>
      <c r="G539" s="153">
        <v>1000</v>
      </c>
      <c r="H539" s="153">
        <v>3</v>
      </c>
      <c r="I539" s="152" t="s">
        <v>209</v>
      </c>
      <c r="J539" s="152" t="s">
        <v>2316</v>
      </c>
      <c r="K539" s="152" t="s">
        <v>2315</v>
      </c>
      <c r="L539" s="153">
        <v>0</v>
      </c>
      <c r="M539" s="153">
        <v>1</v>
      </c>
      <c r="N539" s="152" t="s">
        <v>1544</v>
      </c>
      <c r="O539" s="153">
        <v>80</v>
      </c>
      <c r="P539" s="153">
        <v>2</v>
      </c>
      <c r="Q539" s="153">
        <v>17</v>
      </c>
      <c r="R539" s="152" t="s">
        <v>190</v>
      </c>
      <c r="S539" s="152" t="s">
        <v>191</v>
      </c>
      <c r="T539" s="153">
        <v>224</v>
      </c>
      <c r="U539" s="152" t="s">
        <v>420</v>
      </c>
      <c r="V539" s="152" t="s">
        <v>421</v>
      </c>
      <c r="W539" s="153">
        <v>1</v>
      </c>
      <c r="X539" s="153">
        <v>2</v>
      </c>
      <c r="Y539" s="152" t="s">
        <v>194</v>
      </c>
      <c r="Z539" s="152" t="s">
        <v>195</v>
      </c>
      <c r="AA539" s="152" t="s">
        <v>196</v>
      </c>
      <c r="AB539" s="152" t="s">
        <v>187</v>
      </c>
      <c r="AC539" s="152" t="s">
        <v>187</v>
      </c>
      <c r="AD539" s="154"/>
      <c r="AE539" s="152" t="s">
        <v>209</v>
      </c>
      <c r="AF539" s="153">
        <v>-8.1818200000000001</v>
      </c>
      <c r="AG539" s="155">
        <v>129.83356000000001</v>
      </c>
      <c r="AM539" s="133" t="str" cm="1">
        <f t="array" ref="AM539">IF(ROWS($AN$2:$AN538)&lt;=$AN$2,INDEX($V$3:$V$3000,_xlfn.AGGREGATE(15,3,($B$3:$B$3000=$AM$2)/($B$3:$B$3000=$AM$2)*(ROW($B$3:$B$3000)-ROW($B$2)),ROWS($AN$2:$AN538))),"")</f>
        <v/>
      </c>
      <c r="AN539" s="134" t="str" cm="1">
        <f t="array" ref="AN539">IF(ROWS($AN$2:$AN538)&lt;=$AN$2,INDEX($F$3:$F$3000,_xlfn.AGGREGATE(15,3,($B$3:$B$3000=$AM$2)/($B$3:$B$3000=$AM$2)*(ROW($B$3:$B$3000)-ROW($B$2)),ROWS($AN$2:$AN538))),"")</f>
        <v/>
      </c>
      <c r="AO539" s="135" t="str" cm="1">
        <f t="array" ref="AO539">IF(ROWS($AN$2:$AN538)&lt;=$AN$2,INDEX($G$3:$G$3000,_xlfn.AGGREGATE(15,3,($B$3:$B$3000=$AM$2)/($B$3:$B$3000=$AM$2)*(ROW($B$3:$B$3000)-ROW($B$2)),ROWS($AN$2:$AN538))),"")</f>
        <v/>
      </c>
      <c r="AP539" s="121"/>
      <c r="AT539" s="111"/>
      <c r="AW539" s="134"/>
      <c r="AX539" s="136"/>
      <c r="AY539" s="134"/>
    </row>
    <row r="540" spans="1:51" s="110" customFormat="1" ht="20" customHeight="1">
      <c r="A540" s="125" t="s">
        <v>185</v>
      </c>
      <c r="B540" s="126" t="s">
        <v>59</v>
      </c>
      <c r="C540" s="127">
        <v>12319</v>
      </c>
      <c r="D540" s="145">
        <v>104174</v>
      </c>
      <c r="E540" s="146" t="s">
        <v>4441</v>
      </c>
      <c r="F540" s="146" t="s">
        <v>4442</v>
      </c>
      <c r="G540" s="147">
        <v>55000</v>
      </c>
      <c r="H540" s="147">
        <v>4</v>
      </c>
      <c r="I540" s="146" t="s">
        <v>209</v>
      </c>
      <c r="J540" s="146" t="s">
        <v>4443</v>
      </c>
      <c r="K540" s="146" t="s">
        <v>4441</v>
      </c>
      <c r="L540" s="147">
        <v>3</v>
      </c>
      <c r="M540" s="147">
        <v>1</v>
      </c>
      <c r="N540" s="146" t="s">
        <v>1544</v>
      </c>
      <c r="O540" s="147">
        <v>99</v>
      </c>
      <c r="P540" s="147">
        <v>6</v>
      </c>
      <c r="Q540" s="147">
        <v>17</v>
      </c>
      <c r="R540" s="146" t="s">
        <v>190</v>
      </c>
      <c r="S540" s="146" t="s">
        <v>191</v>
      </c>
      <c r="T540" s="147">
        <v>224</v>
      </c>
      <c r="U540" s="146" t="s">
        <v>420</v>
      </c>
      <c r="V540" s="146" t="s">
        <v>421</v>
      </c>
      <c r="W540" s="147">
        <v>1</v>
      </c>
      <c r="X540" s="147">
        <v>2</v>
      </c>
      <c r="Y540" s="146" t="s">
        <v>194</v>
      </c>
      <c r="Z540" s="146" t="s">
        <v>195</v>
      </c>
      <c r="AA540" s="146" t="s">
        <v>196</v>
      </c>
      <c r="AB540" s="146" t="s">
        <v>187</v>
      </c>
      <c r="AC540" s="146" t="s">
        <v>187</v>
      </c>
      <c r="AD540" s="148"/>
      <c r="AE540" s="146" t="s">
        <v>209</v>
      </c>
      <c r="AF540" s="147">
        <v>-7.72539</v>
      </c>
      <c r="AG540" s="149">
        <v>131.44696999999999</v>
      </c>
      <c r="AM540" s="133" t="str" cm="1">
        <f t="array" ref="AM540">IF(ROWS($AN$2:$AN539)&lt;=$AN$2,INDEX($V$3:$V$3000,_xlfn.AGGREGATE(15,3,($B$3:$B$3000=$AM$2)/($B$3:$B$3000=$AM$2)*(ROW($B$3:$B$3000)-ROW($B$2)),ROWS($AN$2:$AN539))),"")</f>
        <v/>
      </c>
      <c r="AN540" s="134" t="str" cm="1">
        <f t="array" ref="AN540">IF(ROWS($AN$2:$AN539)&lt;=$AN$2,INDEX($F$3:$F$3000,_xlfn.AGGREGATE(15,3,($B$3:$B$3000=$AM$2)/($B$3:$B$3000=$AM$2)*(ROW($B$3:$B$3000)-ROW($B$2)),ROWS($AN$2:$AN539))),"")</f>
        <v/>
      </c>
      <c r="AO540" s="135" t="str" cm="1">
        <f t="array" ref="AO540">IF(ROWS($AN$2:$AN539)&lt;=$AN$2,INDEX($G$3:$G$3000,_xlfn.AGGREGATE(15,3,($B$3:$B$3000=$AM$2)/($B$3:$B$3000=$AM$2)*(ROW($B$3:$B$3000)-ROW($B$2)),ROWS($AN$2:$AN539))),"")</f>
        <v/>
      </c>
      <c r="AP540" s="121"/>
      <c r="AT540" s="111"/>
      <c r="AW540" s="134"/>
      <c r="AX540" s="136"/>
      <c r="AY540" s="134"/>
    </row>
    <row r="541" spans="1:51" s="110" customFormat="1" ht="20" customHeight="1">
      <c r="A541" s="125" t="s">
        <v>185</v>
      </c>
      <c r="B541" s="126" t="s">
        <v>59</v>
      </c>
      <c r="C541" s="127">
        <v>16061</v>
      </c>
      <c r="D541" s="145">
        <v>111099</v>
      </c>
      <c r="E541" s="146" t="s">
        <v>4188</v>
      </c>
      <c r="F541" s="146" t="s">
        <v>4189</v>
      </c>
      <c r="G541" s="147">
        <v>28000</v>
      </c>
      <c r="H541" s="147">
        <v>4</v>
      </c>
      <c r="I541" s="146" t="s">
        <v>209</v>
      </c>
      <c r="J541" s="146" t="s">
        <v>4190</v>
      </c>
      <c r="K541" s="146" t="s">
        <v>4191</v>
      </c>
      <c r="L541" s="147">
        <v>4</v>
      </c>
      <c r="M541" s="147">
        <v>1</v>
      </c>
      <c r="N541" s="146" t="s">
        <v>1544</v>
      </c>
      <c r="O541" s="147">
        <v>98</v>
      </c>
      <c r="P541" s="147">
        <v>7</v>
      </c>
      <c r="Q541" s="147">
        <v>17</v>
      </c>
      <c r="R541" s="146" t="s">
        <v>190</v>
      </c>
      <c r="S541" s="146" t="s">
        <v>191</v>
      </c>
      <c r="T541" s="147">
        <v>224</v>
      </c>
      <c r="U541" s="146" t="s">
        <v>420</v>
      </c>
      <c r="V541" s="146" t="s">
        <v>421</v>
      </c>
      <c r="W541" s="147">
        <v>1</v>
      </c>
      <c r="X541" s="147">
        <v>2</v>
      </c>
      <c r="Y541" s="146" t="s">
        <v>194</v>
      </c>
      <c r="Z541" s="146" t="s">
        <v>195</v>
      </c>
      <c r="AA541" s="146" t="s">
        <v>196</v>
      </c>
      <c r="AB541" s="146" t="s">
        <v>187</v>
      </c>
      <c r="AC541" s="146" t="s">
        <v>187</v>
      </c>
      <c r="AD541" s="148"/>
      <c r="AE541" s="146" t="s">
        <v>209</v>
      </c>
      <c r="AF541" s="147">
        <v>-8.0335909999999995</v>
      </c>
      <c r="AG541" s="149">
        <v>127.181185</v>
      </c>
      <c r="AM541" s="133" t="str" cm="1">
        <f t="array" ref="AM541">IF(ROWS($AN$2:$AN540)&lt;=$AN$2,INDEX($V$3:$V$3000,_xlfn.AGGREGATE(15,3,($B$3:$B$3000=$AM$2)/($B$3:$B$3000=$AM$2)*(ROW($B$3:$B$3000)-ROW($B$2)),ROWS($AN$2:$AN540))),"")</f>
        <v/>
      </c>
      <c r="AN541" s="134" t="str" cm="1">
        <f t="array" ref="AN541">IF(ROWS($AN$2:$AN540)&lt;=$AN$2,INDEX($F$3:$F$3000,_xlfn.AGGREGATE(15,3,($B$3:$B$3000=$AM$2)/($B$3:$B$3000=$AM$2)*(ROW($B$3:$B$3000)-ROW($B$2)),ROWS($AN$2:$AN540))),"")</f>
        <v/>
      </c>
      <c r="AO541" s="135" t="str" cm="1">
        <f t="array" ref="AO541">IF(ROWS($AN$2:$AN540)&lt;=$AN$2,INDEX($G$3:$G$3000,_xlfn.AGGREGATE(15,3,($B$3:$B$3000=$AM$2)/($B$3:$B$3000=$AM$2)*(ROW($B$3:$B$3000)-ROW($B$2)),ROWS($AN$2:$AN540))),"")</f>
        <v/>
      </c>
      <c r="AP541" s="121"/>
      <c r="AT541" s="111"/>
      <c r="AW541" s="134"/>
      <c r="AX541" s="136"/>
      <c r="AY541" s="134"/>
    </row>
    <row r="542" spans="1:51" s="110" customFormat="1" ht="20" customHeight="1">
      <c r="A542" s="125" t="s">
        <v>185</v>
      </c>
      <c r="B542" s="126" t="s">
        <v>59</v>
      </c>
      <c r="C542" s="127">
        <v>19078</v>
      </c>
      <c r="D542" s="145">
        <v>114968</v>
      </c>
      <c r="E542" s="146" t="s">
        <v>4142</v>
      </c>
      <c r="F542" s="146" t="s">
        <v>4142</v>
      </c>
      <c r="G542" s="147">
        <v>25000</v>
      </c>
      <c r="H542" s="147">
        <v>4</v>
      </c>
      <c r="I542" s="146" t="s">
        <v>209</v>
      </c>
      <c r="J542" s="146" t="s">
        <v>4143</v>
      </c>
      <c r="K542" s="146" t="s">
        <v>4144</v>
      </c>
      <c r="L542" s="147">
        <v>4</v>
      </c>
      <c r="M542" s="147">
        <v>1</v>
      </c>
      <c r="N542" s="146" t="s">
        <v>1544</v>
      </c>
      <c r="O542" s="147">
        <v>95</v>
      </c>
      <c r="P542" s="147">
        <v>5</v>
      </c>
      <c r="Q542" s="147">
        <v>17</v>
      </c>
      <c r="R542" s="146" t="s">
        <v>190</v>
      </c>
      <c r="S542" s="146" t="s">
        <v>191</v>
      </c>
      <c r="T542" s="147">
        <v>224</v>
      </c>
      <c r="U542" s="146" t="s">
        <v>420</v>
      </c>
      <c r="V542" s="146" t="s">
        <v>421</v>
      </c>
      <c r="W542" s="147">
        <v>1</v>
      </c>
      <c r="X542" s="147">
        <v>2</v>
      </c>
      <c r="Y542" s="146" t="s">
        <v>194</v>
      </c>
      <c r="Z542" s="146" t="s">
        <v>195</v>
      </c>
      <c r="AA542" s="146" t="s">
        <v>196</v>
      </c>
      <c r="AB542" s="146" t="s">
        <v>187</v>
      </c>
      <c r="AC542" s="146" t="s">
        <v>187</v>
      </c>
      <c r="AD542" s="148"/>
      <c r="AE542" s="146" t="s">
        <v>209</v>
      </c>
      <c r="AF542" s="147">
        <v>-8.1911799999999992</v>
      </c>
      <c r="AG542" s="149">
        <v>127.94185</v>
      </c>
      <c r="AM542" s="133" t="str" cm="1">
        <f t="array" ref="AM542">IF(ROWS($AN$2:$AN541)&lt;=$AN$2,INDEX($V$3:$V$3000,_xlfn.AGGREGATE(15,3,($B$3:$B$3000=$AM$2)/($B$3:$B$3000=$AM$2)*(ROW($B$3:$B$3000)-ROW($B$2)),ROWS($AN$2:$AN541))),"")</f>
        <v/>
      </c>
      <c r="AN542" s="134" t="str" cm="1">
        <f t="array" ref="AN542">IF(ROWS($AN$2:$AN541)&lt;=$AN$2,INDEX($F$3:$F$3000,_xlfn.AGGREGATE(15,3,($B$3:$B$3000=$AM$2)/($B$3:$B$3000=$AM$2)*(ROW($B$3:$B$3000)-ROW($B$2)),ROWS($AN$2:$AN541))),"")</f>
        <v/>
      </c>
      <c r="AO542" s="135" t="str" cm="1">
        <f t="array" ref="AO542">IF(ROWS($AN$2:$AN541)&lt;=$AN$2,INDEX($G$3:$G$3000,_xlfn.AGGREGATE(15,3,($B$3:$B$3000=$AM$2)/($B$3:$B$3000=$AM$2)*(ROW($B$3:$B$3000)-ROW($B$2)),ROWS($AN$2:$AN541))),"")</f>
        <v/>
      </c>
      <c r="AP542" s="121"/>
      <c r="AT542" s="111"/>
      <c r="AW542" s="134"/>
      <c r="AX542" s="136"/>
      <c r="AY542" s="134"/>
    </row>
    <row r="543" spans="1:51" s="110" customFormat="1" ht="20" customHeight="1">
      <c r="A543" s="125" t="s">
        <v>185</v>
      </c>
      <c r="B543" s="126" t="s">
        <v>59</v>
      </c>
      <c r="C543" s="127">
        <v>14830</v>
      </c>
      <c r="D543" s="145">
        <v>108808</v>
      </c>
      <c r="E543" s="146" t="s">
        <v>3625</v>
      </c>
      <c r="F543" s="146" t="s">
        <v>3625</v>
      </c>
      <c r="G543" s="147">
        <v>10000</v>
      </c>
      <c r="H543" s="147">
        <v>4</v>
      </c>
      <c r="I543" s="146" t="s">
        <v>209</v>
      </c>
      <c r="J543" s="146" t="s">
        <v>3626</v>
      </c>
      <c r="K543" s="146" t="s">
        <v>3625</v>
      </c>
      <c r="L543" s="147">
        <v>4</v>
      </c>
      <c r="M543" s="147">
        <v>1</v>
      </c>
      <c r="N543" s="146" t="s">
        <v>1544</v>
      </c>
      <c r="O543" s="147">
        <v>90</v>
      </c>
      <c r="P543" s="147">
        <v>5</v>
      </c>
      <c r="Q543" s="147">
        <v>17</v>
      </c>
      <c r="R543" s="146" t="s">
        <v>190</v>
      </c>
      <c r="S543" s="146" t="s">
        <v>191</v>
      </c>
      <c r="T543" s="147">
        <v>224</v>
      </c>
      <c r="U543" s="146" t="s">
        <v>420</v>
      </c>
      <c r="V543" s="146" t="s">
        <v>421</v>
      </c>
      <c r="W543" s="147">
        <v>1</v>
      </c>
      <c r="X543" s="147">
        <v>2</v>
      </c>
      <c r="Y543" s="146" t="s">
        <v>194</v>
      </c>
      <c r="Z543" s="146" t="s">
        <v>195</v>
      </c>
      <c r="AA543" s="146" t="s">
        <v>196</v>
      </c>
      <c r="AB543" s="146" t="s">
        <v>187</v>
      </c>
      <c r="AC543" s="146" t="s">
        <v>187</v>
      </c>
      <c r="AD543" s="148"/>
      <c r="AE543" s="146" t="s">
        <v>209</v>
      </c>
      <c r="AF543" s="147">
        <v>-8.1933399999999992</v>
      </c>
      <c r="AG543" s="149">
        <v>130.96182999999999</v>
      </c>
      <c r="AM543" s="133" t="str" cm="1">
        <f t="array" ref="AM543">IF(ROWS($AN$2:$AN542)&lt;=$AN$2,INDEX($V$3:$V$3000,_xlfn.AGGREGATE(15,3,($B$3:$B$3000=$AM$2)/($B$3:$B$3000=$AM$2)*(ROW($B$3:$B$3000)-ROW($B$2)),ROWS($AN$2:$AN542))),"")</f>
        <v/>
      </c>
      <c r="AN543" s="134" t="str" cm="1">
        <f t="array" ref="AN543">IF(ROWS($AN$2:$AN542)&lt;=$AN$2,INDEX($F$3:$F$3000,_xlfn.AGGREGATE(15,3,($B$3:$B$3000=$AM$2)/($B$3:$B$3000=$AM$2)*(ROW($B$3:$B$3000)-ROW($B$2)),ROWS($AN$2:$AN542))),"")</f>
        <v/>
      </c>
      <c r="AO543" s="135" t="str" cm="1">
        <f t="array" ref="AO543">IF(ROWS($AN$2:$AN542)&lt;=$AN$2,INDEX($G$3:$G$3000,_xlfn.AGGREGATE(15,3,($B$3:$B$3000=$AM$2)/($B$3:$B$3000=$AM$2)*(ROW($B$3:$B$3000)-ROW($B$2)),ROWS($AN$2:$AN542))),"")</f>
        <v/>
      </c>
      <c r="AP543" s="121"/>
      <c r="AT543" s="111"/>
      <c r="AW543" s="134"/>
      <c r="AX543" s="136"/>
      <c r="AY543" s="134"/>
    </row>
    <row r="544" spans="1:51" s="110" customFormat="1" ht="20" customHeight="1">
      <c r="A544" s="125" t="s">
        <v>185</v>
      </c>
      <c r="B544" s="126" t="s">
        <v>59</v>
      </c>
      <c r="C544" s="127">
        <v>15410</v>
      </c>
      <c r="D544" s="145">
        <v>110852</v>
      </c>
      <c r="E544" s="146" t="s">
        <v>3628</v>
      </c>
      <c r="F544" s="146" t="s">
        <v>3629</v>
      </c>
      <c r="G544" s="147">
        <v>10000</v>
      </c>
      <c r="H544" s="147">
        <v>4</v>
      </c>
      <c r="I544" s="146" t="s">
        <v>209</v>
      </c>
      <c r="J544" s="146" t="s">
        <v>3630</v>
      </c>
      <c r="K544" s="146" t="s">
        <v>3631</v>
      </c>
      <c r="L544" s="147">
        <v>1</v>
      </c>
      <c r="M544" s="147">
        <v>1</v>
      </c>
      <c r="N544" s="146" t="s">
        <v>1544</v>
      </c>
      <c r="O544" s="147">
        <v>60</v>
      </c>
      <c r="P544" s="147">
        <v>4</v>
      </c>
      <c r="Q544" s="147">
        <v>17</v>
      </c>
      <c r="R544" s="146" t="s">
        <v>190</v>
      </c>
      <c r="S544" s="146" t="s">
        <v>191</v>
      </c>
      <c r="T544" s="147">
        <v>224</v>
      </c>
      <c r="U544" s="146" t="s">
        <v>420</v>
      </c>
      <c r="V544" s="146" t="s">
        <v>421</v>
      </c>
      <c r="W544" s="147">
        <v>1</v>
      </c>
      <c r="X544" s="147">
        <v>2</v>
      </c>
      <c r="Y544" s="146" t="s">
        <v>194</v>
      </c>
      <c r="Z544" s="146" t="s">
        <v>195</v>
      </c>
      <c r="AA544" s="146" t="s">
        <v>196</v>
      </c>
      <c r="AB544" s="146" t="s">
        <v>187</v>
      </c>
      <c r="AC544" s="146" t="s">
        <v>187</v>
      </c>
      <c r="AD544" s="148"/>
      <c r="AE544" s="146" t="s">
        <v>209</v>
      </c>
      <c r="AF544" s="147">
        <v>-5.9941700000000004</v>
      </c>
      <c r="AG544" s="149">
        <v>134.31909999999999</v>
      </c>
      <c r="AM544" s="133" t="str" cm="1">
        <f t="array" ref="AM544">IF(ROWS($AN$2:$AN543)&lt;=$AN$2,INDEX($V$3:$V$3000,_xlfn.AGGREGATE(15,3,($B$3:$B$3000=$AM$2)/($B$3:$B$3000=$AM$2)*(ROW($B$3:$B$3000)-ROW($B$2)),ROWS($AN$2:$AN543))),"")</f>
        <v/>
      </c>
      <c r="AN544" s="134" t="str" cm="1">
        <f t="array" ref="AN544">IF(ROWS($AN$2:$AN543)&lt;=$AN$2,INDEX($F$3:$F$3000,_xlfn.AGGREGATE(15,3,($B$3:$B$3000=$AM$2)/($B$3:$B$3000=$AM$2)*(ROW($B$3:$B$3000)-ROW($B$2)),ROWS($AN$2:$AN543))),"")</f>
        <v/>
      </c>
      <c r="AO544" s="135" t="str" cm="1">
        <f t="array" ref="AO544">IF(ROWS($AN$2:$AN543)&lt;=$AN$2,INDEX($G$3:$G$3000,_xlfn.AGGREGATE(15,3,($B$3:$B$3000=$AM$2)/($B$3:$B$3000=$AM$2)*(ROW($B$3:$B$3000)-ROW($B$2)),ROWS($AN$2:$AN543))),"")</f>
        <v/>
      </c>
      <c r="AP544" s="121"/>
      <c r="AT544" s="111"/>
      <c r="AW544" s="134"/>
      <c r="AX544" s="136"/>
      <c r="AY544" s="134"/>
    </row>
    <row r="545" spans="1:51" s="110" customFormat="1" ht="20" customHeight="1">
      <c r="A545" s="125" t="s">
        <v>185</v>
      </c>
      <c r="B545" s="126" t="s">
        <v>59</v>
      </c>
      <c r="C545" s="127">
        <v>15270</v>
      </c>
      <c r="D545" s="145">
        <v>109853</v>
      </c>
      <c r="E545" s="146" t="s">
        <v>3530</v>
      </c>
      <c r="F545" s="146" t="s">
        <v>3530</v>
      </c>
      <c r="G545" s="147">
        <v>8800</v>
      </c>
      <c r="H545" s="147">
        <v>4</v>
      </c>
      <c r="I545" s="146" t="s">
        <v>209</v>
      </c>
      <c r="J545" s="146" t="s">
        <v>3531</v>
      </c>
      <c r="K545" s="146" t="s">
        <v>3530</v>
      </c>
      <c r="L545" s="147">
        <v>3</v>
      </c>
      <c r="M545" s="147">
        <v>1</v>
      </c>
      <c r="N545" s="146" t="s">
        <v>1544</v>
      </c>
      <c r="O545" s="147">
        <v>65</v>
      </c>
      <c r="P545" s="147">
        <v>3</v>
      </c>
      <c r="Q545" s="147">
        <v>17</v>
      </c>
      <c r="R545" s="146" t="s">
        <v>190</v>
      </c>
      <c r="S545" s="146" t="s">
        <v>191</v>
      </c>
      <c r="T545" s="147">
        <v>224</v>
      </c>
      <c r="U545" s="146" t="s">
        <v>420</v>
      </c>
      <c r="V545" s="146" t="s">
        <v>421</v>
      </c>
      <c r="W545" s="147">
        <v>1</v>
      </c>
      <c r="X545" s="147">
        <v>2</v>
      </c>
      <c r="Y545" s="146" t="s">
        <v>194</v>
      </c>
      <c r="Z545" s="146" t="s">
        <v>195</v>
      </c>
      <c r="AA545" s="146" t="s">
        <v>196</v>
      </c>
      <c r="AB545" s="146" t="s">
        <v>187</v>
      </c>
      <c r="AC545" s="146" t="s">
        <v>187</v>
      </c>
      <c r="AD545" s="148"/>
      <c r="AE545" s="146" t="s">
        <v>209</v>
      </c>
      <c r="AF545" s="147">
        <v>-6.5167299999999999</v>
      </c>
      <c r="AG545" s="149">
        <v>134.16913</v>
      </c>
      <c r="AM545" s="133" t="str" cm="1">
        <f t="array" ref="AM545">IF(ROWS($AN$2:$AN544)&lt;=$AN$2,INDEX($V$3:$V$3000,_xlfn.AGGREGATE(15,3,($B$3:$B$3000=$AM$2)/($B$3:$B$3000=$AM$2)*(ROW($B$3:$B$3000)-ROW($B$2)),ROWS($AN$2:$AN544))),"")</f>
        <v/>
      </c>
      <c r="AN545" s="134" t="str" cm="1">
        <f t="array" ref="AN545">IF(ROWS($AN$2:$AN544)&lt;=$AN$2,INDEX($F$3:$F$3000,_xlfn.AGGREGATE(15,3,($B$3:$B$3000=$AM$2)/($B$3:$B$3000=$AM$2)*(ROW($B$3:$B$3000)-ROW($B$2)),ROWS($AN$2:$AN544))),"")</f>
        <v/>
      </c>
      <c r="AO545" s="135" t="str" cm="1">
        <f t="array" ref="AO545">IF(ROWS($AN$2:$AN544)&lt;=$AN$2,INDEX($G$3:$G$3000,_xlfn.AGGREGATE(15,3,($B$3:$B$3000=$AM$2)/($B$3:$B$3000=$AM$2)*(ROW($B$3:$B$3000)-ROW($B$2)),ROWS($AN$2:$AN544))),"")</f>
        <v/>
      </c>
      <c r="AP545" s="121"/>
      <c r="AT545" s="111"/>
      <c r="AW545" s="134"/>
      <c r="AX545" s="136"/>
      <c r="AY545" s="134"/>
    </row>
    <row r="546" spans="1:51" s="110" customFormat="1" ht="20" customHeight="1">
      <c r="A546" s="125" t="s">
        <v>185</v>
      </c>
      <c r="B546" s="126" t="s">
        <v>59</v>
      </c>
      <c r="C546" s="127">
        <v>15269</v>
      </c>
      <c r="D546" s="145">
        <v>109852</v>
      </c>
      <c r="E546" s="146" t="s">
        <v>3394</v>
      </c>
      <c r="F546" s="146" t="s">
        <v>3394</v>
      </c>
      <c r="G546" s="147">
        <v>6800</v>
      </c>
      <c r="H546" s="147">
        <v>4</v>
      </c>
      <c r="I546" s="146" t="s">
        <v>209</v>
      </c>
      <c r="J546" s="146" t="s">
        <v>3395</v>
      </c>
      <c r="K546" s="146" t="s">
        <v>3394</v>
      </c>
      <c r="L546" s="147">
        <v>1</v>
      </c>
      <c r="M546" s="147">
        <v>1</v>
      </c>
      <c r="N546" s="146" t="s">
        <v>1544</v>
      </c>
      <c r="O546" s="147">
        <v>60</v>
      </c>
      <c r="P546" s="147">
        <v>3</v>
      </c>
      <c r="Q546" s="147">
        <v>17</v>
      </c>
      <c r="R546" s="146" t="s">
        <v>190</v>
      </c>
      <c r="S546" s="146" t="s">
        <v>191</v>
      </c>
      <c r="T546" s="147">
        <v>224</v>
      </c>
      <c r="U546" s="146" t="s">
        <v>420</v>
      </c>
      <c r="V546" s="146" t="s">
        <v>421</v>
      </c>
      <c r="W546" s="147">
        <v>1</v>
      </c>
      <c r="X546" s="147">
        <v>2</v>
      </c>
      <c r="Y546" s="146" t="s">
        <v>194</v>
      </c>
      <c r="Z546" s="146" t="s">
        <v>195</v>
      </c>
      <c r="AA546" s="146" t="s">
        <v>196</v>
      </c>
      <c r="AB546" s="146" t="s">
        <v>187</v>
      </c>
      <c r="AC546" s="146" t="s">
        <v>187</v>
      </c>
      <c r="AD546" s="148"/>
      <c r="AE546" s="146" t="s">
        <v>209</v>
      </c>
      <c r="AF546" s="147">
        <v>-6.6836099999999998</v>
      </c>
      <c r="AG546" s="149">
        <v>134.32907</v>
      </c>
      <c r="AM546" s="133" t="str" cm="1">
        <f t="array" ref="AM546">IF(ROWS($AN$2:$AN545)&lt;=$AN$2,INDEX($V$3:$V$3000,_xlfn.AGGREGATE(15,3,($B$3:$B$3000=$AM$2)/($B$3:$B$3000=$AM$2)*(ROW($B$3:$B$3000)-ROW($B$2)),ROWS($AN$2:$AN545))),"")</f>
        <v/>
      </c>
      <c r="AN546" s="134" t="str" cm="1">
        <f t="array" ref="AN546">IF(ROWS($AN$2:$AN545)&lt;=$AN$2,INDEX($F$3:$F$3000,_xlfn.AGGREGATE(15,3,($B$3:$B$3000=$AM$2)/($B$3:$B$3000=$AM$2)*(ROW($B$3:$B$3000)-ROW($B$2)),ROWS($AN$2:$AN545))),"")</f>
        <v/>
      </c>
      <c r="AO546" s="135" t="str" cm="1">
        <f t="array" ref="AO546">IF(ROWS($AN$2:$AN545)&lt;=$AN$2,INDEX($G$3:$G$3000,_xlfn.AGGREGATE(15,3,($B$3:$B$3000=$AM$2)/($B$3:$B$3000=$AM$2)*(ROW($B$3:$B$3000)-ROW($B$2)),ROWS($AN$2:$AN545))),"")</f>
        <v/>
      </c>
      <c r="AP546" s="121"/>
      <c r="AT546" s="111"/>
      <c r="AW546" s="134"/>
      <c r="AX546" s="136"/>
      <c r="AY546" s="134"/>
    </row>
    <row r="547" spans="1:51" s="110" customFormat="1" ht="20" customHeight="1">
      <c r="A547" s="125" t="s">
        <v>185</v>
      </c>
      <c r="B547" s="126" t="s">
        <v>59</v>
      </c>
      <c r="C547" s="127">
        <v>11582</v>
      </c>
      <c r="D547" s="145">
        <v>102655</v>
      </c>
      <c r="E547" s="146" t="s">
        <v>3335</v>
      </c>
      <c r="F547" s="146" t="s">
        <v>3336</v>
      </c>
      <c r="G547" s="147">
        <v>6300</v>
      </c>
      <c r="H547" s="147">
        <v>4</v>
      </c>
      <c r="I547" s="146" t="s">
        <v>209</v>
      </c>
      <c r="J547" s="146" t="s">
        <v>3337</v>
      </c>
      <c r="K547" s="146" t="s">
        <v>3335</v>
      </c>
      <c r="L547" s="147">
        <v>3</v>
      </c>
      <c r="M547" s="147">
        <v>1</v>
      </c>
      <c r="N547" s="146" t="s">
        <v>1544</v>
      </c>
      <c r="O547" s="147">
        <v>75</v>
      </c>
      <c r="P547" s="147">
        <v>4</v>
      </c>
      <c r="Q547" s="147">
        <v>17</v>
      </c>
      <c r="R547" s="146" t="s">
        <v>190</v>
      </c>
      <c r="S547" s="146" t="s">
        <v>191</v>
      </c>
      <c r="T547" s="147">
        <v>224</v>
      </c>
      <c r="U547" s="146" t="s">
        <v>420</v>
      </c>
      <c r="V547" s="146" t="s">
        <v>421</v>
      </c>
      <c r="W547" s="147">
        <v>1</v>
      </c>
      <c r="X547" s="147">
        <v>2</v>
      </c>
      <c r="Y547" s="146" t="s">
        <v>194</v>
      </c>
      <c r="Z547" s="146" t="s">
        <v>195</v>
      </c>
      <c r="AA547" s="146" t="s">
        <v>196</v>
      </c>
      <c r="AB547" s="146" t="s">
        <v>187</v>
      </c>
      <c r="AC547" s="146" t="s">
        <v>187</v>
      </c>
      <c r="AD547" s="148"/>
      <c r="AE547" s="146" t="s">
        <v>209</v>
      </c>
      <c r="AF547" s="147">
        <v>-6.2267299999999999</v>
      </c>
      <c r="AG547" s="149">
        <v>134.70424</v>
      </c>
      <c r="AM547" s="133" t="str" cm="1">
        <f t="array" ref="AM547">IF(ROWS($AN$2:$AN546)&lt;=$AN$2,INDEX($V$3:$V$3000,_xlfn.AGGREGATE(15,3,($B$3:$B$3000=$AM$2)/($B$3:$B$3000=$AM$2)*(ROW($B$3:$B$3000)-ROW($B$2)),ROWS($AN$2:$AN546))),"")</f>
        <v/>
      </c>
      <c r="AN547" s="134" t="str" cm="1">
        <f t="array" ref="AN547">IF(ROWS($AN$2:$AN546)&lt;=$AN$2,INDEX($F$3:$F$3000,_xlfn.AGGREGATE(15,3,($B$3:$B$3000=$AM$2)/($B$3:$B$3000=$AM$2)*(ROW($B$3:$B$3000)-ROW($B$2)),ROWS($AN$2:$AN546))),"")</f>
        <v/>
      </c>
      <c r="AO547" s="135" t="str" cm="1">
        <f t="array" ref="AO547">IF(ROWS($AN$2:$AN546)&lt;=$AN$2,INDEX($G$3:$G$3000,_xlfn.AGGREGATE(15,3,($B$3:$B$3000=$AM$2)/($B$3:$B$3000=$AM$2)*(ROW($B$3:$B$3000)-ROW($B$2)),ROWS($AN$2:$AN546))),"")</f>
        <v/>
      </c>
      <c r="AP547" s="121"/>
      <c r="AT547" s="111"/>
      <c r="AW547" s="134"/>
      <c r="AX547" s="136"/>
      <c r="AY547" s="134"/>
    </row>
    <row r="548" spans="1:51" s="110" customFormat="1" ht="20" customHeight="1">
      <c r="A548" s="125" t="s">
        <v>185</v>
      </c>
      <c r="B548" s="126" t="s">
        <v>59</v>
      </c>
      <c r="C548" s="127">
        <v>10539</v>
      </c>
      <c r="D548" s="145">
        <v>100693</v>
      </c>
      <c r="E548" s="146" t="s">
        <v>3240</v>
      </c>
      <c r="F548" s="146" t="s">
        <v>3240</v>
      </c>
      <c r="G548" s="147">
        <v>5400</v>
      </c>
      <c r="H548" s="147">
        <v>4</v>
      </c>
      <c r="I548" s="146" t="s">
        <v>209</v>
      </c>
      <c r="J548" s="146" t="s">
        <v>3241</v>
      </c>
      <c r="K548" s="146" t="s">
        <v>3240</v>
      </c>
      <c r="L548" s="147">
        <v>1</v>
      </c>
      <c r="M548" s="147">
        <v>1</v>
      </c>
      <c r="N548" s="146" t="s">
        <v>1544</v>
      </c>
      <c r="O548" s="147">
        <v>70</v>
      </c>
      <c r="P548" s="147">
        <v>3</v>
      </c>
      <c r="Q548" s="147">
        <v>17</v>
      </c>
      <c r="R548" s="146" t="s">
        <v>190</v>
      </c>
      <c r="S548" s="146" t="s">
        <v>191</v>
      </c>
      <c r="T548" s="147">
        <v>224</v>
      </c>
      <c r="U548" s="146" t="s">
        <v>420</v>
      </c>
      <c r="V548" s="146" t="s">
        <v>421</v>
      </c>
      <c r="W548" s="147">
        <v>1</v>
      </c>
      <c r="X548" s="147">
        <v>2</v>
      </c>
      <c r="Y548" s="146" t="s">
        <v>194</v>
      </c>
      <c r="Z548" s="146" t="s">
        <v>195</v>
      </c>
      <c r="AA548" s="146" t="s">
        <v>196</v>
      </c>
      <c r="AB548" s="146" t="s">
        <v>187</v>
      </c>
      <c r="AC548" s="146" t="s">
        <v>187</v>
      </c>
      <c r="AD548" s="148"/>
      <c r="AE548" s="146" t="s">
        <v>209</v>
      </c>
      <c r="AF548" s="147">
        <v>-7.9552100000000001</v>
      </c>
      <c r="AG548" s="149">
        <v>129.79258999999999</v>
      </c>
      <c r="AM548" s="133" t="str" cm="1">
        <f t="array" ref="AM548">IF(ROWS($AN$2:$AN547)&lt;=$AN$2,INDEX($V$3:$V$3000,_xlfn.AGGREGATE(15,3,($B$3:$B$3000=$AM$2)/($B$3:$B$3000=$AM$2)*(ROW($B$3:$B$3000)-ROW($B$2)),ROWS($AN$2:$AN547))),"")</f>
        <v/>
      </c>
      <c r="AN548" s="134" t="str" cm="1">
        <f t="array" ref="AN548">IF(ROWS($AN$2:$AN547)&lt;=$AN$2,INDEX($F$3:$F$3000,_xlfn.AGGREGATE(15,3,($B$3:$B$3000=$AM$2)/($B$3:$B$3000=$AM$2)*(ROW($B$3:$B$3000)-ROW($B$2)),ROWS($AN$2:$AN547))),"")</f>
        <v/>
      </c>
      <c r="AO548" s="135" t="str" cm="1">
        <f t="array" ref="AO548">IF(ROWS($AN$2:$AN547)&lt;=$AN$2,INDEX($G$3:$G$3000,_xlfn.AGGREGATE(15,3,($B$3:$B$3000=$AM$2)/($B$3:$B$3000=$AM$2)*(ROW($B$3:$B$3000)-ROW($B$2)),ROWS($AN$2:$AN547))),"")</f>
        <v/>
      </c>
      <c r="AP548" s="121"/>
      <c r="AT548" s="111"/>
      <c r="AW548" s="134"/>
      <c r="AX548" s="136"/>
      <c r="AY548" s="134"/>
    </row>
    <row r="549" spans="1:51" s="110" customFormat="1" ht="20" customHeight="1">
      <c r="A549" s="125" t="s">
        <v>185</v>
      </c>
      <c r="B549" s="126" t="s">
        <v>59</v>
      </c>
      <c r="C549" s="127">
        <v>11481</v>
      </c>
      <c r="D549" s="145">
        <v>102408</v>
      </c>
      <c r="E549" s="146" t="s">
        <v>3072</v>
      </c>
      <c r="F549" s="146" t="s">
        <v>3073</v>
      </c>
      <c r="G549" s="147">
        <v>4200</v>
      </c>
      <c r="H549" s="147">
        <v>4</v>
      </c>
      <c r="I549" s="146" t="s">
        <v>209</v>
      </c>
      <c r="J549" s="146" t="s">
        <v>3074</v>
      </c>
      <c r="K549" s="146" t="s">
        <v>3072</v>
      </c>
      <c r="L549" s="147">
        <v>1</v>
      </c>
      <c r="M549" s="147">
        <v>1</v>
      </c>
      <c r="N549" s="146" t="s">
        <v>1544</v>
      </c>
      <c r="O549" s="147">
        <v>60</v>
      </c>
      <c r="P549" s="147">
        <v>5</v>
      </c>
      <c r="Q549" s="147">
        <v>17</v>
      </c>
      <c r="R549" s="146" t="s">
        <v>190</v>
      </c>
      <c r="S549" s="146" t="s">
        <v>191</v>
      </c>
      <c r="T549" s="147">
        <v>224</v>
      </c>
      <c r="U549" s="146" t="s">
        <v>420</v>
      </c>
      <c r="V549" s="146" t="s">
        <v>421</v>
      </c>
      <c r="W549" s="147">
        <v>1</v>
      </c>
      <c r="X549" s="147">
        <v>2</v>
      </c>
      <c r="Y549" s="146" t="s">
        <v>194</v>
      </c>
      <c r="Z549" s="146" t="s">
        <v>195</v>
      </c>
      <c r="AA549" s="146" t="s">
        <v>196</v>
      </c>
      <c r="AB549" s="146" t="s">
        <v>187</v>
      </c>
      <c r="AC549" s="146" t="s">
        <v>187</v>
      </c>
      <c r="AD549" s="148"/>
      <c r="AE549" s="146" t="s">
        <v>209</v>
      </c>
      <c r="AF549" s="147">
        <v>-7.1573039999999999</v>
      </c>
      <c r="AG549" s="149">
        <v>128.64105499999999</v>
      </c>
      <c r="AM549" s="133" t="str" cm="1">
        <f t="array" ref="AM549">IF(ROWS($AN$2:$AN548)&lt;=$AN$2,INDEX($V$3:$V$3000,_xlfn.AGGREGATE(15,3,($B$3:$B$3000=$AM$2)/($B$3:$B$3000=$AM$2)*(ROW($B$3:$B$3000)-ROW($B$2)),ROWS($AN$2:$AN548))),"")</f>
        <v/>
      </c>
      <c r="AN549" s="134" t="str" cm="1">
        <f t="array" ref="AN549">IF(ROWS($AN$2:$AN548)&lt;=$AN$2,INDEX($F$3:$F$3000,_xlfn.AGGREGATE(15,3,($B$3:$B$3000=$AM$2)/($B$3:$B$3000=$AM$2)*(ROW($B$3:$B$3000)-ROW($B$2)),ROWS($AN$2:$AN548))),"")</f>
        <v/>
      </c>
      <c r="AO549" s="135" t="str" cm="1">
        <f t="array" ref="AO549">IF(ROWS($AN$2:$AN548)&lt;=$AN$2,INDEX($G$3:$G$3000,_xlfn.AGGREGATE(15,3,($B$3:$B$3000=$AM$2)/($B$3:$B$3000=$AM$2)*(ROW($B$3:$B$3000)-ROW($B$2)),ROWS($AN$2:$AN548))),"")</f>
        <v/>
      </c>
      <c r="AP549" s="121"/>
      <c r="AT549" s="111"/>
      <c r="AW549" s="134"/>
      <c r="AX549" s="136"/>
      <c r="AY549" s="134"/>
    </row>
    <row r="550" spans="1:51" s="110" customFormat="1" ht="20" customHeight="1">
      <c r="A550" s="125" t="s">
        <v>185</v>
      </c>
      <c r="B550" s="126" t="s">
        <v>59</v>
      </c>
      <c r="C550" s="127">
        <v>14836</v>
      </c>
      <c r="D550" s="145">
        <v>108816</v>
      </c>
      <c r="E550" s="146" t="s">
        <v>2952</v>
      </c>
      <c r="F550" s="146" t="s">
        <v>2952</v>
      </c>
      <c r="G550" s="147">
        <v>3400</v>
      </c>
      <c r="H550" s="147">
        <v>4</v>
      </c>
      <c r="I550" s="146" t="s">
        <v>209</v>
      </c>
      <c r="J550" s="146" t="s">
        <v>2953</v>
      </c>
      <c r="K550" s="146" t="s">
        <v>2952</v>
      </c>
      <c r="L550" s="147">
        <v>1</v>
      </c>
      <c r="M550" s="147">
        <v>1</v>
      </c>
      <c r="N550" s="146" t="s">
        <v>1544</v>
      </c>
      <c r="O550" s="147">
        <v>80</v>
      </c>
      <c r="P550" s="147">
        <v>4</v>
      </c>
      <c r="Q550" s="147">
        <v>17</v>
      </c>
      <c r="R550" s="146" t="s">
        <v>190</v>
      </c>
      <c r="S550" s="146" t="s">
        <v>191</v>
      </c>
      <c r="T550" s="147">
        <v>224</v>
      </c>
      <c r="U550" s="146" t="s">
        <v>420</v>
      </c>
      <c r="V550" s="146" t="s">
        <v>421</v>
      </c>
      <c r="W550" s="147">
        <v>1</v>
      </c>
      <c r="X550" s="147">
        <v>2</v>
      </c>
      <c r="Y550" s="146" t="s">
        <v>194</v>
      </c>
      <c r="Z550" s="146" t="s">
        <v>195</v>
      </c>
      <c r="AA550" s="146" t="s">
        <v>196</v>
      </c>
      <c r="AB550" s="146" t="s">
        <v>187</v>
      </c>
      <c r="AC550" s="146" t="s">
        <v>187</v>
      </c>
      <c r="AD550" s="148"/>
      <c r="AE550" s="146" t="s">
        <v>209</v>
      </c>
      <c r="AF550" s="147">
        <v>-7.6722700000000001</v>
      </c>
      <c r="AG550" s="149">
        <v>131.22082</v>
      </c>
      <c r="AM550" s="133" t="str" cm="1">
        <f t="array" ref="AM550">IF(ROWS($AN$2:$AN549)&lt;=$AN$2,INDEX($V$3:$V$3000,_xlfn.AGGREGATE(15,3,($B$3:$B$3000=$AM$2)/($B$3:$B$3000=$AM$2)*(ROW($B$3:$B$3000)-ROW($B$2)),ROWS($AN$2:$AN549))),"")</f>
        <v/>
      </c>
      <c r="AN550" s="134" t="str" cm="1">
        <f t="array" ref="AN550">IF(ROWS($AN$2:$AN549)&lt;=$AN$2,INDEX($F$3:$F$3000,_xlfn.AGGREGATE(15,3,($B$3:$B$3000=$AM$2)/($B$3:$B$3000=$AM$2)*(ROW($B$3:$B$3000)-ROW($B$2)),ROWS($AN$2:$AN549))),"")</f>
        <v/>
      </c>
      <c r="AO550" s="135" t="str" cm="1">
        <f t="array" ref="AO550">IF(ROWS($AN$2:$AN549)&lt;=$AN$2,INDEX($G$3:$G$3000,_xlfn.AGGREGATE(15,3,($B$3:$B$3000=$AM$2)/($B$3:$B$3000=$AM$2)*(ROW($B$3:$B$3000)-ROW($B$2)),ROWS($AN$2:$AN549))),"")</f>
        <v/>
      </c>
      <c r="AP550" s="121"/>
      <c r="AT550" s="111"/>
      <c r="AW550" s="134"/>
      <c r="AX550" s="136"/>
      <c r="AY550" s="134"/>
    </row>
    <row r="551" spans="1:51" s="110" customFormat="1" ht="20" customHeight="1">
      <c r="A551" s="125" t="s">
        <v>185</v>
      </c>
      <c r="B551" s="126" t="s">
        <v>59</v>
      </c>
      <c r="C551" s="127">
        <v>14568</v>
      </c>
      <c r="D551" s="145">
        <v>108395</v>
      </c>
      <c r="E551" s="146" t="s">
        <v>2815</v>
      </c>
      <c r="F551" s="146" t="s">
        <v>2815</v>
      </c>
      <c r="G551" s="147">
        <v>2500</v>
      </c>
      <c r="H551" s="147">
        <v>4</v>
      </c>
      <c r="I551" s="146" t="s">
        <v>209</v>
      </c>
      <c r="J551" s="146" t="s">
        <v>2816</v>
      </c>
      <c r="K551" s="146" t="s">
        <v>2815</v>
      </c>
      <c r="L551" s="147">
        <v>1</v>
      </c>
      <c r="M551" s="147">
        <v>1</v>
      </c>
      <c r="N551" s="146" t="s">
        <v>1544</v>
      </c>
      <c r="O551" s="147">
        <v>60</v>
      </c>
      <c r="P551" s="147">
        <v>5</v>
      </c>
      <c r="Q551" s="147">
        <v>17</v>
      </c>
      <c r="R551" s="146" t="s">
        <v>190</v>
      </c>
      <c r="S551" s="146" t="s">
        <v>191</v>
      </c>
      <c r="T551" s="147">
        <v>224</v>
      </c>
      <c r="U551" s="146" t="s">
        <v>420</v>
      </c>
      <c r="V551" s="146" t="s">
        <v>421</v>
      </c>
      <c r="W551" s="147">
        <v>1</v>
      </c>
      <c r="X551" s="147">
        <v>2</v>
      </c>
      <c r="Y551" s="146" t="s">
        <v>194</v>
      </c>
      <c r="Z551" s="146" t="s">
        <v>195</v>
      </c>
      <c r="AA551" s="146" t="s">
        <v>196</v>
      </c>
      <c r="AB551" s="146" t="s">
        <v>187</v>
      </c>
      <c r="AC551" s="146" t="s">
        <v>187</v>
      </c>
      <c r="AD551" s="148"/>
      <c r="AE551" s="146" t="s">
        <v>209</v>
      </c>
      <c r="AF551" s="147">
        <v>-7.5960999999999999</v>
      </c>
      <c r="AG551" s="149">
        <v>127.42288000000001</v>
      </c>
      <c r="AM551" s="133" t="str" cm="1">
        <f t="array" ref="AM551">IF(ROWS($AN$2:$AN550)&lt;=$AN$2,INDEX($V$3:$V$3000,_xlfn.AGGREGATE(15,3,($B$3:$B$3000=$AM$2)/($B$3:$B$3000=$AM$2)*(ROW($B$3:$B$3000)-ROW($B$2)),ROWS($AN$2:$AN550))),"")</f>
        <v/>
      </c>
      <c r="AN551" s="134" t="str" cm="1">
        <f t="array" ref="AN551">IF(ROWS($AN$2:$AN550)&lt;=$AN$2,INDEX($F$3:$F$3000,_xlfn.AGGREGATE(15,3,($B$3:$B$3000=$AM$2)/($B$3:$B$3000=$AM$2)*(ROW($B$3:$B$3000)-ROW($B$2)),ROWS($AN$2:$AN550))),"")</f>
        <v/>
      </c>
      <c r="AO551" s="135" t="str" cm="1">
        <f t="array" ref="AO551">IF(ROWS($AN$2:$AN550)&lt;=$AN$2,INDEX($G$3:$G$3000,_xlfn.AGGREGATE(15,3,($B$3:$B$3000=$AM$2)/($B$3:$B$3000=$AM$2)*(ROW($B$3:$B$3000)-ROW($B$2)),ROWS($AN$2:$AN550))),"")</f>
        <v/>
      </c>
      <c r="AP551" s="121"/>
      <c r="AT551" s="111"/>
      <c r="AW551" s="134"/>
      <c r="AX551" s="136"/>
      <c r="AY551" s="134"/>
    </row>
    <row r="552" spans="1:51" s="110" customFormat="1" ht="20" customHeight="1">
      <c r="A552" s="125" t="s">
        <v>185</v>
      </c>
      <c r="B552" s="126" t="s">
        <v>59</v>
      </c>
      <c r="C552" s="127">
        <v>14130</v>
      </c>
      <c r="D552" s="145">
        <v>107608</v>
      </c>
      <c r="E552" s="146" t="s">
        <v>2697</v>
      </c>
      <c r="F552" s="146" t="s">
        <v>2697</v>
      </c>
      <c r="G552" s="147">
        <v>2000</v>
      </c>
      <c r="H552" s="147">
        <v>4</v>
      </c>
      <c r="I552" s="146" t="s">
        <v>209</v>
      </c>
      <c r="J552" s="146" t="s">
        <v>2698</v>
      </c>
      <c r="K552" s="146" t="s">
        <v>2697</v>
      </c>
      <c r="L552" s="147">
        <v>0</v>
      </c>
      <c r="M552" s="147">
        <v>1</v>
      </c>
      <c r="N552" s="146" t="s">
        <v>1544</v>
      </c>
      <c r="O552" s="147">
        <v>53</v>
      </c>
      <c r="P552" s="147">
        <v>4</v>
      </c>
      <c r="Q552" s="147">
        <v>17</v>
      </c>
      <c r="R552" s="146" t="s">
        <v>190</v>
      </c>
      <c r="S552" s="146" t="s">
        <v>191</v>
      </c>
      <c r="T552" s="147">
        <v>224</v>
      </c>
      <c r="U552" s="146" t="s">
        <v>420</v>
      </c>
      <c r="V552" s="146" t="s">
        <v>421</v>
      </c>
      <c r="W552" s="147">
        <v>1</v>
      </c>
      <c r="X552" s="147">
        <v>2</v>
      </c>
      <c r="Y552" s="146" t="s">
        <v>194</v>
      </c>
      <c r="Z552" s="146" t="s">
        <v>195</v>
      </c>
      <c r="AA552" s="146" t="s">
        <v>196</v>
      </c>
      <c r="AB552" s="146" t="s">
        <v>187</v>
      </c>
      <c r="AC552" s="146" t="s">
        <v>187</v>
      </c>
      <c r="AD552" s="148"/>
      <c r="AE552" s="146" t="s">
        <v>209</v>
      </c>
      <c r="AF552" s="147">
        <v>-8.0896319999999999</v>
      </c>
      <c r="AG552" s="149">
        <v>127.188785</v>
      </c>
      <c r="AM552" s="133" t="str" cm="1">
        <f t="array" ref="AM552">IF(ROWS($AN$2:$AN551)&lt;=$AN$2,INDEX($V$3:$V$3000,_xlfn.AGGREGATE(15,3,($B$3:$B$3000=$AM$2)/($B$3:$B$3000=$AM$2)*(ROW($B$3:$B$3000)-ROW($B$2)),ROWS($AN$2:$AN551))),"")</f>
        <v/>
      </c>
      <c r="AN552" s="134" t="str" cm="1">
        <f t="array" ref="AN552">IF(ROWS($AN$2:$AN551)&lt;=$AN$2,INDEX($F$3:$F$3000,_xlfn.AGGREGATE(15,3,($B$3:$B$3000=$AM$2)/($B$3:$B$3000=$AM$2)*(ROW($B$3:$B$3000)-ROW($B$2)),ROWS($AN$2:$AN551))),"")</f>
        <v/>
      </c>
      <c r="AO552" s="135" t="str" cm="1">
        <f t="array" ref="AO552">IF(ROWS($AN$2:$AN551)&lt;=$AN$2,INDEX($G$3:$G$3000,_xlfn.AGGREGATE(15,3,($B$3:$B$3000=$AM$2)/($B$3:$B$3000=$AM$2)*(ROW($B$3:$B$3000)-ROW($B$2)),ROWS($AN$2:$AN551))),"")</f>
        <v/>
      </c>
      <c r="AP552" s="121"/>
      <c r="AT552" s="111"/>
      <c r="AW552" s="134"/>
      <c r="AX552" s="136"/>
      <c r="AY552" s="134"/>
    </row>
    <row r="553" spans="1:51" s="110" customFormat="1" ht="20" customHeight="1">
      <c r="A553" s="125" t="s">
        <v>185</v>
      </c>
      <c r="B553" s="126" t="s">
        <v>59</v>
      </c>
      <c r="C553" s="127">
        <v>11513</v>
      </c>
      <c r="D553" s="145">
        <v>102478</v>
      </c>
      <c r="E553" s="146" t="s">
        <v>2512</v>
      </c>
      <c r="F553" s="146" t="s">
        <v>2512</v>
      </c>
      <c r="G553" s="147">
        <v>1500</v>
      </c>
      <c r="H553" s="147">
        <v>4</v>
      </c>
      <c r="I553" s="146" t="s">
        <v>209</v>
      </c>
      <c r="J553" s="146" t="s">
        <v>2513</v>
      </c>
      <c r="K553" s="146" t="s">
        <v>2514</v>
      </c>
      <c r="L553" s="147">
        <v>0</v>
      </c>
      <c r="M553" s="147">
        <v>1</v>
      </c>
      <c r="N553" s="146" t="s">
        <v>1544</v>
      </c>
      <c r="O553" s="147">
        <v>66</v>
      </c>
      <c r="P553" s="147">
        <v>5</v>
      </c>
      <c r="Q553" s="147">
        <v>17</v>
      </c>
      <c r="R553" s="146" t="s">
        <v>190</v>
      </c>
      <c r="S553" s="146" t="s">
        <v>191</v>
      </c>
      <c r="T553" s="147">
        <v>224</v>
      </c>
      <c r="U553" s="146" t="s">
        <v>420</v>
      </c>
      <c r="V553" s="146" t="s">
        <v>421</v>
      </c>
      <c r="W553" s="147">
        <v>1</v>
      </c>
      <c r="X553" s="147">
        <v>2</v>
      </c>
      <c r="Y553" s="146" t="s">
        <v>194</v>
      </c>
      <c r="Z553" s="146" t="s">
        <v>195</v>
      </c>
      <c r="AA553" s="146" t="s">
        <v>196</v>
      </c>
      <c r="AB553" s="146" t="s">
        <v>187</v>
      </c>
      <c r="AC553" s="146" t="s">
        <v>187</v>
      </c>
      <c r="AD553" s="148"/>
      <c r="AE553" s="146" t="s">
        <v>209</v>
      </c>
      <c r="AF553" s="147">
        <v>-7.7142099999999996</v>
      </c>
      <c r="AG553" s="149">
        <v>129.99190999999999</v>
      </c>
      <c r="AM553" s="133" t="str" cm="1">
        <f t="array" ref="AM553">IF(ROWS($AN$2:$AN552)&lt;=$AN$2,INDEX($V$3:$V$3000,_xlfn.AGGREGATE(15,3,($B$3:$B$3000=$AM$2)/($B$3:$B$3000=$AM$2)*(ROW($B$3:$B$3000)-ROW($B$2)),ROWS($AN$2:$AN552))),"")</f>
        <v/>
      </c>
      <c r="AN553" s="134" t="str" cm="1">
        <f t="array" ref="AN553">IF(ROWS($AN$2:$AN552)&lt;=$AN$2,INDEX($F$3:$F$3000,_xlfn.AGGREGATE(15,3,($B$3:$B$3000=$AM$2)/($B$3:$B$3000=$AM$2)*(ROW($B$3:$B$3000)-ROW($B$2)),ROWS($AN$2:$AN552))),"")</f>
        <v/>
      </c>
      <c r="AO553" s="135" t="str" cm="1">
        <f t="array" ref="AO553">IF(ROWS($AN$2:$AN552)&lt;=$AN$2,INDEX($G$3:$G$3000,_xlfn.AGGREGATE(15,3,($B$3:$B$3000=$AM$2)/($B$3:$B$3000=$AM$2)*(ROW($B$3:$B$3000)-ROW($B$2)),ROWS($AN$2:$AN552))),"")</f>
        <v/>
      </c>
      <c r="AP553" s="121"/>
      <c r="AT553" s="111"/>
      <c r="AW553" s="134"/>
      <c r="AX553" s="136"/>
      <c r="AY553" s="134"/>
    </row>
    <row r="554" spans="1:51" s="110" customFormat="1" ht="20" customHeight="1">
      <c r="A554" s="125" t="s">
        <v>185</v>
      </c>
      <c r="B554" s="126" t="s">
        <v>59</v>
      </c>
      <c r="C554" s="127">
        <v>11482</v>
      </c>
      <c r="D554" s="145">
        <v>102409</v>
      </c>
      <c r="E554" s="146" t="s">
        <v>2480</v>
      </c>
      <c r="F554" s="146" t="s">
        <v>2481</v>
      </c>
      <c r="G554" s="147">
        <v>1400</v>
      </c>
      <c r="H554" s="147">
        <v>4</v>
      </c>
      <c r="I554" s="146" t="s">
        <v>209</v>
      </c>
      <c r="J554" s="146" t="s">
        <v>2482</v>
      </c>
      <c r="K554" s="146" t="s">
        <v>2480</v>
      </c>
      <c r="L554" s="147">
        <v>1</v>
      </c>
      <c r="M554" s="147">
        <v>1</v>
      </c>
      <c r="N554" s="146" t="s">
        <v>1544</v>
      </c>
      <c r="O554" s="147">
        <v>60</v>
      </c>
      <c r="P554" s="147">
        <v>4</v>
      </c>
      <c r="Q554" s="147">
        <v>17</v>
      </c>
      <c r="R554" s="146" t="s">
        <v>190</v>
      </c>
      <c r="S554" s="146" t="s">
        <v>191</v>
      </c>
      <c r="T554" s="147">
        <v>224</v>
      </c>
      <c r="U554" s="146" t="s">
        <v>420</v>
      </c>
      <c r="V554" s="146" t="s">
        <v>421</v>
      </c>
      <c r="W554" s="147">
        <v>1</v>
      </c>
      <c r="X554" s="147">
        <v>2</v>
      </c>
      <c r="Y554" s="146" t="s">
        <v>194</v>
      </c>
      <c r="Z554" s="146" t="s">
        <v>195</v>
      </c>
      <c r="AA554" s="146" t="s">
        <v>196</v>
      </c>
      <c r="AB554" s="146" t="s">
        <v>187</v>
      </c>
      <c r="AC554" s="146" t="s">
        <v>187</v>
      </c>
      <c r="AD554" s="148"/>
      <c r="AE554" s="146" t="s">
        <v>209</v>
      </c>
      <c r="AF554" s="147">
        <v>-7.1216299999999997</v>
      </c>
      <c r="AG554" s="149">
        <v>128.58383000000001</v>
      </c>
      <c r="AM554" s="133" t="str" cm="1">
        <f t="array" ref="AM554">IF(ROWS($AN$2:$AN553)&lt;=$AN$2,INDEX($V$3:$V$3000,_xlfn.AGGREGATE(15,3,($B$3:$B$3000=$AM$2)/($B$3:$B$3000=$AM$2)*(ROW($B$3:$B$3000)-ROW($B$2)),ROWS($AN$2:$AN553))),"")</f>
        <v/>
      </c>
      <c r="AN554" s="134" t="str" cm="1">
        <f t="array" ref="AN554">IF(ROWS($AN$2:$AN553)&lt;=$AN$2,INDEX($F$3:$F$3000,_xlfn.AGGREGATE(15,3,($B$3:$B$3000=$AM$2)/($B$3:$B$3000=$AM$2)*(ROW($B$3:$B$3000)-ROW($B$2)),ROWS($AN$2:$AN553))),"")</f>
        <v/>
      </c>
      <c r="AO554" s="135" t="str" cm="1">
        <f t="array" ref="AO554">IF(ROWS($AN$2:$AN553)&lt;=$AN$2,INDEX($G$3:$G$3000,_xlfn.AGGREGATE(15,3,($B$3:$B$3000=$AM$2)/($B$3:$B$3000=$AM$2)*(ROW($B$3:$B$3000)-ROW($B$2)),ROWS($AN$2:$AN553))),"")</f>
        <v/>
      </c>
      <c r="AP554" s="121"/>
      <c r="AT554" s="111"/>
      <c r="AW554" s="134"/>
      <c r="AX554" s="136"/>
      <c r="AY554" s="134"/>
    </row>
    <row r="555" spans="1:51" s="110" customFormat="1" ht="20" customHeight="1">
      <c r="A555" s="125" t="s">
        <v>185</v>
      </c>
      <c r="B555" s="126" t="s">
        <v>59</v>
      </c>
      <c r="C555" s="127">
        <v>10538</v>
      </c>
      <c r="D555" s="145">
        <v>100692</v>
      </c>
      <c r="E555" s="146" t="s">
        <v>2409</v>
      </c>
      <c r="F555" s="146" t="s">
        <v>2409</v>
      </c>
      <c r="G555" s="147">
        <v>1200</v>
      </c>
      <c r="H555" s="147">
        <v>4</v>
      </c>
      <c r="I555" s="146" t="s">
        <v>209</v>
      </c>
      <c r="J555" s="146" t="s">
        <v>2410</v>
      </c>
      <c r="K555" s="146" t="s">
        <v>2409</v>
      </c>
      <c r="L555" s="147">
        <v>1</v>
      </c>
      <c r="M555" s="147">
        <v>1</v>
      </c>
      <c r="N555" s="146" t="s">
        <v>1544</v>
      </c>
      <c r="O555" s="147">
        <v>70</v>
      </c>
      <c r="P555" s="147">
        <v>3</v>
      </c>
      <c r="Q555" s="147">
        <v>17</v>
      </c>
      <c r="R555" s="146" t="s">
        <v>190</v>
      </c>
      <c r="S555" s="146" t="s">
        <v>191</v>
      </c>
      <c r="T555" s="147">
        <v>224</v>
      </c>
      <c r="U555" s="146" t="s">
        <v>420</v>
      </c>
      <c r="V555" s="146" t="s">
        <v>421</v>
      </c>
      <c r="W555" s="147">
        <v>1</v>
      </c>
      <c r="X555" s="147">
        <v>2</v>
      </c>
      <c r="Y555" s="146" t="s">
        <v>194</v>
      </c>
      <c r="Z555" s="146" t="s">
        <v>195</v>
      </c>
      <c r="AA555" s="146" t="s">
        <v>196</v>
      </c>
      <c r="AB555" s="146" t="s">
        <v>187</v>
      </c>
      <c r="AC555" s="146" t="s">
        <v>187</v>
      </c>
      <c r="AD555" s="148"/>
      <c r="AE555" s="146" t="s">
        <v>209</v>
      </c>
      <c r="AF555" s="147">
        <v>-7.8375500000000002</v>
      </c>
      <c r="AG555" s="149">
        <v>129.73746</v>
      </c>
      <c r="AM555" s="133" t="str" cm="1">
        <f t="array" ref="AM555">IF(ROWS($AN$2:$AN554)&lt;=$AN$2,INDEX($V$3:$V$3000,_xlfn.AGGREGATE(15,3,($B$3:$B$3000=$AM$2)/($B$3:$B$3000=$AM$2)*(ROW($B$3:$B$3000)-ROW($B$2)),ROWS($AN$2:$AN554))),"")</f>
        <v/>
      </c>
      <c r="AN555" s="134" t="str" cm="1">
        <f t="array" ref="AN555">IF(ROWS($AN$2:$AN554)&lt;=$AN$2,INDEX($F$3:$F$3000,_xlfn.AGGREGATE(15,3,($B$3:$B$3000=$AM$2)/($B$3:$B$3000=$AM$2)*(ROW($B$3:$B$3000)-ROW($B$2)),ROWS($AN$2:$AN554))),"")</f>
        <v/>
      </c>
      <c r="AO555" s="135" t="str" cm="1">
        <f t="array" ref="AO555">IF(ROWS($AN$2:$AN554)&lt;=$AN$2,INDEX($G$3:$G$3000,_xlfn.AGGREGATE(15,3,($B$3:$B$3000=$AM$2)/($B$3:$B$3000=$AM$2)*(ROW($B$3:$B$3000)-ROW($B$2)),ROWS($AN$2:$AN554))),"")</f>
        <v/>
      </c>
      <c r="AP555" s="121"/>
      <c r="AT555" s="111"/>
      <c r="AW555" s="134"/>
      <c r="AX555" s="136"/>
      <c r="AY555" s="134"/>
    </row>
    <row r="556" spans="1:51" s="110" customFormat="1" ht="20" customHeight="1">
      <c r="A556" s="125" t="s">
        <v>185</v>
      </c>
      <c r="B556" s="126" t="s">
        <v>59</v>
      </c>
      <c r="C556" s="127">
        <v>19073</v>
      </c>
      <c r="D556" s="145">
        <v>115072</v>
      </c>
      <c r="E556" s="146" t="s">
        <v>2309</v>
      </c>
      <c r="F556" s="146" t="s">
        <v>2309</v>
      </c>
      <c r="G556" s="147">
        <v>1000</v>
      </c>
      <c r="H556" s="147">
        <v>4</v>
      </c>
      <c r="I556" s="146" t="s">
        <v>209</v>
      </c>
      <c r="J556" s="146" t="s">
        <v>2310</v>
      </c>
      <c r="K556" s="146" t="s">
        <v>2309</v>
      </c>
      <c r="L556" s="147">
        <v>0</v>
      </c>
      <c r="M556" s="147">
        <v>1</v>
      </c>
      <c r="N556" s="146" t="s">
        <v>1544</v>
      </c>
      <c r="O556" s="147">
        <v>70</v>
      </c>
      <c r="P556" s="147">
        <v>4</v>
      </c>
      <c r="Q556" s="147">
        <v>17</v>
      </c>
      <c r="R556" s="146" t="s">
        <v>190</v>
      </c>
      <c r="S556" s="146" t="s">
        <v>191</v>
      </c>
      <c r="T556" s="147">
        <v>224</v>
      </c>
      <c r="U556" s="146" t="s">
        <v>420</v>
      </c>
      <c r="V556" s="146" t="s">
        <v>421</v>
      </c>
      <c r="W556" s="147">
        <v>1</v>
      </c>
      <c r="X556" s="147">
        <v>2</v>
      </c>
      <c r="Y556" s="146" t="s">
        <v>194</v>
      </c>
      <c r="Z556" s="146" t="s">
        <v>195</v>
      </c>
      <c r="AA556" s="146" t="s">
        <v>196</v>
      </c>
      <c r="AB556" s="146" t="s">
        <v>187</v>
      </c>
      <c r="AC556" s="146" t="s">
        <v>187</v>
      </c>
      <c r="AD556" s="148"/>
      <c r="AE556" s="146" t="s">
        <v>209</v>
      </c>
      <c r="AF556" s="147">
        <v>-7.55246</v>
      </c>
      <c r="AG556" s="149">
        <v>129.68353999999999</v>
      </c>
      <c r="AM556" s="133" t="str" cm="1">
        <f t="array" ref="AM556">IF(ROWS($AN$2:$AN555)&lt;=$AN$2,INDEX($V$3:$V$3000,_xlfn.AGGREGATE(15,3,($B$3:$B$3000=$AM$2)/($B$3:$B$3000=$AM$2)*(ROW($B$3:$B$3000)-ROW($B$2)),ROWS($AN$2:$AN555))),"")</f>
        <v/>
      </c>
      <c r="AN556" s="134" t="str" cm="1">
        <f t="array" ref="AN556">IF(ROWS($AN$2:$AN555)&lt;=$AN$2,INDEX($F$3:$F$3000,_xlfn.AGGREGATE(15,3,($B$3:$B$3000=$AM$2)/($B$3:$B$3000=$AM$2)*(ROW($B$3:$B$3000)-ROW($B$2)),ROWS($AN$2:$AN555))),"")</f>
        <v/>
      </c>
      <c r="AO556" s="135" t="str" cm="1">
        <f t="array" ref="AO556">IF(ROWS($AN$2:$AN555)&lt;=$AN$2,INDEX($G$3:$G$3000,_xlfn.AGGREGATE(15,3,($B$3:$B$3000=$AM$2)/($B$3:$B$3000=$AM$2)*(ROW($B$3:$B$3000)-ROW($B$2)),ROWS($AN$2:$AN555))),"")</f>
        <v/>
      </c>
      <c r="AP556" s="121"/>
      <c r="AT556" s="111"/>
      <c r="AW556" s="134"/>
      <c r="AX556" s="136"/>
      <c r="AY556" s="134"/>
    </row>
    <row r="557" spans="1:51" s="110" customFormat="1" ht="20" customHeight="1">
      <c r="A557" s="125" t="s">
        <v>185</v>
      </c>
      <c r="B557" s="126" t="s">
        <v>59</v>
      </c>
      <c r="C557" s="127">
        <v>13567</v>
      </c>
      <c r="D557" s="145">
        <v>106377</v>
      </c>
      <c r="E557" s="146" t="s">
        <v>2313</v>
      </c>
      <c r="F557" s="146" t="s">
        <v>2313</v>
      </c>
      <c r="G557" s="147">
        <v>1000</v>
      </c>
      <c r="H557" s="147">
        <v>4</v>
      </c>
      <c r="I557" s="146" t="s">
        <v>209</v>
      </c>
      <c r="J557" s="146" t="s">
        <v>2314</v>
      </c>
      <c r="K557" s="146" t="s">
        <v>2313</v>
      </c>
      <c r="L557" s="147">
        <v>0</v>
      </c>
      <c r="M557" s="147">
        <v>1</v>
      </c>
      <c r="N557" s="146" t="s">
        <v>1544</v>
      </c>
      <c r="O557" s="147">
        <v>85</v>
      </c>
      <c r="P557" s="147">
        <v>8</v>
      </c>
      <c r="Q557" s="147">
        <v>17</v>
      </c>
      <c r="R557" s="146" t="s">
        <v>190</v>
      </c>
      <c r="S557" s="146" t="s">
        <v>191</v>
      </c>
      <c r="T557" s="147">
        <v>224</v>
      </c>
      <c r="U557" s="146" t="s">
        <v>420</v>
      </c>
      <c r="V557" s="146" t="s">
        <v>421</v>
      </c>
      <c r="W557" s="147">
        <v>1</v>
      </c>
      <c r="X557" s="147">
        <v>2</v>
      </c>
      <c r="Y557" s="146" t="s">
        <v>194</v>
      </c>
      <c r="Z557" s="146" t="s">
        <v>195</v>
      </c>
      <c r="AA557" s="146" t="s">
        <v>196</v>
      </c>
      <c r="AB557" s="146" t="s">
        <v>187</v>
      </c>
      <c r="AC557" s="146" t="s">
        <v>187</v>
      </c>
      <c r="AD557" s="148"/>
      <c r="AE557" s="146" t="s">
        <v>209</v>
      </c>
      <c r="AF557" s="147">
        <v>-8.1354199999999999</v>
      </c>
      <c r="AG557" s="149">
        <v>129.87120999999999</v>
      </c>
      <c r="AM557" s="133" t="str" cm="1">
        <f t="array" ref="AM557">IF(ROWS($AN$2:$AN556)&lt;=$AN$2,INDEX($V$3:$V$3000,_xlfn.AGGREGATE(15,3,($B$3:$B$3000=$AM$2)/($B$3:$B$3000=$AM$2)*(ROW($B$3:$B$3000)-ROW($B$2)),ROWS($AN$2:$AN556))),"")</f>
        <v/>
      </c>
      <c r="AN557" s="134" t="str" cm="1">
        <f t="array" ref="AN557">IF(ROWS($AN$2:$AN556)&lt;=$AN$2,INDEX($F$3:$F$3000,_xlfn.AGGREGATE(15,3,($B$3:$B$3000=$AM$2)/($B$3:$B$3000=$AM$2)*(ROW($B$3:$B$3000)-ROW($B$2)),ROWS($AN$2:$AN556))),"")</f>
        <v/>
      </c>
      <c r="AO557" s="135" t="str" cm="1">
        <f t="array" ref="AO557">IF(ROWS($AN$2:$AN556)&lt;=$AN$2,INDEX($G$3:$G$3000,_xlfn.AGGREGATE(15,3,($B$3:$B$3000=$AM$2)/($B$3:$B$3000=$AM$2)*(ROW($B$3:$B$3000)-ROW($B$2)),ROWS($AN$2:$AN556))),"")</f>
        <v/>
      </c>
      <c r="AP557" s="121"/>
      <c r="AT557" s="111"/>
      <c r="AW557" s="134"/>
      <c r="AX557" s="136"/>
      <c r="AY557" s="134"/>
    </row>
    <row r="558" spans="1:51" s="110" customFormat="1" ht="20" customHeight="1">
      <c r="A558" s="125" t="s">
        <v>185</v>
      </c>
      <c r="B558" s="126" t="s">
        <v>59</v>
      </c>
      <c r="C558" s="127">
        <v>13566</v>
      </c>
      <c r="D558" s="145">
        <v>106376</v>
      </c>
      <c r="E558" s="146" t="s">
        <v>2258</v>
      </c>
      <c r="F558" s="146" t="s">
        <v>2258</v>
      </c>
      <c r="G558" s="147">
        <v>900</v>
      </c>
      <c r="H558" s="147">
        <v>4</v>
      </c>
      <c r="I558" s="146" t="s">
        <v>209</v>
      </c>
      <c r="J558" s="146" t="s">
        <v>2259</v>
      </c>
      <c r="K558" s="146" t="s">
        <v>2258</v>
      </c>
      <c r="L558" s="147">
        <v>0</v>
      </c>
      <c r="M558" s="147">
        <v>1</v>
      </c>
      <c r="N558" s="146" t="s">
        <v>1544</v>
      </c>
      <c r="O558" s="147">
        <v>95</v>
      </c>
      <c r="P558" s="147">
        <v>8</v>
      </c>
      <c r="Q558" s="147">
        <v>17</v>
      </c>
      <c r="R558" s="146" t="s">
        <v>190</v>
      </c>
      <c r="S558" s="146" t="s">
        <v>191</v>
      </c>
      <c r="T558" s="147">
        <v>224</v>
      </c>
      <c r="U558" s="146" t="s">
        <v>420</v>
      </c>
      <c r="V558" s="146" t="s">
        <v>421</v>
      </c>
      <c r="W558" s="147">
        <v>1</v>
      </c>
      <c r="X558" s="147">
        <v>2</v>
      </c>
      <c r="Y558" s="146" t="s">
        <v>194</v>
      </c>
      <c r="Z558" s="146" t="s">
        <v>195</v>
      </c>
      <c r="AA558" s="146" t="s">
        <v>196</v>
      </c>
      <c r="AB558" s="146" t="s">
        <v>187</v>
      </c>
      <c r="AC558" s="146" t="s">
        <v>187</v>
      </c>
      <c r="AD558" s="148"/>
      <c r="AE558" s="146" t="s">
        <v>209</v>
      </c>
      <c r="AF558" s="147">
        <v>-8.1561299999999992</v>
      </c>
      <c r="AG558" s="149">
        <v>129.86239</v>
      </c>
      <c r="AM558" s="133" t="str" cm="1">
        <f t="array" ref="AM558">IF(ROWS($AN$2:$AN557)&lt;=$AN$2,INDEX($V$3:$V$3000,_xlfn.AGGREGATE(15,3,($B$3:$B$3000=$AM$2)/($B$3:$B$3000=$AM$2)*(ROW($B$3:$B$3000)-ROW($B$2)),ROWS($AN$2:$AN557))),"")</f>
        <v/>
      </c>
      <c r="AN558" s="134" t="str" cm="1">
        <f t="array" ref="AN558">IF(ROWS($AN$2:$AN557)&lt;=$AN$2,INDEX($F$3:$F$3000,_xlfn.AGGREGATE(15,3,($B$3:$B$3000=$AM$2)/($B$3:$B$3000=$AM$2)*(ROW($B$3:$B$3000)-ROW($B$2)),ROWS($AN$2:$AN557))),"")</f>
        <v/>
      </c>
      <c r="AO558" s="135" t="str" cm="1">
        <f t="array" ref="AO558">IF(ROWS($AN$2:$AN557)&lt;=$AN$2,INDEX($G$3:$G$3000,_xlfn.AGGREGATE(15,3,($B$3:$B$3000=$AM$2)/($B$3:$B$3000=$AM$2)*(ROW($B$3:$B$3000)-ROW($B$2)),ROWS($AN$2:$AN557))),"")</f>
        <v/>
      </c>
      <c r="AP558" s="121"/>
      <c r="AT558" s="111"/>
      <c r="AW558" s="134"/>
      <c r="AX558" s="136"/>
      <c r="AY558" s="134"/>
    </row>
    <row r="559" spans="1:51" s="110" customFormat="1" ht="20" customHeight="1">
      <c r="A559" s="125" t="s">
        <v>185</v>
      </c>
      <c r="B559" s="126" t="s">
        <v>59</v>
      </c>
      <c r="C559" s="127">
        <v>12223</v>
      </c>
      <c r="D559" s="145">
        <v>104009</v>
      </c>
      <c r="E559" s="146" t="s">
        <v>2093</v>
      </c>
      <c r="F559" s="146" t="s">
        <v>2093</v>
      </c>
      <c r="G559" s="147">
        <v>700</v>
      </c>
      <c r="H559" s="147">
        <v>4</v>
      </c>
      <c r="I559" s="146" t="s">
        <v>209</v>
      </c>
      <c r="J559" s="146" t="s">
        <v>2094</v>
      </c>
      <c r="K559" s="146" t="s">
        <v>2093</v>
      </c>
      <c r="L559" s="147">
        <v>0</v>
      </c>
      <c r="M559" s="147">
        <v>1</v>
      </c>
      <c r="N559" s="146" t="s">
        <v>1544</v>
      </c>
      <c r="O559" s="147">
        <v>60</v>
      </c>
      <c r="P559" s="147">
        <v>5</v>
      </c>
      <c r="Q559" s="147">
        <v>17</v>
      </c>
      <c r="R559" s="146" t="s">
        <v>190</v>
      </c>
      <c r="S559" s="146" t="s">
        <v>191</v>
      </c>
      <c r="T559" s="147">
        <v>224</v>
      </c>
      <c r="U559" s="146" t="s">
        <v>420</v>
      </c>
      <c r="V559" s="146" t="s">
        <v>421</v>
      </c>
      <c r="W559" s="147">
        <v>1</v>
      </c>
      <c r="X559" s="147">
        <v>2</v>
      </c>
      <c r="Y559" s="146" t="s">
        <v>194</v>
      </c>
      <c r="Z559" s="146" t="s">
        <v>195</v>
      </c>
      <c r="AA559" s="146" t="s">
        <v>196</v>
      </c>
      <c r="AB559" s="146" t="s">
        <v>187</v>
      </c>
      <c r="AC559" s="146" t="s">
        <v>187</v>
      </c>
      <c r="AD559" s="148"/>
      <c r="AE559" s="146" t="s">
        <v>209</v>
      </c>
      <c r="AF559" s="147">
        <v>-7.9211450000000001</v>
      </c>
      <c r="AG559" s="149">
        <v>129.63452599999999</v>
      </c>
      <c r="AM559" s="133" t="str" cm="1">
        <f t="array" ref="AM559">IF(ROWS($AN$2:$AN558)&lt;=$AN$2,INDEX($V$3:$V$3000,_xlfn.AGGREGATE(15,3,($B$3:$B$3000=$AM$2)/($B$3:$B$3000=$AM$2)*(ROW($B$3:$B$3000)-ROW($B$2)),ROWS($AN$2:$AN558))),"")</f>
        <v/>
      </c>
      <c r="AN559" s="134" t="str" cm="1">
        <f t="array" ref="AN559">IF(ROWS($AN$2:$AN558)&lt;=$AN$2,INDEX($F$3:$F$3000,_xlfn.AGGREGATE(15,3,($B$3:$B$3000=$AM$2)/($B$3:$B$3000=$AM$2)*(ROW($B$3:$B$3000)-ROW($B$2)),ROWS($AN$2:$AN558))),"")</f>
        <v/>
      </c>
      <c r="AO559" s="135" t="str" cm="1">
        <f t="array" ref="AO559">IF(ROWS($AN$2:$AN558)&lt;=$AN$2,INDEX($G$3:$G$3000,_xlfn.AGGREGATE(15,3,($B$3:$B$3000=$AM$2)/($B$3:$B$3000=$AM$2)*(ROW($B$3:$B$3000)-ROW($B$2)),ROWS($AN$2:$AN558))),"")</f>
        <v/>
      </c>
      <c r="AP559" s="121"/>
      <c r="AT559" s="111"/>
      <c r="AW559" s="134"/>
      <c r="AX559" s="136"/>
      <c r="AY559" s="134"/>
    </row>
    <row r="560" spans="1:51" s="110" customFormat="1" ht="20" customHeight="1">
      <c r="A560" s="125" t="s">
        <v>185</v>
      </c>
      <c r="B560" s="126" t="s">
        <v>59</v>
      </c>
      <c r="C560" s="127">
        <v>12636</v>
      </c>
      <c r="D560" s="145">
        <v>104857</v>
      </c>
      <c r="E560" s="146" t="s">
        <v>2096</v>
      </c>
      <c r="F560" s="146" t="s">
        <v>2096</v>
      </c>
      <c r="G560" s="147">
        <v>700</v>
      </c>
      <c r="H560" s="147">
        <v>4</v>
      </c>
      <c r="I560" s="146" t="s">
        <v>209</v>
      </c>
      <c r="J560" s="146" t="s">
        <v>2097</v>
      </c>
      <c r="K560" s="146" t="s">
        <v>2096</v>
      </c>
      <c r="L560" s="147">
        <v>1</v>
      </c>
      <c r="M560" s="147">
        <v>1</v>
      </c>
      <c r="N560" s="146" t="s">
        <v>1544</v>
      </c>
      <c r="O560" s="147">
        <v>55</v>
      </c>
      <c r="P560" s="147">
        <v>3</v>
      </c>
      <c r="Q560" s="147">
        <v>17</v>
      </c>
      <c r="R560" s="146" t="s">
        <v>190</v>
      </c>
      <c r="S560" s="146" t="s">
        <v>191</v>
      </c>
      <c r="T560" s="147">
        <v>224</v>
      </c>
      <c r="U560" s="146" t="s">
        <v>420</v>
      </c>
      <c r="V560" s="146" t="s">
        <v>421</v>
      </c>
      <c r="W560" s="147">
        <v>1</v>
      </c>
      <c r="X560" s="147">
        <v>2</v>
      </c>
      <c r="Y560" s="146" t="s">
        <v>194</v>
      </c>
      <c r="Z560" s="146" t="s">
        <v>195</v>
      </c>
      <c r="AA560" s="146" t="s">
        <v>196</v>
      </c>
      <c r="AB560" s="146" t="s">
        <v>187</v>
      </c>
      <c r="AC560" s="146" t="s">
        <v>187</v>
      </c>
      <c r="AD560" s="148"/>
      <c r="AE560" s="146" t="s">
        <v>209</v>
      </c>
      <c r="AF560" s="147">
        <v>-6.74132</v>
      </c>
      <c r="AG560" s="149">
        <v>134.37473</v>
      </c>
      <c r="AM560" s="133" t="str" cm="1">
        <f t="array" ref="AM560">IF(ROWS($AN$2:$AN559)&lt;=$AN$2,INDEX($V$3:$V$3000,_xlfn.AGGREGATE(15,3,($B$3:$B$3000=$AM$2)/($B$3:$B$3000=$AM$2)*(ROW($B$3:$B$3000)-ROW($B$2)),ROWS($AN$2:$AN559))),"")</f>
        <v/>
      </c>
      <c r="AN560" s="134" t="str" cm="1">
        <f t="array" ref="AN560">IF(ROWS($AN$2:$AN559)&lt;=$AN$2,INDEX($F$3:$F$3000,_xlfn.AGGREGATE(15,3,($B$3:$B$3000=$AM$2)/($B$3:$B$3000=$AM$2)*(ROW($B$3:$B$3000)-ROW($B$2)),ROWS($AN$2:$AN559))),"")</f>
        <v/>
      </c>
      <c r="AO560" s="135" t="str" cm="1">
        <f t="array" ref="AO560">IF(ROWS($AN$2:$AN559)&lt;=$AN$2,INDEX($G$3:$G$3000,_xlfn.AGGREGATE(15,3,($B$3:$B$3000=$AM$2)/($B$3:$B$3000=$AM$2)*(ROW($B$3:$B$3000)-ROW($B$2)),ROWS($AN$2:$AN559))),"")</f>
        <v/>
      </c>
      <c r="AP560" s="121"/>
      <c r="AT560" s="111"/>
      <c r="AW560" s="134"/>
      <c r="AX560" s="136"/>
      <c r="AY560" s="134"/>
    </row>
    <row r="561" spans="1:51" s="110" customFormat="1" ht="20" customHeight="1">
      <c r="A561" s="125" t="s">
        <v>185</v>
      </c>
      <c r="B561" s="126" t="s">
        <v>59</v>
      </c>
      <c r="C561" s="127">
        <v>14870</v>
      </c>
      <c r="D561" s="145">
        <v>108866</v>
      </c>
      <c r="E561" s="146" t="s">
        <v>2031</v>
      </c>
      <c r="F561" s="146" t="s">
        <v>2031</v>
      </c>
      <c r="G561" s="147">
        <v>600</v>
      </c>
      <c r="H561" s="147">
        <v>4</v>
      </c>
      <c r="I561" s="146" t="s">
        <v>209</v>
      </c>
      <c r="J561" s="146" t="s">
        <v>2032</v>
      </c>
      <c r="K561" s="146" t="s">
        <v>2031</v>
      </c>
      <c r="L561" s="147">
        <v>0</v>
      </c>
      <c r="M561" s="147">
        <v>1</v>
      </c>
      <c r="N561" s="146" t="s">
        <v>1544</v>
      </c>
      <c r="O561" s="147">
        <v>90</v>
      </c>
      <c r="P561" s="147">
        <v>8</v>
      </c>
      <c r="Q561" s="147">
        <v>17</v>
      </c>
      <c r="R561" s="146" t="s">
        <v>190</v>
      </c>
      <c r="S561" s="146" t="s">
        <v>191</v>
      </c>
      <c r="T561" s="147">
        <v>224</v>
      </c>
      <c r="U561" s="146" t="s">
        <v>420</v>
      </c>
      <c r="V561" s="146" t="s">
        <v>421</v>
      </c>
      <c r="W561" s="147">
        <v>1</v>
      </c>
      <c r="X561" s="147">
        <v>2</v>
      </c>
      <c r="Y561" s="146" t="s">
        <v>194</v>
      </c>
      <c r="Z561" s="146" t="s">
        <v>195</v>
      </c>
      <c r="AA561" s="146" t="s">
        <v>196</v>
      </c>
      <c r="AB561" s="146" t="s">
        <v>187</v>
      </c>
      <c r="AC561" s="146" t="s">
        <v>187</v>
      </c>
      <c r="AD561" s="148"/>
      <c r="AE561" s="146" t="s">
        <v>209</v>
      </c>
      <c r="AF561" s="147">
        <v>-8.1116600000000005</v>
      </c>
      <c r="AG561" s="149">
        <v>129.90331</v>
      </c>
      <c r="AM561" s="133" t="str" cm="1">
        <f t="array" ref="AM561">IF(ROWS($AN$2:$AN560)&lt;=$AN$2,INDEX($V$3:$V$3000,_xlfn.AGGREGATE(15,3,($B$3:$B$3000=$AM$2)/($B$3:$B$3000=$AM$2)*(ROW($B$3:$B$3000)-ROW($B$2)),ROWS($AN$2:$AN560))),"")</f>
        <v/>
      </c>
      <c r="AN561" s="134" t="str" cm="1">
        <f t="array" ref="AN561">IF(ROWS($AN$2:$AN560)&lt;=$AN$2,INDEX($F$3:$F$3000,_xlfn.AGGREGATE(15,3,($B$3:$B$3000=$AM$2)/($B$3:$B$3000=$AM$2)*(ROW($B$3:$B$3000)-ROW($B$2)),ROWS($AN$2:$AN560))),"")</f>
        <v/>
      </c>
      <c r="AO561" s="135" t="str" cm="1">
        <f t="array" ref="AO561">IF(ROWS($AN$2:$AN560)&lt;=$AN$2,INDEX($G$3:$G$3000,_xlfn.AGGREGATE(15,3,($B$3:$B$3000=$AM$2)/($B$3:$B$3000=$AM$2)*(ROW($B$3:$B$3000)-ROW($B$2)),ROWS($AN$2:$AN560))),"")</f>
        <v/>
      </c>
      <c r="AP561" s="121"/>
      <c r="AT561" s="111"/>
      <c r="AW561" s="134"/>
      <c r="AX561" s="136"/>
      <c r="AY561" s="134"/>
    </row>
    <row r="562" spans="1:51" s="110" customFormat="1" ht="20" customHeight="1">
      <c r="A562" s="125" t="s">
        <v>185</v>
      </c>
      <c r="B562" s="126" t="s">
        <v>59</v>
      </c>
      <c r="C562" s="127">
        <v>13110</v>
      </c>
      <c r="D562" s="145">
        <v>105864</v>
      </c>
      <c r="E562" s="146" t="s">
        <v>1670</v>
      </c>
      <c r="F562" s="146" t="s">
        <v>1670</v>
      </c>
      <c r="G562" s="147">
        <v>200</v>
      </c>
      <c r="H562" s="147">
        <v>4</v>
      </c>
      <c r="I562" s="146" t="s">
        <v>209</v>
      </c>
      <c r="J562" s="146" t="s">
        <v>1671</v>
      </c>
      <c r="K562" s="146" t="s">
        <v>1670</v>
      </c>
      <c r="L562" s="147">
        <v>1</v>
      </c>
      <c r="M562" s="147">
        <v>1</v>
      </c>
      <c r="N562" s="146" t="s">
        <v>1544</v>
      </c>
      <c r="O562" s="147">
        <v>75</v>
      </c>
      <c r="P562" s="147">
        <v>5</v>
      </c>
      <c r="Q562" s="147">
        <v>17</v>
      </c>
      <c r="R562" s="146" t="s">
        <v>190</v>
      </c>
      <c r="S562" s="146" t="s">
        <v>191</v>
      </c>
      <c r="T562" s="147">
        <v>224</v>
      </c>
      <c r="U562" s="146" t="s">
        <v>420</v>
      </c>
      <c r="V562" s="146" t="s">
        <v>421</v>
      </c>
      <c r="W562" s="147">
        <v>1</v>
      </c>
      <c r="X562" s="147">
        <v>2</v>
      </c>
      <c r="Y562" s="146" t="s">
        <v>194</v>
      </c>
      <c r="Z562" s="146" t="s">
        <v>195</v>
      </c>
      <c r="AA562" s="146" t="s">
        <v>196</v>
      </c>
      <c r="AB562" s="146" t="s">
        <v>187</v>
      </c>
      <c r="AC562" s="146" t="s">
        <v>187</v>
      </c>
      <c r="AD562" s="148"/>
      <c r="AE562" s="146" t="s">
        <v>209</v>
      </c>
      <c r="AF562" s="147">
        <v>-6.3014299999999999</v>
      </c>
      <c r="AG562" s="149">
        <v>134.41189</v>
      </c>
      <c r="AM562" s="133" t="str" cm="1">
        <f t="array" ref="AM562">IF(ROWS($AN$2:$AN561)&lt;=$AN$2,INDEX($V$3:$V$3000,_xlfn.AGGREGATE(15,3,($B$3:$B$3000=$AM$2)/($B$3:$B$3000=$AM$2)*(ROW($B$3:$B$3000)-ROW($B$2)),ROWS($AN$2:$AN561))),"")</f>
        <v/>
      </c>
      <c r="AN562" s="134" t="str" cm="1">
        <f t="array" ref="AN562">IF(ROWS($AN$2:$AN561)&lt;=$AN$2,INDEX($F$3:$F$3000,_xlfn.AGGREGATE(15,3,($B$3:$B$3000=$AM$2)/($B$3:$B$3000=$AM$2)*(ROW($B$3:$B$3000)-ROW($B$2)),ROWS($AN$2:$AN561))),"")</f>
        <v/>
      </c>
      <c r="AO562" s="135" t="str" cm="1">
        <f t="array" ref="AO562">IF(ROWS($AN$2:$AN561)&lt;=$AN$2,INDEX($G$3:$G$3000,_xlfn.AGGREGATE(15,3,($B$3:$B$3000=$AM$2)/($B$3:$B$3000=$AM$2)*(ROW($B$3:$B$3000)-ROW($B$2)),ROWS($AN$2:$AN561))),"")</f>
        <v/>
      </c>
      <c r="AP562" s="121"/>
      <c r="AT562" s="111"/>
      <c r="AW562" s="134"/>
      <c r="AX562" s="136"/>
      <c r="AY562" s="134"/>
    </row>
    <row r="563" spans="1:51" s="110" customFormat="1" ht="20" customHeight="1">
      <c r="A563" s="125" t="s">
        <v>185</v>
      </c>
      <c r="B563" s="126" t="s">
        <v>59</v>
      </c>
      <c r="C563" s="127">
        <v>13045</v>
      </c>
      <c r="D563" s="128">
        <v>105733</v>
      </c>
      <c r="E563" s="129" t="s">
        <v>3665</v>
      </c>
      <c r="F563" s="129" t="s">
        <v>3665</v>
      </c>
      <c r="G563" s="130">
        <v>11000</v>
      </c>
      <c r="H563" s="130">
        <v>5</v>
      </c>
      <c r="I563" s="129" t="s">
        <v>209</v>
      </c>
      <c r="J563" s="129" t="s">
        <v>3666</v>
      </c>
      <c r="K563" s="129" t="s">
        <v>3665</v>
      </c>
      <c r="L563" s="130">
        <v>0</v>
      </c>
      <c r="M563" s="130">
        <v>1</v>
      </c>
      <c r="N563" s="129" t="s">
        <v>1544</v>
      </c>
      <c r="O563" s="130">
        <v>70</v>
      </c>
      <c r="P563" s="130">
        <v>15</v>
      </c>
      <c r="Q563" s="130">
        <v>17</v>
      </c>
      <c r="R563" s="129" t="s">
        <v>190</v>
      </c>
      <c r="S563" s="129" t="s">
        <v>191</v>
      </c>
      <c r="T563" s="130">
        <v>224</v>
      </c>
      <c r="U563" s="129" t="s">
        <v>420</v>
      </c>
      <c r="V563" s="129" t="s">
        <v>421</v>
      </c>
      <c r="W563" s="130">
        <v>1</v>
      </c>
      <c r="X563" s="130">
        <v>2</v>
      </c>
      <c r="Y563" s="129" t="s">
        <v>194</v>
      </c>
      <c r="Z563" s="129" t="s">
        <v>195</v>
      </c>
      <c r="AA563" s="129" t="s">
        <v>196</v>
      </c>
      <c r="AB563" s="129" t="s">
        <v>187</v>
      </c>
      <c r="AC563" s="129" t="s">
        <v>187</v>
      </c>
      <c r="AD563" s="131"/>
      <c r="AE563" s="129" t="s">
        <v>209</v>
      </c>
      <c r="AF563" s="130">
        <v>-8.2054927251092007</v>
      </c>
      <c r="AG563" s="132">
        <v>127.722275258596</v>
      </c>
      <c r="AM563" s="133" t="str" cm="1">
        <f t="array" ref="AM563">IF(ROWS($AN$2:$AN562)&lt;=$AN$2,INDEX($V$3:$V$3000,_xlfn.AGGREGATE(15,3,($B$3:$B$3000=$AM$2)/($B$3:$B$3000=$AM$2)*(ROW($B$3:$B$3000)-ROW($B$2)),ROWS($AN$2:$AN562))),"")</f>
        <v/>
      </c>
      <c r="AN563" s="134" t="str" cm="1">
        <f t="array" ref="AN563">IF(ROWS($AN$2:$AN562)&lt;=$AN$2,INDEX($F$3:$F$3000,_xlfn.AGGREGATE(15,3,($B$3:$B$3000=$AM$2)/($B$3:$B$3000=$AM$2)*(ROW($B$3:$B$3000)-ROW($B$2)),ROWS($AN$2:$AN562))),"")</f>
        <v/>
      </c>
      <c r="AO563" s="135" t="str" cm="1">
        <f t="array" ref="AO563">IF(ROWS($AN$2:$AN562)&lt;=$AN$2,INDEX($G$3:$G$3000,_xlfn.AGGREGATE(15,3,($B$3:$B$3000=$AM$2)/($B$3:$B$3000=$AM$2)*(ROW($B$3:$B$3000)-ROW($B$2)),ROWS($AN$2:$AN562))),"")</f>
        <v/>
      </c>
      <c r="AP563" s="121"/>
      <c r="AT563" s="111"/>
      <c r="AW563" s="134"/>
      <c r="AX563" s="136"/>
      <c r="AY563" s="134"/>
    </row>
    <row r="564" spans="1:51" s="110" customFormat="1" ht="20" customHeight="1">
      <c r="A564" s="125" t="s">
        <v>480</v>
      </c>
      <c r="B564" s="126" t="s">
        <v>63</v>
      </c>
      <c r="C564" s="127">
        <v>12112</v>
      </c>
      <c r="D564" s="128">
        <v>103844</v>
      </c>
      <c r="E564" s="129" t="s">
        <v>4317</v>
      </c>
      <c r="F564" s="129" t="s">
        <v>4317</v>
      </c>
      <c r="G564" s="130">
        <v>1144000</v>
      </c>
      <c r="H564" s="130">
        <v>5</v>
      </c>
      <c r="I564" s="129" t="s">
        <v>209</v>
      </c>
      <c r="J564" s="129" t="s">
        <v>4318</v>
      </c>
      <c r="K564" s="129" t="s">
        <v>4317</v>
      </c>
      <c r="L564" s="130">
        <v>5</v>
      </c>
      <c r="M564" s="130">
        <v>1</v>
      </c>
      <c r="N564" s="129" t="s">
        <v>1544</v>
      </c>
      <c r="O564" s="130">
        <v>51</v>
      </c>
      <c r="P564" s="130">
        <v>35</v>
      </c>
      <c r="Q564" s="130">
        <v>20</v>
      </c>
      <c r="R564" s="129" t="s">
        <v>574</v>
      </c>
      <c r="S564" s="129" t="s">
        <v>575</v>
      </c>
      <c r="T564" s="130">
        <v>230</v>
      </c>
      <c r="U564" s="129" t="s">
        <v>2470</v>
      </c>
      <c r="V564" s="129" t="s">
        <v>2471</v>
      </c>
      <c r="W564" s="130">
        <v>7</v>
      </c>
      <c r="X564" s="130">
        <v>2</v>
      </c>
      <c r="Y564" s="129" t="s">
        <v>194</v>
      </c>
      <c r="Z564" s="129" t="s">
        <v>195</v>
      </c>
      <c r="AA564" s="129" t="s">
        <v>196</v>
      </c>
      <c r="AB564" s="129" t="s">
        <v>187</v>
      </c>
      <c r="AC564" s="129" t="s">
        <v>187</v>
      </c>
      <c r="AD564" s="131"/>
      <c r="AE564" s="129" t="s">
        <v>209</v>
      </c>
      <c r="AF564" s="130">
        <v>21.488559999744201</v>
      </c>
      <c r="AG564" s="132">
        <v>103.552580000267</v>
      </c>
      <c r="AM564" s="133" t="str" cm="1">
        <f t="array" ref="AM564">IF(ROWS($AN$2:$AN563)&lt;=$AN$2,INDEX($V$3:$V$3000,_xlfn.AGGREGATE(15,3,($B$3:$B$3000=$AM$2)/($B$3:$B$3000=$AM$2)*(ROW($B$3:$B$3000)-ROW($B$2)),ROWS($AN$2:$AN563))),"")</f>
        <v/>
      </c>
      <c r="AN564" s="134" t="str" cm="1">
        <f t="array" ref="AN564">IF(ROWS($AN$2:$AN563)&lt;=$AN$2,INDEX($F$3:$F$3000,_xlfn.AGGREGATE(15,3,($B$3:$B$3000=$AM$2)/($B$3:$B$3000=$AM$2)*(ROW($B$3:$B$3000)-ROW($B$2)),ROWS($AN$2:$AN563))),"")</f>
        <v/>
      </c>
      <c r="AO564" s="135" t="str" cm="1">
        <f t="array" ref="AO564">IF(ROWS($AN$2:$AN563)&lt;=$AN$2,INDEX($G$3:$G$3000,_xlfn.AGGREGATE(15,3,($B$3:$B$3000=$AM$2)/($B$3:$B$3000=$AM$2)*(ROW($B$3:$B$3000)-ROW($B$2)),ROWS($AN$2:$AN563))),"")</f>
        <v/>
      </c>
      <c r="AP564" s="121"/>
      <c r="AT564" s="111"/>
      <c r="AW564" s="134"/>
      <c r="AX564" s="136"/>
      <c r="AY564" s="134"/>
    </row>
    <row r="565" spans="1:51" s="110" customFormat="1" ht="20" customHeight="1">
      <c r="A565" s="125" t="s">
        <v>480</v>
      </c>
      <c r="B565" s="126" t="s">
        <v>63</v>
      </c>
      <c r="C565" s="127">
        <v>18495</v>
      </c>
      <c r="D565" s="128">
        <v>114106</v>
      </c>
      <c r="E565" s="129" t="s">
        <v>3759</v>
      </c>
      <c r="F565" s="129" t="s">
        <v>3759</v>
      </c>
      <c r="G565" s="130">
        <v>160000</v>
      </c>
      <c r="H565" s="130">
        <v>5</v>
      </c>
      <c r="I565" s="129" t="s">
        <v>209</v>
      </c>
      <c r="J565" s="129" t="s">
        <v>3760</v>
      </c>
      <c r="K565" s="129" t="s">
        <v>3759</v>
      </c>
      <c r="L565" s="130">
        <v>5</v>
      </c>
      <c r="M565" s="130">
        <v>1</v>
      </c>
      <c r="N565" s="129" t="s">
        <v>1544</v>
      </c>
      <c r="O565" s="130">
        <v>50</v>
      </c>
      <c r="P565" s="130">
        <v>33</v>
      </c>
      <c r="Q565" s="130">
        <v>20</v>
      </c>
      <c r="R565" s="129" t="s">
        <v>574</v>
      </c>
      <c r="S565" s="129" t="s">
        <v>575</v>
      </c>
      <c r="T565" s="130">
        <v>230</v>
      </c>
      <c r="U565" s="129" t="s">
        <v>2470</v>
      </c>
      <c r="V565" s="129" t="s">
        <v>2471</v>
      </c>
      <c r="W565" s="130">
        <v>10</v>
      </c>
      <c r="X565" s="130">
        <v>2</v>
      </c>
      <c r="Y565" s="129" t="s">
        <v>194</v>
      </c>
      <c r="Z565" s="129" t="s">
        <v>195</v>
      </c>
      <c r="AA565" s="129" t="s">
        <v>196</v>
      </c>
      <c r="AB565" s="129" t="s">
        <v>187</v>
      </c>
      <c r="AC565" s="129" t="s">
        <v>209</v>
      </c>
      <c r="AD565" s="131"/>
      <c r="AE565" s="129" t="s">
        <v>209</v>
      </c>
      <c r="AF565" s="130">
        <v>21.818162000000001</v>
      </c>
      <c r="AG565" s="132">
        <v>105.555583</v>
      </c>
      <c r="AM565" s="133" t="str" cm="1">
        <f t="array" ref="AM565">IF(ROWS($AN$2:$AN564)&lt;=$AN$2,INDEX($V$3:$V$3000,_xlfn.AGGREGATE(15,3,($B$3:$B$3000=$AM$2)/($B$3:$B$3000=$AM$2)*(ROW($B$3:$B$3000)-ROW($B$2)),ROWS($AN$2:$AN564))),"")</f>
        <v/>
      </c>
      <c r="AN565" s="134" t="str" cm="1">
        <f t="array" ref="AN565">IF(ROWS($AN$2:$AN564)&lt;=$AN$2,INDEX($F$3:$F$3000,_xlfn.AGGREGATE(15,3,($B$3:$B$3000=$AM$2)/($B$3:$B$3000=$AM$2)*(ROW($B$3:$B$3000)-ROW($B$2)),ROWS($AN$2:$AN564))),"")</f>
        <v/>
      </c>
      <c r="AO565" s="135" t="str" cm="1">
        <f t="array" ref="AO565">IF(ROWS($AN$2:$AN564)&lt;=$AN$2,INDEX($G$3:$G$3000,_xlfn.AGGREGATE(15,3,($B$3:$B$3000=$AM$2)/($B$3:$B$3000=$AM$2)*(ROW($B$3:$B$3000)-ROW($B$2)),ROWS($AN$2:$AN564))),"")</f>
        <v/>
      </c>
      <c r="AP565" s="121"/>
      <c r="AT565" s="111"/>
      <c r="AW565" s="134"/>
      <c r="AX565" s="136"/>
      <c r="AY565" s="134"/>
    </row>
    <row r="566" spans="1:51" s="110" customFormat="1" ht="20" customHeight="1">
      <c r="A566" s="125" t="s">
        <v>185</v>
      </c>
      <c r="B566" s="126" t="s">
        <v>59</v>
      </c>
      <c r="C566" s="127">
        <v>13789</v>
      </c>
      <c r="D566" s="145">
        <v>106759</v>
      </c>
      <c r="E566" s="146" t="s">
        <v>4792</v>
      </c>
      <c r="F566" s="146" t="s">
        <v>4792</v>
      </c>
      <c r="G566" s="147">
        <v>296000</v>
      </c>
      <c r="H566" s="147">
        <v>4</v>
      </c>
      <c r="I566" s="146" t="s">
        <v>209</v>
      </c>
      <c r="J566" s="146" t="s">
        <v>4793</v>
      </c>
      <c r="K566" s="146" t="s">
        <v>4792</v>
      </c>
      <c r="L566" s="147">
        <v>5</v>
      </c>
      <c r="M566" s="147">
        <v>1</v>
      </c>
      <c r="N566" s="146" t="s">
        <v>1544</v>
      </c>
      <c r="O566" s="147">
        <v>55</v>
      </c>
      <c r="P566" s="147">
        <v>9</v>
      </c>
      <c r="Q566" s="147">
        <v>17</v>
      </c>
      <c r="R566" s="146" t="s">
        <v>190</v>
      </c>
      <c r="S566" s="146" t="s">
        <v>191</v>
      </c>
      <c r="T566" s="147">
        <v>232</v>
      </c>
      <c r="U566" s="146" t="s">
        <v>508</v>
      </c>
      <c r="V566" s="146" t="s">
        <v>509</v>
      </c>
      <c r="W566" s="147">
        <v>1</v>
      </c>
      <c r="X566" s="147">
        <v>2</v>
      </c>
      <c r="Y566" s="146" t="s">
        <v>194</v>
      </c>
      <c r="Z566" s="146" t="s">
        <v>195</v>
      </c>
      <c r="AA566" s="146" t="s">
        <v>196</v>
      </c>
      <c r="AB566" s="146" t="s">
        <v>187</v>
      </c>
      <c r="AC566" s="146" t="s">
        <v>187</v>
      </c>
      <c r="AD566" s="148"/>
      <c r="AE566" s="146" t="s">
        <v>209</v>
      </c>
      <c r="AF566" s="147">
        <v>0.66034000000000004</v>
      </c>
      <c r="AG566" s="149">
        <v>124.09316</v>
      </c>
      <c r="AM566" s="133" t="str" cm="1">
        <f t="array" ref="AM566">IF(ROWS($AN$2:$AN565)&lt;=$AN$2,INDEX($V$3:$V$3000,_xlfn.AGGREGATE(15,3,($B$3:$B$3000=$AM$2)/($B$3:$B$3000=$AM$2)*(ROW($B$3:$B$3000)-ROW($B$2)),ROWS($AN$2:$AN565))),"")</f>
        <v/>
      </c>
      <c r="AN566" s="134" t="str" cm="1">
        <f t="array" ref="AN566">IF(ROWS($AN$2:$AN565)&lt;=$AN$2,INDEX($F$3:$F$3000,_xlfn.AGGREGATE(15,3,($B$3:$B$3000=$AM$2)/($B$3:$B$3000=$AM$2)*(ROW($B$3:$B$3000)-ROW($B$2)),ROWS($AN$2:$AN565))),"")</f>
        <v/>
      </c>
      <c r="AO566" s="135" t="str" cm="1">
        <f t="array" ref="AO566">IF(ROWS($AN$2:$AN565)&lt;=$AN$2,INDEX($G$3:$G$3000,_xlfn.AGGREGATE(15,3,($B$3:$B$3000=$AM$2)/($B$3:$B$3000=$AM$2)*(ROW($B$3:$B$3000)-ROW($B$2)),ROWS($AN$2:$AN565))),"")</f>
        <v/>
      </c>
      <c r="AP566" s="121"/>
      <c r="AT566" s="111"/>
      <c r="AW566" s="134"/>
      <c r="AX566" s="136"/>
      <c r="AY566" s="134"/>
    </row>
    <row r="567" spans="1:51" s="110" customFormat="1" ht="20" customHeight="1">
      <c r="A567" s="125" t="s">
        <v>185</v>
      </c>
      <c r="B567" s="126" t="s">
        <v>59</v>
      </c>
      <c r="C567" s="127">
        <v>15213</v>
      </c>
      <c r="D567" s="145">
        <v>109753</v>
      </c>
      <c r="E567" s="146" t="s">
        <v>4617</v>
      </c>
      <c r="F567" s="146" t="s">
        <v>4617</v>
      </c>
      <c r="G567" s="147">
        <v>108000</v>
      </c>
      <c r="H567" s="147">
        <v>4</v>
      </c>
      <c r="I567" s="146" t="s">
        <v>209</v>
      </c>
      <c r="J567" s="146" t="s">
        <v>4618</v>
      </c>
      <c r="K567" s="146" t="s">
        <v>4617</v>
      </c>
      <c r="L567" s="147">
        <v>5</v>
      </c>
      <c r="M567" s="147">
        <v>1</v>
      </c>
      <c r="N567" s="146" t="s">
        <v>1544</v>
      </c>
      <c r="O567" s="147">
        <v>60</v>
      </c>
      <c r="P567" s="147">
        <v>8</v>
      </c>
      <c r="Q567" s="147">
        <v>17</v>
      </c>
      <c r="R567" s="146" t="s">
        <v>190</v>
      </c>
      <c r="S567" s="146" t="s">
        <v>191</v>
      </c>
      <c r="T567" s="147">
        <v>232</v>
      </c>
      <c r="U567" s="146" t="s">
        <v>508</v>
      </c>
      <c r="V567" s="146" t="s">
        <v>509</v>
      </c>
      <c r="W567" s="147">
        <v>1</v>
      </c>
      <c r="X567" s="147">
        <v>2</v>
      </c>
      <c r="Y567" s="146" t="s">
        <v>194</v>
      </c>
      <c r="Z567" s="146" t="s">
        <v>195</v>
      </c>
      <c r="AA567" s="146" t="s">
        <v>196</v>
      </c>
      <c r="AB567" s="146" t="s">
        <v>187</v>
      </c>
      <c r="AC567" s="146" t="s">
        <v>187</v>
      </c>
      <c r="AD567" s="148"/>
      <c r="AE567" s="146" t="s">
        <v>209</v>
      </c>
      <c r="AF567" s="147">
        <v>4.3869300000000004</v>
      </c>
      <c r="AG567" s="149">
        <v>126.77760000000001</v>
      </c>
      <c r="AM567" s="133" t="str" cm="1">
        <f t="array" ref="AM567">IF(ROWS($AN$2:$AN566)&lt;=$AN$2,INDEX($V$3:$V$3000,_xlfn.AGGREGATE(15,3,($B$3:$B$3000=$AM$2)/($B$3:$B$3000=$AM$2)*(ROW($B$3:$B$3000)-ROW($B$2)),ROWS($AN$2:$AN566))),"")</f>
        <v/>
      </c>
      <c r="AN567" s="134" t="str" cm="1">
        <f t="array" ref="AN567">IF(ROWS($AN$2:$AN566)&lt;=$AN$2,INDEX($F$3:$F$3000,_xlfn.AGGREGATE(15,3,($B$3:$B$3000=$AM$2)/($B$3:$B$3000=$AM$2)*(ROW($B$3:$B$3000)-ROW($B$2)),ROWS($AN$2:$AN566))),"")</f>
        <v/>
      </c>
      <c r="AO567" s="135" t="str" cm="1">
        <f t="array" ref="AO567">IF(ROWS($AN$2:$AN566)&lt;=$AN$2,INDEX($G$3:$G$3000,_xlfn.AGGREGATE(15,3,($B$3:$B$3000=$AM$2)/($B$3:$B$3000=$AM$2)*(ROW($B$3:$B$3000)-ROW($B$2)),ROWS($AN$2:$AN566))),"")</f>
        <v/>
      </c>
      <c r="AP567" s="121"/>
      <c r="AT567" s="111"/>
      <c r="AW567" s="134"/>
      <c r="AX567" s="136"/>
      <c r="AY567" s="134"/>
    </row>
    <row r="568" spans="1:51" s="110" customFormat="1" ht="20" customHeight="1">
      <c r="A568" s="125" t="s">
        <v>185</v>
      </c>
      <c r="B568" s="126" t="s">
        <v>59</v>
      </c>
      <c r="C568" s="127">
        <v>15549</v>
      </c>
      <c r="D568" s="145">
        <v>110147</v>
      </c>
      <c r="E568" s="146" t="s">
        <v>4619</v>
      </c>
      <c r="F568" s="146" t="s">
        <v>4619</v>
      </c>
      <c r="G568" s="147">
        <v>108000</v>
      </c>
      <c r="H568" s="147">
        <v>4</v>
      </c>
      <c r="I568" s="146" t="s">
        <v>209</v>
      </c>
      <c r="J568" s="146" t="s">
        <v>4620</v>
      </c>
      <c r="K568" s="146" t="s">
        <v>4621</v>
      </c>
      <c r="L568" s="147">
        <v>4</v>
      </c>
      <c r="M568" s="147">
        <v>1</v>
      </c>
      <c r="N568" s="146" t="s">
        <v>1544</v>
      </c>
      <c r="O568" s="147">
        <v>98</v>
      </c>
      <c r="P568" s="147">
        <v>8</v>
      </c>
      <c r="Q568" s="147">
        <v>17</v>
      </c>
      <c r="R568" s="146" t="s">
        <v>190</v>
      </c>
      <c r="S568" s="146" t="s">
        <v>191</v>
      </c>
      <c r="T568" s="147">
        <v>232</v>
      </c>
      <c r="U568" s="146" t="s">
        <v>508</v>
      </c>
      <c r="V568" s="146" t="s">
        <v>509</v>
      </c>
      <c r="W568" s="147">
        <v>1</v>
      </c>
      <c r="X568" s="147">
        <v>2</v>
      </c>
      <c r="Y568" s="146" t="s">
        <v>194</v>
      </c>
      <c r="Z568" s="146" t="s">
        <v>195</v>
      </c>
      <c r="AA568" s="146" t="s">
        <v>196</v>
      </c>
      <c r="AB568" s="146" t="s">
        <v>187</v>
      </c>
      <c r="AC568" s="146" t="s">
        <v>187</v>
      </c>
      <c r="AD568" s="148"/>
      <c r="AE568" s="146" t="s">
        <v>209</v>
      </c>
      <c r="AF568" s="147">
        <v>1.3829199999999999</v>
      </c>
      <c r="AG568" s="149">
        <v>124.78851</v>
      </c>
      <c r="AM568" s="133" t="str" cm="1">
        <f t="array" ref="AM568">IF(ROWS($AN$2:$AN567)&lt;=$AN$2,INDEX($V$3:$V$3000,_xlfn.AGGREGATE(15,3,($B$3:$B$3000=$AM$2)/($B$3:$B$3000=$AM$2)*(ROW($B$3:$B$3000)-ROW($B$2)),ROWS($AN$2:$AN567))),"")</f>
        <v/>
      </c>
      <c r="AN568" s="134" t="str" cm="1">
        <f t="array" ref="AN568">IF(ROWS($AN$2:$AN567)&lt;=$AN$2,INDEX($F$3:$F$3000,_xlfn.AGGREGATE(15,3,($B$3:$B$3000=$AM$2)/($B$3:$B$3000=$AM$2)*(ROW($B$3:$B$3000)-ROW($B$2)),ROWS($AN$2:$AN567))),"")</f>
        <v/>
      </c>
      <c r="AO568" s="135" t="str" cm="1">
        <f t="array" ref="AO568">IF(ROWS($AN$2:$AN567)&lt;=$AN$2,INDEX($G$3:$G$3000,_xlfn.AGGREGATE(15,3,($B$3:$B$3000=$AM$2)/($B$3:$B$3000=$AM$2)*(ROW($B$3:$B$3000)-ROW($B$2)),ROWS($AN$2:$AN567))),"")</f>
        <v/>
      </c>
      <c r="AP568" s="121"/>
      <c r="AT568" s="111"/>
      <c r="AW568" s="134"/>
      <c r="AX568" s="136"/>
      <c r="AY568" s="134"/>
    </row>
    <row r="569" spans="1:51" s="110" customFormat="1" ht="20" customHeight="1">
      <c r="A569" s="125" t="s">
        <v>185</v>
      </c>
      <c r="B569" s="126" t="s">
        <v>59</v>
      </c>
      <c r="C569" s="127">
        <v>18748</v>
      </c>
      <c r="D569" s="145">
        <v>114388</v>
      </c>
      <c r="E569" s="146" t="s">
        <v>4544</v>
      </c>
      <c r="F569" s="146" t="s">
        <v>4544</v>
      </c>
      <c r="G569" s="147">
        <v>80000</v>
      </c>
      <c r="H569" s="147">
        <v>4</v>
      </c>
      <c r="I569" s="146" t="s">
        <v>209</v>
      </c>
      <c r="J569" s="146" t="s">
        <v>3985</v>
      </c>
      <c r="K569" s="146" t="s">
        <v>3986</v>
      </c>
      <c r="L569" s="147">
        <v>5</v>
      </c>
      <c r="M569" s="147">
        <v>1</v>
      </c>
      <c r="N569" s="146" t="s">
        <v>1544</v>
      </c>
      <c r="O569" s="147">
        <v>55</v>
      </c>
      <c r="P569" s="147">
        <v>8.1959999999999997</v>
      </c>
      <c r="Q569" s="147">
        <v>17</v>
      </c>
      <c r="R569" s="146" t="s">
        <v>190</v>
      </c>
      <c r="S569" s="146" t="s">
        <v>191</v>
      </c>
      <c r="T569" s="147">
        <v>232</v>
      </c>
      <c r="U569" s="146" t="s">
        <v>508</v>
      </c>
      <c r="V569" s="146" t="s">
        <v>509</v>
      </c>
      <c r="W569" s="147">
        <v>1</v>
      </c>
      <c r="X569" s="147">
        <v>2</v>
      </c>
      <c r="Y569" s="146" t="s">
        <v>194</v>
      </c>
      <c r="Z569" s="146" t="s">
        <v>195</v>
      </c>
      <c r="AA569" s="146" t="s">
        <v>196</v>
      </c>
      <c r="AB569" s="146" t="s">
        <v>187</v>
      </c>
      <c r="AC569" s="146" t="s">
        <v>187</v>
      </c>
      <c r="AD569" s="148"/>
      <c r="AE569" s="146" t="s">
        <v>209</v>
      </c>
      <c r="AF569" s="147">
        <v>2.7286207308620201</v>
      </c>
      <c r="AG569" s="149">
        <v>125.371156832222</v>
      </c>
      <c r="AM569" s="133" t="str" cm="1">
        <f t="array" ref="AM569">IF(ROWS($AN$2:$AN568)&lt;=$AN$2,INDEX($V$3:$V$3000,_xlfn.AGGREGATE(15,3,($B$3:$B$3000=$AM$2)/($B$3:$B$3000=$AM$2)*(ROW($B$3:$B$3000)-ROW($B$2)),ROWS($AN$2:$AN568))),"")</f>
        <v/>
      </c>
      <c r="AN569" s="134" t="str" cm="1">
        <f t="array" ref="AN569">IF(ROWS($AN$2:$AN568)&lt;=$AN$2,INDEX($F$3:$F$3000,_xlfn.AGGREGATE(15,3,($B$3:$B$3000=$AM$2)/($B$3:$B$3000=$AM$2)*(ROW($B$3:$B$3000)-ROW($B$2)),ROWS($AN$2:$AN568))),"")</f>
        <v/>
      </c>
      <c r="AO569" s="135" t="str" cm="1">
        <f t="array" ref="AO569">IF(ROWS($AN$2:$AN568)&lt;=$AN$2,INDEX($G$3:$G$3000,_xlfn.AGGREGATE(15,3,($B$3:$B$3000=$AM$2)/($B$3:$B$3000=$AM$2)*(ROW($B$3:$B$3000)-ROW($B$2)),ROWS($AN$2:$AN568))),"")</f>
        <v/>
      </c>
      <c r="AP569" s="121"/>
      <c r="AT569" s="111"/>
      <c r="AW569" s="134"/>
      <c r="AX569" s="136"/>
      <c r="AY569" s="134"/>
    </row>
    <row r="570" spans="1:51" s="110" customFormat="1" ht="20" customHeight="1">
      <c r="A570" s="125" t="s">
        <v>185</v>
      </c>
      <c r="B570" s="126" t="s">
        <v>59</v>
      </c>
      <c r="C570" s="127">
        <v>14525</v>
      </c>
      <c r="D570" s="145">
        <v>108311</v>
      </c>
      <c r="E570" s="146" t="s">
        <v>4401</v>
      </c>
      <c r="F570" s="146" t="s">
        <v>4402</v>
      </c>
      <c r="G570" s="147">
        <v>46000</v>
      </c>
      <c r="H570" s="147">
        <v>4</v>
      </c>
      <c r="I570" s="146" t="s">
        <v>209</v>
      </c>
      <c r="J570" s="146" t="s">
        <v>4403</v>
      </c>
      <c r="K570" s="146" t="s">
        <v>4404</v>
      </c>
      <c r="L570" s="147">
        <v>5</v>
      </c>
      <c r="M570" s="147">
        <v>1</v>
      </c>
      <c r="N570" s="146" t="s">
        <v>1544</v>
      </c>
      <c r="O570" s="147">
        <v>90</v>
      </c>
      <c r="P570" s="147">
        <v>7</v>
      </c>
      <c r="Q570" s="147">
        <v>17</v>
      </c>
      <c r="R570" s="146" t="s">
        <v>190</v>
      </c>
      <c r="S570" s="146" t="s">
        <v>191</v>
      </c>
      <c r="T570" s="147">
        <v>232</v>
      </c>
      <c r="U570" s="146" t="s">
        <v>508</v>
      </c>
      <c r="V570" s="146" t="s">
        <v>509</v>
      </c>
      <c r="W570" s="147">
        <v>1</v>
      </c>
      <c r="X570" s="147">
        <v>2</v>
      </c>
      <c r="Y570" s="146" t="s">
        <v>194</v>
      </c>
      <c r="Z570" s="146" t="s">
        <v>195</v>
      </c>
      <c r="AA570" s="146" t="s">
        <v>196</v>
      </c>
      <c r="AB570" s="146" t="s">
        <v>187</v>
      </c>
      <c r="AC570" s="146" t="s">
        <v>187</v>
      </c>
      <c r="AD570" s="148"/>
      <c r="AE570" s="146" t="s">
        <v>209</v>
      </c>
      <c r="AF570" s="147">
        <v>1.06996</v>
      </c>
      <c r="AG570" s="149">
        <v>124.85159</v>
      </c>
      <c r="AM570" s="133" t="str" cm="1">
        <f t="array" ref="AM570">IF(ROWS($AN$2:$AN569)&lt;=$AN$2,INDEX($V$3:$V$3000,_xlfn.AGGREGATE(15,3,($B$3:$B$3000=$AM$2)/($B$3:$B$3000=$AM$2)*(ROW($B$3:$B$3000)-ROW($B$2)),ROWS($AN$2:$AN569))),"")</f>
        <v/>
      </c>
      <c r="AN570" s="134" t="str" cm="1">
        <f t="array" ref="AN570">IF(ROWS($AN$2:$AN569)&lt;=$AN$2,INDEX($F$3:$F$3000,_xlfn.AGGREGATE(15,3,($B$3:$B$3000=$AM$2)/($B$3:$B$3000=$AM$2)*(ROW($B$3:$B$3000)-ROW($B$2)),ROWS($AN$2:$AN569))),"")</f>
        <v/>
      </c>
      <c r="AO570" s="135" t="str" cm="1">
        <f t="array" ref="AO570">IF(ROWS($AN$2:$AN569)&lt;=$AN$2,INDEX($G$3:$G$3000,_xlfn.AGGREGATE(15,3,($B$3:$B$3000=$AM$2)/($B$3:$B$3000=$AM$2)*(ROW($B$3:$B$3000)-ROW($B$2)),ROWS($AN$2:$AN569))),"")</f>
        <v/>
      </c>
      <c r="AP570" s="121"/>
      <c r="AT570" s="111"/>
      <c r="AW570" s="134"/>
      <c r="AX570" s="136"/>
      <c r="AY570" s="134"/>
    </row>
    <row r="571" spans="1:51" s="110" customFormat="1" ht="20" customHeight="1">
      <c r="A571" s="125" t="s">
        <v>185</v>
      </c>
      <c r="B571" s="126" t="s">
        <v>59</v>
      </c>
      <c r="C571" s="127">
        <v>14725</v>
      </c>
      <c r="D571" s="128">
        <v>108643</v>
      </c>
      <c r="E571" s="129" t="s">
        <v>4651</v>
      </c>
      <c r="F571" s="129" t="s">
        <v>4791</v>
      </c>
      <c r="G571" s="130">
        <v>280000</v>
      </c>
      <c r="H571" s="130">
        <v>5</v>
      </c>
      <c r="I571" s="129" t="s">
        <v>209</v>
      </c>
      <c r="J571" s="129" t="s">
        <v>3985</v>
      </c>
      <c r="K571" s="129" t="s">
        <v>3986</v>
      </c>
      <c r="L571" s="130">
        <v>5</v>
      </c>
      <c r="M571" s="130">
        <v>1</v>
      </c>
      <c r="N571" s="129" t="s">
        <v>1544</v>
      </c>
      <c r="O571" s="130">
        <v>60</v>
      </c>
      <c r="P571" s="130">
        <v>12</v>
      </c>
      <c r="Q571" s="130">
        <v>17</v>
      </c>
      <c r="R571" s="129" t="s">
        <v>190</v>
      </c>
      <c r="S571" s="129" t="s">
        <v>191</v>
      </c>
      <c r="T571" s="130">
        <v>232</v>
      </c>
      <c r="U571" s="129" t="s">
        <v>508</v>
      </c>
      <c r="V571" s="129" t="s">
        <v>509</v>
      </c>
      <c r="W571" s="130">
        <v>2</v>
      </c>
      <c r="X571" s="130">
        <v>2</v>
      </c>
      <c r="Y571" s="129" t="s">
        <v>194</v>
      </c>
      <c r="Z571" s="129" t="s">
        <v>195</v>
      </c>
      <c r="AA571" s="129" t="s">
        <v>196</v>
      </c>
      <c r="AB571" s="129" t="s">
        <v>187</v>
      </c>
      <c r="AC571" s="129" t="s">
        <v>187</v>
      </c>
      <c r="AD571" s="131"/>
      <c r="AE571" s="129" t="s">
        <v>209</v>
      </c>
      <c r="AF571" s="130">
        <v>3.6130337342194698</v>
      </c>
      <c r="AG571" s="132">
        <v>125.51127598060199</v>
      </c>
      <c r="AM571" s="133" t="str" cm="1">
        <f t="array" ref="AM571">IF(ROWS($AN$2:$AN570)&lt;=$AN$2,INDEX($V$3:$V$3000,_xlfn.AGGREGATE(15,3,($B$3:$B$3000=$AM$2)/($B$3:$B$3000=$AM$2)*(ROW($B$3:$B$3000)-ROW($B$2)),ROWS($AN$2:$AN570))),"")</f>
        <v/>
      </c>
      <c r="AN571" s="134" t="str" cm="1">
        <f t="array" ref="AN571">IF(ROWS($AN$2:$AN570)&lt;=$AN$2,INDEX($F$3:$F$3000,_xlfn.AGGREGATE(15,3,($B$3:$B$3000=$AM$2)/($B$3:$B$3000=$AM$2)*(ROW($B$3:$B$3000)-ROW($B$2)),ROWS($AN$2:$AN570))),"")</f>
        <v/>
      </c>
      <c r="AO571" s="135" t="str" cm="1">
        <f t="array" ref="AO571">IF(ROWS($AN$2:$AN570)&lt;=$AN$2,INDEX($G$3:$G$3000,_xlfn.AGGREGATE(15,3,($B$3:$B$3000=$AM$2)/($B$3:$B$3000=$AM$2)*(ROW($B$3:$B$3000)-ROW($B$2)),ROWS($AN$2:$AN570))),"")</f>
        <v/>
      </c>
      <c r="AP571" s="121"/>
      <c r="AT571" s="111"/>
      <c r="AW571" s="134"/>
      <c r="AX571" s="136"/>
      <c r="AY571" s="134"/>
    </row>
    <row r="572" spans="1:51" s="110" customFormat="1" ht="20" customHeight="1">
      <c r="A572" s="125" t="s">
        <v>185</v>
      </c>
      <c r="B572" s="126" t="s">
        <v>59</v>
      </c>
      <c r="C572" s="127">
        <v>15559</v>
      </c>
      <c r="D572" s="128">
        <v>110162</v>
      </c>
      <c r="E572" s="129" t="s">
        <v>4755</v>
      </c>
      <c r="F572" s="129" t="s">
        <v>4755</v>
      </c>
      <c r="G572" s="130">
        <v>226000</v>
      </c>
      <c r="H572" s="130">
        <v>5</v>
      </c>
      <c r="I572" s="129" t="s">
        <v>209</v>
      </c>
      <c r="J572" s="129" t="s">
        <v>4756</v>
      </c>
      <c r="K572" s="129" t="s">
        <v>4757</v>
      </c>
      <c r="L572" s="130">
        <v>4</v>
      </c>
      <c r="M572" s="130">
        <v>1</v>
      </c>
      <c r="N572" s="129" t="s">
        <v>1544</v>
      </c>
      <c r="O572" s="130">
        <v>98</v>
      </c>
      <c r="P572" s="130">
        <v>20</v>
      </c>
      <c r="Q572" s="130">
        <v>17</v>
      </c>
      <c r="R572" s="129" t="s">
        <v>190</v>
      </c>
      <c r="S572" s="129" t="s">
        <v>191</v>
      </c>
      <c r="T572" s="130">
        <v>232</v>
      </c>
      <c r="U572" s="129" t="s">
        <v>508</v>
      </c>
      <c r="V572" s="129" t="s">
        <v>509</v>
      </c>
      <c r="W572" s="130">
        <v>1</v>
      </c>
      <c r="X572" s="130">
        <v>2</v>
      </c>
      <c r="Y572" s="129" t="s">
        <v>194</v>
      </c>
      <c r="Z572" s="129" t="s">
        <v>195</v>
      </c>
      <c r="AA572" s="129" t="s">
        <v>196</v>
      </c>
      <c r="AB572" s="129" t="s">
        <v>187</v>
      </c>
      <c r="AC572" s="129" t="s">
        <v>187</v>
      </c>
      <c r="AD572" s="131"/>
      <c r="AE572" s="129" t="s">
        <v>209</v>
      </c>
      <c r="AF572" s="130">
        <v>1.0939300000000001</v>
      </c>
      <c r="AG572" s="132">
        <v>124.56999</v>
      </c>
      <c r="AM572" s="133" t="str" cm="1">
        <f t="array" ref="AM572">IF(ROWS($AN$2:$AN571)&lt;=$AN$2,INDEX($V$3:$V$3000,_xlfn.AGGREGATE(15,3,($B$3:$B$3000=$AM$2)/($B$3:$B$3000=$AM$2)*(ROW($B$3:$B$3000)-ROW($B$2)),ROWS($AN$2:$AN571))),"")</f>
        <v/>
      </c>
      <c r="AN572" s="134" t="str" cm="1">
        <f t="array" ref="AN572">IF(ROWS($AN$2:$AN571)&lt;=$AN$2,INDEX($F$3:$F$3000,_xlfn.AGGREGATE(15,3,($B$3:$B$3000=$AM$2)/($B$3:$B$3000=$AM$2)*(ROW($B$3:$B$3000)-ROW($B$2)),ROWS($AN$2:$AN571))),"")</f>
        <v/>
      </c>
      <c r="AO572" s="135" t="str" cm="1">
        <f t="array" ref="AO572">IF(ROWS($AN$2:$AN571)&lt;=$AN$2,INDEX($G$3:$G$3000,_xlfn.AGGREGATE(15,3,($B$3:$B$3000=$AM$2)/($B$3:$B$3000=$AM$2)*(ROW($B$3:$B$3000)-ROW($B$2)),ROWS($AN$2:$AN571))),"")</f>
        <v/>
      </c>
      <c r="AP572" s="121"/>
      <c r="AT572" s="111"/>
      <c r="AW572" s="134"/>
      <c r="AX572" s="136"/>
      <c r="AY572" s="134"/>
    </row>
    <row r="573" spans="1:51" s="110" customFormat="1" ht="20" customHeight="1">
      <c r="A573" s="125" t="s">
        <v>185</v>
      </c>
      <c r="B573" s="126" t="s">
        <v>59</v>
      </c>
      <c r="C573" s="127">
        <v>15558</v>
      </c>
      <c r="D573" s="128">
        <v>110161</v>
      </c>
      <c r="E573" s="129" t="s">
        <v>4694</v>
      </c>
      <c r="F573" s="129" t="s">
        <v>4694</v>
      </c>
      <c r="G573" s="130">
        <v>144000</v>
      </c>
      <c r="H573" s="130">
        <v>5</v>
      </c>
      <c r="I573" s="129" t="s">
        <v>209</v>
      </c>
      <c r="J573" s="129" t="s">
        <v>4695</v>
      </c>
      <c r="K573" s="129" t="s">
        <v>4694</v>
      </c>
      <c r="L573" s="130">
        <v>3</v>
      </c>
      <c r="M573" s="130">
        <v>1</v>
      </c>
      <c r="N573" s="129" t="s">
        <v>1544</v>
      </c>
      <c r="O573" s="130">
        <v>97</v>
      </c>
      <c r="P573" s="130">
        <v>22.222000000000001</v>
      </c>
      <c r="Q573" s="130">
        <v>17</v>
      </c>
      <c r="R573" s="129" t="s">
        <v>190</v>
      </c>
      <c r="S573" s="129" t="s">
        <v>191</v>
      </c>
      <c r="T573" s="130">
        <v>232</v>
      </c>
      <c r="U573" s="129" t="s">
        <v>508</v>
      </c>
      <c r="V573" s="129" t="s">
        <v>509</v>
      </c>
      <c r="W573" s="130">
        <v>1</v>
      </c>
      <c r="X573" s="130">
        <v>2</v>
      </c>
      <c r="Y573" s="129" t="s">
        <v>194</v>
      </c>
      <c r="Z573" s="129" t="s">
        <v>195</v>
      </c>
      <c r="AA573" s="129" t="s">
        <v>196</v>
      </c>
      <c r="AB573" s="129" t="s">
        <v>187</v>
      </c>
      <c r="AC573" s="129" t="s">
        <v>187</v>
      </c>
      <c r="AD573" s="131"/>
      <c r="AE573" s="129" t="s">
        <v>209</v>
      </c>
      <c r="AF573" s="130">
        <v>1.5042899999999999</v>
      </c>
      <c r="AG573" s="132">
        <v>125.03855</v>
      </c>
      <c r="AM573" s="133" t="str" cm="1">
        <f t="array" ref="AM573">IF(ROWS($AN$2:$AN572)&lt;=$AN$2,INDEX($V$3:$V$3000,_xlfn.AGGREGATE(15,3,($B$3:$B$3000=$AM$2)/($B$3:$B$3000=$AM$2)*(ROW($B$3:$B$3000)-ROW($B$2)),ROWS($AN$2:$AN572))),"")</f>
        <v/>
      </c>
      <c r="AN573" s="134" t="str" cm="1">
        <f t="array" ref="AN573">IF(ROWS($AN$2:$AN572)&lt;=$AN$2,INDEX($F$3:$F$3000,_xlfn.AGGREGATE(15,3,($B$3:$B$3000=$AM$2)/($B$3:$B$3000=$AM$2)*(ROW($B$3:$B$3000)-ROW($B$2)),ROWS($AN$2:$AN572))),"")</f>
        <v/>
      </c>
      <c r="AO573" s="135" t="str" cm="1">
        <f t="array" ref="AO573">IF(ROWS($AN$2:$AN572)&lt;=$AN$2,INDEX($G$3:$G$3000,_xlfn.AGGREGATE(15,3,($B$3:$B$3000=$AM$2)/($B$3:$B$3000=$AM$2)*(ROW($B$3:$B$3000)-ROW($B$2)),ROWS($AN$2:$AN572))),"")</f>
        <v/>
      </c>
      <c r="AP573" s="121"/>
      <c r="AT573" s="111"/>
      <c r="AW573" s="134"/>
      <c r="AX573" s="136"/>
      <c r="AY573" s="134"/>
    </row>
    <row r="574" spans="1:51" s="110" customFormat="1" ht="20" customHeight="1">
      <c r="A574" s="125" t="s">
        <v>185</v>
      </c>
      <c r="B574" s="126" t="s">
        <v>59</v>
      </c>
      <c r="C574" s="127">
        <v>15552</v>
      </c>
      <c r="D574" s="128">
        <v>110151</v>
      </c>
      <c r="E574" s="129" t="s">
        <v>4646</v>
      </c>
      <c r="F574" s="129" t="s">
        <v>4647</v>
      </c>
      <c r="G574" s="130">
        <v>119000</v>
      </c>
      <c r="H574" s="130">
        <v>5</v>
      </c>
      <c r="I574" s="129" t="s">
        <v>209</v>
      </c>
      <c r="J574" s="129" t="s">
        <v>4648</v>
      </c>
      <c r="K574" s="129" t="s">
        <v>4649</v>
      </c>
      <c r="L574" s="130">
        <v>4</v>
      </c>
      <c r="M574" s="130">
        <v>1</v>
      </c>
      <c r="N574" s="129" t="s">
        <v>1544</v>
      </c>
      <c r="O574" s="130">
        <v>98</v>
      </c>
      <c r="P574" s="130">
        <v>22</v>
      </c>
      <c r="Q574" s="130">
        <v>17</v>
      </c>
      <c r="R574" s="129" t="s">
        <v>190</v>
      </c>
      <c r="S574" s="129" t="s">
        <v>191</v>
      </c>
      <c r="T574" s="130">
        <v>232</v>
      </c>
      <c r="U574" s="129" t="s">
        <v>508</v>
      </c>
      <c r="V574" s="129" t="s">
        <v>509</v>
      </c>
      <c r="W574" s="130">
        <v>1</v>
      </c>
      <c r="X574" s="130">
        <v>2</v>
      </c>
      <c r="Y574" s="129" t="s">
        <v>194</v>
      </c>
      <c r="Z574" s="129" t="s">
        <v>195</v>
      </c>
      <c r="AA574" s="129" t="s">
        <v>196</v>
      </c>
      <c r="AB574" s="129" t="s">
        <v>187</v>
      </c>
      <c r="AC574" s="129" t="s">
        <v>187</v>
      </c>
      <c r="AD574" s="131"/>
      <c r="AE574" s="129" t="s">
        <v>209</v>
      </c>
      <c r="AF574" s="130">
        <v>1.2910299999999999</v>
      </c>
      <c r="AG574" s="132">
        <v>124.97705000000001</v>
      </c>
      <c r="AM574" s="133" t="str" cm="1">
        <f t="array" ref="AM574">IF(ROWS($AN$2:$AN573)&lt;=$AN$2,INDEX($V$3:$V$3000,_xlfn.AGGREGATE(15,3,($B$3:$B$3000=$AM$2)/($B$3:$B$3000=$AM$2)*(ROW($B$3:$B$3000)-ROW($B$2)),ROWS($AN$2:$AN573))),"")</f>
        <v/>
      </c>
      <c r="AN574" s="134" t="str" cm="1">
        <f t="array" ref="AN574">IF(ROWS($AN$2:$AN573)&lt;=$AN$2,INDEX($F$3:$F$3000,_xlfn.AGGREGATE(15,3,($B$3:$B$3000=$AM$2)/($B$3:$B$3000=$AM$2)*(ROW($B$3:$B$3000)-ROW($B$2)),ROWS($AN$2:$AN573))),"")</f>
        <v/>
      </c>
      <c r="AO574" s="135" t="str" cm="1">
        <f t="array" ref="AO574">IF(ROWS($AN$2:$AN573)&lt;=$AN$2,INDEX($G$3:$G$3000,_xlfn.AGGREGATE(15,3,($B$3:$B$3000=$AM$2)/($B$3:$B$3000=$AM$2)*(ROW($B$3:$B$3000)-ROW($B$2)),ROWS($AN$2:$AN573))),"")</f>
        <v/>
      </c>
      <c r="AP574" s="121"/>
      <c r="AT574" s="111"/>
      <c r="AW574" s="134"/>
      <c r="AX574" s="136"/>
      <c r="AY574" s="134"/>
    </row>
    <row r="575" spans="1:51" s="110" customFormat="1" ht="20" customHeight="1">
      <c r="A575" s="125" t="s">
        <v>185</v>
      </c>
      <c r="B575" s="126" t="s">
        <v>59</v>
      </c>
      <c r="C575" s="127">
        <v>15557</v>
      </c>
      <c r="D575" s="128">
        <v>110160</v>
      </c>
      <c r="E575" s="129" t="s">
        <v>4314</v>
      </c>
      <c r="F575" s="129" t="s">
        <v>4314</v>
      </c>
      <c r="G575" s="130">
        <v>36000</v>
      </c>
      <c r="H575" s="130">
        <v>5</v>
      </c>
      <c r="I575" s="129" t="s">
        <v>209</v>
      </c>
      <c r="J575" s="129" t="s">
        <v>4315</v>
      </c>
      <c r="K575" s="129" t="s">
        <v>4314</v>
      </c>
      <c r="L575" s="130">
        <v>0</v>
      </c>
      <c r="M575" s="130">
        <v>1</v>
      </c>
      <c r="N575" s="129" t="s">
        <v>1544</v>
      </c>
      <c r="O575" s="130">
        <v>98</v>
      </c>
      <c r="P575" s="130">
        <v>16</v>
      </c>
      <c r="Q575" s="130">
        <v>17</v>
      </c>
      <c r="R575" s="129" t="s">
        <v>190</v>
      </c>
      <c r="S575" s="129" t="s">
        <v>191</v>
      </c>
      <c r="T575" s="130">
        <v>232</v>
      </c>
      <c r="U575" s="129" t="s">
        <v>508</v>
      </c>
      <c r="V575" s="129" t="s">
        <v>509</v>
      </c>
      <c r="W575" s="130">
        <v>1</v>
      </c>
      <c r="X575" s="130">
        <v>2</v>
      </c>
      <c r="Y575" s="129" t="s">
        <v>194</v>
      </c>
      <c r="Z575" s="129" t="s">
        <v>195</v>
      </c>
      <c r="AA575" s="129" t="s">
        <v>196</v>
      </c>
      <c r="AB575" s="129" t="s">
        <v>187</v>
      </c>
      <c r="AC575" s="129" t="s">
        <v>187</v>
      </c>
      <c r="AD575" s="131"/>
      <c r="AE575" s="129" t="s">
        <v>209</v>
      </c>
      <c r="AF575" s="130">
        <v>0.96733999999999998</v>
      </c>
      <c r="AG575" s="132">
        <v>124.58047000000001</v>
      </c>
      <c r="AM575" s="133" t="str" cm="1">
        <f t="array" ref="AM575">IF(ROWS($AN$2:$AN574)&lt;=$AN$2,INDEX($V$3:$V$3000,_xlfn.AGGREGATE(15,3,($B$3:$B$3000=$AM$2)/($B$3:$B$3000=$AM$2)*(ROW($B$3:$B$3000)-ROW($B$2)),ROWS($AN$2:$AN574))),"")</f>
        <v/>
      </c>
      <c r="AN575" s="134" t="str" cm="1">
        <f t="array" ref="AN575">IF(ROWS($AN$2:$AN574)&lt;=$AN$2,INDEX($F$3:$F$3000,_xlfn.AGGREGATE(15,3,($B$3:$B$3000=$AM$2)/($B$3:$B$3000=$AM$2)*(ROW($B$3:$B$3000)-ROW($B$2)),ROWS($AN$2:$AN574))),"")</f>
        <v/>
      </c>
      <c r="AO575" s="135" t="str" cm="1">
        <f t="array" ref="AO575">IF(ROWS($AN$2:$AN574)&lt;=$AN$2,INDEX($G$3:$G$3000,_xlfn.AGGREGATE(15,3,($B$3:$B$3000=$AM$2)/($B$3:$B$3000=$AM$2)*(ROW($B$3:$B$3000)-ROW($B$2)),ROWS($AN$2:$AN574))),"")</f>
        <v/>
      </c>
      <c r="AP575" s="121"/>
      <c r="AT575" s="111"/>
      <c r="AW575" s="134"/>
      <c r="AX575" s="136"/>
      <c r="AY575" s="134"/>
    </row>
    <row r="576" spans="1:51" s="110" customFormat="1" ht="20" customHeight="1">
      <c r="A576" s="125" t="s">
        <v>185</v>
      </c>
      <c r="B576" s="126" t="s">
        <v>59</v>
      </c>
      <c r="C576" s="127">
        <v>15180</v>
      </c>
      <c r="D576" s="128">
        <v>109700</v>
      </c>
      <c r="E576" s="129" t="s">
        <v>3984</v>
      </c>
      <c r="F576" s="129" t="s">
        <v>3984</v>
      </c>
      <c r="G576" s="130">
        <v>18000</v>
      </c>
      <c r="H576" s="130">
        <v>5</v>
      </c>
      <c r="I576" s="129" t="s">
        <v>209</v>
      </c>
      <c r="J576" s="129" t="s">
        <v>3985</v>
      </c>
      <c r="K576" s="129" t="s">
        <v>3986</v>
      </c>
      <c r="L576" s="130">
        <v>5</v>
      </c>
      <c r="M576" s="130">
        <v>1</v>
      </c>
      <c r="N576" s="129" t="s">
        <v>1544</v>
      </c>
      <c r="O576" s="130">
        <v>60</v>
      </c>
      <c r="P576" s="130">
        <v>12</v>
      </c>
      <c r="Q576" s="130">
        <v>17</v>
      </c>
      <c r="R576" s="129" t="s">
        <v>190</v>
      </c>
      <c r="S576" s="129" t="s">
        <v>191</v>
      </c>
      <c r="T576" s="130">
        <v>232</v>
      </c>
      <c r="U576" s="129" t="s">
        <v>508</v>
      </c>
      <c r="V576" s="129" t="s">
        <v>509</v>
      </c>
      <c r="W576" s="130">
        <v>1</v>
      </c>
      <c r="X576" s="130">
        <v>2</v>
      </c>
      <c r="Y576" s="129" t="s">
        <v>194</v>
      </c>
      <c r="Z576" s="129" t="s">
        <v>195</v>
      </c>
      <c r="AA576" s="129" t="s">
        <v>196</v>
      </c>
      <c r="AB576" s="129" t="s">
        <v>187</v>
      </c>
      <c r="AC576" s="129" t="s">
        <v>187</v>
      </c>
      <c r="AD576" s="131"/>
      <c r="AE576" s="129" t="s">
        <v>209</v>
      </c>
      <c r="AF576" s="130">
        <v>2.3380218558239698</v>
      </c>
      <c r="AG576" s="132">
        <v>125.386725882893</v>
      </c>
      <c r="AM576" s="133" t="str" cm="1">
        <f t="array" ref="AM576">IF(ROWS($AN$2:$AN575)&lt;=$AN$2,INDEX($V$3:$V$3000,_xlfn.AGGREGATE(15,3,($B$3:$B$3000=$AM$2)/($B$3:$B$3000=$AM$2)*(ROW($B$3:$B$3000)-ROW($B$2)),ROWS($AN$2:$AN575))),"")</f>
        <v/>
      </c>
      <c r="AN576" s="134" t="str" cm="1">
        <f t="array" ref="AN576">IF(ROWS($AN$2:$AN575)&lt;=$AN$2,INDEX($F$3:$F$3000,_xlfn.AGGREGATE(15,3,($B$3:$B$3000=$AM$2)/($B$3:$B$3000=$AM$2)*(ROW($B$3:$B$3000)-ROW($B$2)),ROWS($AN$2:$AN575))),"")</f>
        <v/>
      </c>
      <c r="AO576" s="135" t="str" cm="1">
        <f t="array" ref="AO576">IF(ROWS($AN$2:$AN575)&lt;=$AN$2,INDEX($G$3:$G$3000,_xlfn.AGGREGATE(15,3,($B$3:$B$3000=$AM$2)/($B$3:$B$3000=$AM$2)*(ROW($B$3:$B$3000)-ROW($B$2)),ROWS($AN$2:$AN575))),"")</f>
        <v/>
      </c>
      <c r="AP576" s="121"/>
      <c r="AT576" s="111"/>
      <c r="AW576" s="134"/>
      <c r="AX576" s="136"/>
      <c r="AY576" s="134"/>
    </row>
    <row r="577" spans="1:51" s="110" customFormat="1" ht="20" customHeight="1">
      <c r="A577" s="125" t="s">
        <v>185</v>
      </c>
      <c r="B577" s="126" t="s">
        <v>59</v>
      </c>
      <c r="C577" s="127">
        <v>10662</v>
      </c>
      <c r="D577" s="128">
        <v>101016</v>
      </c>
      <c r="E577" s="129" t="s">
        <v>2948</v>
      </c>
      <c r="F577" s="129" t="s">
        <v>2948</v>
      </c>
      <c r="G577" s="130">
        <v>3400</v>
      </c>
      <c r="H577" s="130">
        <v>5</v>
      </c>
      <c r="I577" s="129" t="s">
        <v>209</v>
      </c>
      <c r="J577" s="129" t="s">
        <v>2949</v>
      </c>
      <c r="K577" s="129" t="s">
        <v>2948</v>
      </c>
      <c r="L577" s="130">
        <v>0</v>
      </c>
      <c r="M577" s="130">
        <v>1</v>
      </c>
      <c r="N577" s="129" t="s">
        <v>1544</v>
      </c>
      <c r="O577" s="130">
        <v>80</v>
      </c>
      <c r="P577" s="130">
        <v>11</v>
      </c>
      <c r="Q577" s="130">
        <v>17</v>
      </c>
      <c r="R577" s="129" t="s">
        <v>190</v>
      </c>
      <c r="S577" s="129" t="s">
        <v>191</v>
      </c>
      <c r="T577" s="130">
        <v>232</v>
      </c>
      <c r="U577" s="129" t="s">
        <v>508</v>
      </c>
      <c r="V577" s="129" t="s">
        <v>509</v>
      </c>
      <c r="W577" s="130">
        <v>1</v>
      </c>
      <c r="X577" s="130">
        <v>2</v>
      </c>
      <c r="Y577" s="129" t="s">
        <v>194</v>
      </c>
      <c r="Z577" s="129" t="s">
        <v>195</v>
      </c>
      <c r="AA577" s="129" t="s">
        <v>196</v>
      </c>
      <c r="AB577" s="129" t="s">
        <v>187</v>
      </c>
      <c r="AC577" s="129" t="s">
        <v>187</v>
      </c>
      <c r="AD577" s="131"/>
      <c r="AE577" s="129" t="s">
        <v>209</v>
      </c>
      <c r="AF577" s="130">
        <v>1.5174700000000001</v>
      </c>
      <c r="AG577" s="132">
        <v>124.84944</v>
      </c>
      <c r="AM577" s="133" t="str" cm="1">
        <f t="array" ref="AM577">IF(ROWS($AN$2:$AN576)&lt;=$AN$2,INDEX($V$3:$V$3000,_xlfn.AGGREGATE(15,3,($B$3:$B$3000=$AM$2)/($B$3:$B$3000=$AM$2)*(ROW($B$3:$B$3000)-ROW($B$2)),ROWS($AN$2:$AN576))),"")</f>
        <v/>
      </c>
      <c r="AN577" s="134" t="str" cm="1">
        <f t="array" ref="AN577">IF(ROWS($AN$2:$AN576)&lt;=$AN$2,INDEX($F$3:$F$3000,_xlfn.AGGREGATE(15,3,($B$3:$B$3000=$AM$2)/($B$3:$B$3000=$AM$2)*(ROW($B$3:$B$3000)-ROW($B$2)),ROWS($AN$2:$AN576))),"")</f>
        <v/>
      </c>
      <c r="AO577" s="135" t="str" cm="1">
        <f t="array" ref="AO577">IF(ROWS($AN$2:$AN576)&lt;=$AN$2,INDEX($G$3:$G$3000,_xlfn.AGGREGATE(15,3,($B$3:$B$3000=$AM$2)/($B$3:$B$3000=$AM$2)*(ROW($B$3:$B$3000)-ROW($B$2)),ROWS($AN$2:$AN576))),"")</f>
        <v/>
      </c>
      <c r="AP577" s="121"/>
      <c r="AT577" s="111"/>
      <c r="AW577" s="134"/>
      <c r="AX577" s="136"/>
      <c r="AY577" s="134"/>
    </row>
    <row r="578" spans="1:51" s="110" customFormat="1" ht="20" customHeight="1">
      <c r="A578" s="125" t="s">
        <v>239</v>
      </c>
      <c r="B578" s="126" t="s">
        <v>67</v>
      </c>
      <c r="C578" s="127">
        <v>14725</v>
      </c>
      <c r="D578" s="128">
        <v>108643</v>
      </c>
      <c r="E578" s="129" t="s">
        <v>4651</v>
      </c>
      <c r="F578" s="129" t="s">
        <v>4652</v>
      </c>
      <c r="G578" s="130">
        <v>120000</v>
      </c>
      <c r="H578" s="130">
        <v>5</v>
      </c>
      <c r="I578" s="129" t="s">
        <v>209</v>
      </c>
      <c r="J578" s="129" t="s">
        <v>3985</v>
      </c>
      <c r="K578" s="129" t="s">
        <v>3986</v>
      </c>
      <c r="L578" s="130">
        <v>5</v>
      </c>
      <c r="M578" s="130">
        <v>1</v>
      </c>
      <c r="N578" s="129" t="s">
        <v>1544</v>
      </c>
      <c r="O578" s="130">
        <v>98</v>
      </c>
      <c r="P578" s="130">
        <v>14</v>
      </c>
      <c r="Q578" s="130">
        <v>17</v>
      </c>
      <c r="R578" s="129" t="s">
        <v>190</v>
      </c>
      <c r="S578" s="129" t="s">
        <v>191</v>
      </c>
      <c r="T578" s="130">
        <v>232</v>
      </c>
      <c r="U578" s="129" t="s">
        <v>508</v>
      </c>
      <c r="V578" s="129" t="s">
        <v>509</v>
      </c>
      <c r="W578" s="130">
        <v>2</v>
      </c>
      <c r="X578" s="130">
        <v>2</v>
      </c>
      <c r="Y578" s="129" t="s">
        <v>194</v>
      </c>
      <c r="Z578" s="129" t="s">
        <v>195</v>
      </c>
      <c r="AA578" s="129" t="s">
        <v>196</v>
      </c>
      <c r="AB578" s="129" t="s">
        <v>209</v>
      </c>
      <c r="AC578" s="129" t="s">
        <v>187</v>
      </c>
      <c r="AD578" s="131"/>
      <c r="AE578" s="129" t="s">
        <v>209</v>
      </c>
      <c r="AF578" s="130">
        <v>5.4464100000000002</v>
      </c>
      <c r="AG578" s="132">
        <v>125.47588</v>
      </c>
      <c r="AM578" s="133" t="str" cm="1">
        <f t="array" ref="AM578">IF(ROWS($AN$2:$AN577)&lt;=$AN$2,INDEX($V$3:$V$3000,_xlfn.AGGREGATE(15,3,($B$3:$B$3000=$AM$2)/($B$3:$B$3000=$AM$2)*(ROW($B$3:$B$3000)-ROW($B$2)),ROWS($AN$2:$AN577))),"")</f>
        <v/>
      </c>
      <c r="AN578" s="134" t="str" cm="1">
        <f t="array" ref="AN578">IF(ROWS($AN$2:$AN577)&lt;=$AN$2,INDEX($F$3:$F$3000,_xlfn.AGGREGATE(15,3,($B$3:$B$3000=$AM$2)/($B$3:$B$3000=$AM$2)*(ROW($B$3:$B$3000)-ROW($B$2)),ROWS($AN$2:$AN577))),"")</f>
        <v/>
      </c>
      <c r="AO578" s="135" t="str" cm="1">
        <f t="array" ref="AO578">IF(ROWS($AN$2:$AN577)&lt;=$AN$2,INDEX($G$3:$G$3000,_xlfn.AGGREGATE(15,3,($B$3:$B$3000=$AM$2)/($B$3:$B$3000=$AM$2)*(ROW($B$3:$B$3000)-ROW($B$2)),ROWS($AN$2:$AN577))),"")</f>
        <v/>
      </c>
      <c r="AP578" s="121"/>
      <c r="AT578" s="111"/>
      <c r="AW578" s="134"/>
      <c r="AX578" s="136"/>
      <c r="AY578" s="134"/>
    </row>
    <row r="579" spans="1:51" s="110" customFormat="1" ht="20" customHeight="1">
      <c r="A579" s="125" t="s">
        <v>1620</v>
      </c>
      <c r="B579" s="126" t="s">
        <v>61</v>
      </c>
      <c r="C579" s="127">
        <v>14528</v>
      </c>
      <c r="D579" s="128">
        <v>108326</v>
      </c>
      <c r="E579" s="129" t="s">
        <v>4511</v>
      </c>
      <c r="F579" s="129" t="s">
        <v>4512</v>
      </c>
      <c r="G579" s="130">
        <v>70000</v>
      </c>
      <c r="H579" s="130">
        <v>5</v>
      </c>
      <c r="I579" s="129" t="s">
        <v>209</v>
      </c>
      <c r="J579" s="129" t="s">
        <v>4513</v>
      </c>
      <c r="K579" s="129" t="s">
        <v>4511</v>
      </c>
      <c r="L579" s="130">
        <v>5</v>
      </c>
      <c r="M579" s="130">
        <v>1</v>
      </c>
      <c r="N579" s="129" t="s">
        <v>1544</v>
      </c>
      <c r="O579" s="130">
        <v>80</v>
      </c>
      <c r="P579" s="130">
        <v>45</v>
      </c>
      <c r="Q579" s="130">
        <v>23</v>
      </c>
      <c r="R579" s="129" t="s">
        <v>1623</v>
      </c>
      <c r="S579" s="129" t="s">
        <v>1624</v>
      </c>
      <c r="T579" s="130">
        <v>234</v>
      </c>
      <c r="U579" s="129" t="s">
        <v>4297</v>
      </c>
      <c r="V579" s="129" t="s">
        <v>4298</v>
      </c>
      <c r="W579" s="130">
        <v>2</v>
      </c>
      <c r="X579" s="130">
        <v>2</v>
      </c>
      <c r="Y579" s="129" t="s">
        <v>194</v>
      </c>
      <c r="Z579" s="129" t="s">
        <v>195</v>
      </c>
      <c r="AA579" s="129" t="s">
        <v>196</v>
      </c>
      <c r="AB579" s="129" t="s">
        <v>187</v>
      </c>
      <c r="AC579" s="129" t="s">
        <v>187</v>
      </c>
      <c r="AD579" s="131"/>
      <c r="AE579" s="129" t="s">
        <v>209</v>
      </c>
      <c r="AF579" s="130">
        <v>26.881149999772699</v>
      </c>
      <c r="AG579" s="132">
        <v>97.960180000406595</v>
      </c>
      <c r="AM579" s="133" t="str" cm="1">
        <f t="array" ref="AM579">IF(ROWS($AN$2:$AN578)&lt;=$AN$2,INDEX($V$3:$V$3000,_xlfn.AGGREGATE(15,3,($B$3:$B$3000=$AM$2)/($B$3:$B$3000=$AM$2)*(ROW($B$3:$B$3000)-ROW($B$2)),ROWS($AN$2:$AN578))),"")</f>
        <v/>
      </c>
      <c r="AN579" s="134" t="str" cm="1">
        <f t="array" ref="AN579">IF(ROWS($AN$2:$AN578)&lt;=$AN$2,INDEX($F$3:$F$3000,_xlfn.AGGREGATE(15,3,($B$3:$B$3000=$AM$2)/($B$3:$B$3000=$AM$2)*(ROW($B$3:$B$3000)-ROW($B$2)),ROWS($AN$2:$AN578))),"")</f>
        <v/>
      </c>
      <c r="AO579" s="135" t="str" cm="1">
        <f t="array" ref="AO579">IF(ROWS($AN$2:$AN578)&lt;=$AN$2,INDEX($G$3:$G$3000,_xlfn.AGGREGATE(15,3,($B$3:$B$3000=$AM$2)/($B$3:$B$3000=$AM$2)*(ROW($B$3:$B$3000)-ROW($B$2)),ROWS($AN$2:$AN578))),"")</f>
        <v/>
      </c>
      <c r="AP579" s="121"/>
      <c r="AT579" s="111"/>
      <c r="AW579" s="134"/>
      <c r="AX579" s="136"/>
      <c r="AY579" s="134"/>
    </row>
    <row r="580" spans="1:51" s="110" customFormat="1" ht="20" customHeight="1">
      <c r="A580" s="125" t="s">
        <v>483</v>
      </c>
      <c r="B580" s="126" t="s">
        <v>55</v>
      </c>
      <c r="C580" s="127">
        <v>18986</v>
      </c>
      <c r="D580" s="151">
        <v>115365</v>
      </c>
      <c r="E580" s="152" t="s">
        <v>2077</v>
      </c>
      <c r="F580" s="152" t="s">
        <v>2077</v>
      </c>
      <c r="G580" s="153">
        <v>700</v>
      </c>
      <c r="H580" s="153">
        <v>3</v>
      </c>
      <c r="I580" s="152" t="s">
        <v>209</v>
      </c>
      <c r="J580" s="152" t="s">
        <v>2078</v>
      </c>
      <c r="K580" s="152" t="s">
        <v>2079</v>
      </c>
      <c r="L580" s="153">
        <v>2</v>
      </c>
      <c r="M580" s="153">
        <v>1</v>
      </c>
      <c r="N580" s="152" t="s">
        <v>1544</v>
      </c>
      <c r="O580" s="153">
        <v>51</v>
      </c>
      <c r="P580" s="153">
        <v>0.4</v>
      </c>
      <c r="Q580" s="153">
        <v>20</v>
      </c>
      <c r="R580" s="152" t="s">
        <v>574</v>
      </c>
      <c r="S580" s="152" t="s">
        <v>575</v>
      </c>
      <c r="T580" s="153">
        <v>239</v>
      </c>
      <c r="U580" s="152" t="s">
        <v>1618</v>
      </c>
      <c r="V580" s="152" t="s">
        <v>1619</v>
      </c>
      <c r="W580" s="153">
        <v>1</v>
      </c>
      <c r="X580" s="153">
        <v>2</v>
      </c>
      <c r="Y580" s="152" t="s">
        <v>194</v>
      </c>
      <c r="Z580" s="152" t="s">
        <v>195</v>
      </c>
      <c r="AA580" s="152" t="s">
        <v>196</v>
      </c>
      <c r="AB580" s="152" t="s">
        <v>187</v>
      </c>
      <c r="AC580" s="152" t="s">
        <v>187</v>
      </c>
      <c r="AD580" s="154"/>
      <c r="AE580" s="152" t="s">
        <v>209</v>
      </c>
      <c r="AF580" s="153">
        <v>12.810700000000001</v>
      </c>
      <c r="AG580" s="155">
        <v>106.53864</v>
      </c>
      <c r="AM580" s="133" t="str" cm="1">
        <f t="array" ref="AM580">IF(ROWS($AN$2:$AN579)&lt;=$AN$2,INDEX($V$3:$V$3000,_xlfn.AGGREGATE(15,3,($B$3:$B$3000=$AM$2)/($B$3:$B$3000=$AM$2)*(ROW($B$3:$B$3000)-ROW($B$2)),ROWS($AN$2:$AN579))),"")</f>
        <v/>
      </c>
      <c r="AN580" s="134" t="str" cm="1">
        <f t="array" ref="AN580">IF(ROWS($AN$2:$AN579)&lt;=$AN$2,INDEX($F$3:$F$3000,_xlfn.AGGREGATE(15,3,($B$3:$B$3000=$AM$2)/($B$3:$B$3000=$AM$2)*(ROW($B$3:$B$3000)-ROW($B$2)),ROWS($AN$2:$AN579))),"")</f>
        <v/>
      </c>
      <c r="AO580" s="135" t="str" cm="1">
        <f t="array" ref="AO580">IF(ROWS($AN$2:$AN579)&lt;=$AN$2,INDEX($G$3:$G$3000,_xlfn.AGGREGATE(15,3,($B$3:$B$3000=$AM$2)/($B$3:$B$3000=$AM$2)*(ROW($B$3:$B$3000)-ROW($B$2)),ROWS($AN$2:$AN579))),"")</f>
        <v/>
      </c>
      <c r="AP580" s="121"/>
      <c r="AT580" s="111"/>
      <c r="AW580" s="134"/>
      <c r="AX580" s="136"/>
      <c r="AY580" s="134"/>
    </row>
    <row r="581" spans="1:51" s="110" customFormat="1" ht="20" customHeight="1">
      <c r="A581" s="125" t="s">
        <v>480</v>
      </c>
      <c r="B581" s="126" t="s">
        <v>63</v>
      </c>
      <c r="C581" s="127">
        <v>12742</v>
      </c>
      <c r="D581" s="128">
        <v>105089</v>
      </c>
      <c r="E581" s="129" t="s">
        <v>4717</v>
      </c>
      <c r="F581" s="129" t="s">
        <v>4717</v>
      </c>
      <c r="G581" s="130">
        <v>186000</v>
      </c>
      <c r="H581" s="130">
        <v>5</v>
      </c>
      <c r="I581" s="129" t="s">
        <v>209</v>
      </c>
      <c r="J581" s="129" t="s">
        <v>4718</v>
      </c>
      <c r="K581" s="129" t="s">
        <v>4717</v>
      </c>
      <c r="L581" s="130">
        <v>5</v>
      </c>
      <c r="M581" s="130">
        <v>1</v>
      </c>
      <c r="N581" s="129" t="s">
        <v>1544</v>
      </c>
      <c r="O581" s="130">
        <v>75</v>
      </c>
      <c r="P581" s="130">
        <v>39.58</v>
      </c>
      <c r="Q581" s="130">
        <v>20</v>
      </c>
      <c r="R581" s="129" t="s">
        <v>574</v>
      </c>
      <c r="S581" s="129" t="s">
        <v>575</v>
      </c>
      <c r="T581" s="130">
        <v>239</v>
      </c>
      <c r="U581" s="129" t="s">
        <v>1618</v>
      </c>
      <c r="V581" s="129" t="s">
        <v>1619</v>
      </c>
      <c r="W581" s="130">
        <v>1</v>
      </c>
      <c r="X581" s="130">
        <v>2</v>
      </c>
      <c r="Y581" s="129" t="s">
        <v>194</v>
      </c>
      <c r="Z581" s="129" t="s">
        <v>195</v>
      </c>
      <c r="AA581" s="129" t="s">
        <v>196</v>
      </c>
      <c r="AB581" s="129" t="s">
        <v>187</v>
      </c>
      <c r="AC581" s="129" t="s">
        <v>187</v>
      </c>
      <c r="AD581" s="131"/>
      <c r="AE581" s="129" t="s">
        <v>209</v>
      </c>
      <c r="AF581" s="130">
        <v>11.631259999999999</v>
      </c>
      <c r="AG581" s="132">
        <v>108.03501</v>
      </c>
      <c r="AM581" s="133" t="str" cm="1">
        <f t="array" ref="AM581">IF(ROWS($AN$2:$AN580)&lt;=$AN$2,INDEX($V$3:$V$3000,_xlfn.AGGREGATE(15,3,($B$3:$B$3000=$AM$2)/($B$3:$B$3000=$AM$2)*(ROW($B$3:$B$3000)-ROW($B$2)),ROWS($AN$2:$AN580))),"")</f>
        <v/>
      </c>
      <c r="AN581" s="134" t="str" cm="1">
        <f t="array" ref="AN581">IF(ROWS($AN$2:$AN580)&lt;=$AN$2,INDEX($F$3:$F$3000,_xlfn.AGGREGATE(15,3,($B$3:$B$3000=$AM$2)/($B$3:$B$3000=$AM$2)*(ROW($B$3:$B$3000)-ROW($B$2)),ROWS($AN$2:$AN580))),"")</f>
        <v/>
      </c>
      <c r="AO581" s="135" t="str" cm="1">
        <f t="array" ref="AO581">IF(ROWS($AN$2:$AN580)&lt;=$AN$2,INDEX($G$3:$G$3000,_xlfn.AGGREGATE(15,3,($B$3:$B$3000=$AM$2)/($B$3:$B$3000=$AM$2)*(ROW($B$3:$B$3000)-ROW($B$2)),ROWS($AN$2:$AN580))),"")</f>
        <v/>
      </c>
      <c r="AP581" s="121"/>
      <c r="AT581" s="111"/>
      <c r="AW581" s="134"/>
      <c r="AX581" s="136"/>
      <c r="AY581" s="134"/>
    </row>
    <row r="582" spans="1:51" s="110" customFormat="1" ht="20" customHeight="1">
      <c r="A582" s="125" t="s">
        <v>480</v>
      </c>
      <c r="B582" s="126" t="s">
        <v>63</v>
      </c>
      <c r="C582" s="127">
        <v>15088</v>
      </c>
      <c r="D582" s="128">
        <v>109552</v>
      </c>
      <c r="E582" s="129" t="s">
        <v>3485</v>
      </c>
      <c r="F582" s="129" t="s">
        <v>3485</v>
      </c>
      <c r="G582" s="130">
        <v>46000</v>
      </c>
      <c r="H582" s="130">
        <v>5</v>
      </c>
      <c r="I582" s="129" t="s">
        <v>209</v>
      </c>
      <c r="J582" s="129" t="s">
        <v>3486</v>
      </c>
      <c r="K582" s="129" t="s">
        <v>3485</v>
      </c>
      <c r="L582" s="130">
        <v>3</v>
      </c>
      <c r="M582" s="130">
        <v>1</v>
      </c>
      <c r="N582" s="129" t="s">
        <v>1544</v>
      </c>
      <c r="O582" s="130">
        <v>80</v>
      </c>
      <c r="P582" s="130">
        <v>48</v>
      </c>
      <c r="Q582" s="130">
        <v>20</v>
      </c>
      <c r="R582" s="129" t="s">
        <v>574</v>
      </c>
      <c r="S582" s="129" t="s">
        <v>575</v>
      </c>
      <c r="T582" s="130">
        <v>239</v>
      </c>
      <c r="U582" s="129" t="s">
        <v>1618</v>
      </c>
      <c r="V582" s="129" t="s">
        <v>1619</v>
      </c>
      <c r="W582" s="130">
        <v>2</v>
      </c>
      <c r="X582" s="130">
        <v>2</v>
      </c>
      <c r="Y582" s="129" t="s">
        <v>194</v>
      </c>
      <c r="Z582" s="129" t="s">
        <v>195</v>
      </c>
      <c r="AA582" s="129" t="s">
        <v>196</v>
      </c>
      <c r="AB582" s="129" t="s">
        <v>187</v>
      </c>
      <c r="AC582" s="129" t="s">
        <v>187</v>
      </c>
      <c r="AD582" s="131"/>
      <c r="AE582" s="129" t="s">
        <v>209</v>
      </c>
      <c r="AF582" s="130">
        <v>11.848280000000001</v>
      </c>
      <c r="AG582" s="132">
        <v>107.06985</v>
      </c>
      <c r="AM582" s="133" t="str" cm="1">
        <f t="array" ref="AM582">IF(ROWS($AN$2:$AN581)&lt;=$AN$2,INDEX($V$3:$V$3000,_xlfn.AGGREGATE(15,3,($B$3:$B$3000=$AM$2)/($B$3:$B$3000=$AM$2)*(ROW($B$3:$B$3000)-ROW($B$2)),ROWS($AN$2:$AN581))),"")</f>
        <v/>
      </c>
      <c r="AN582" s="134" t="str" cm="1">
        <f t="array" ref="AN582">IF(ROWS($AN$2:$AN581)&lt;=$AN$2,INDEX($F$3:$F$3000,_xlfn.AGGREGATE(15,3,($B$3:$B$3000=$AM$2)/($B$3:$B$3000=$AM$2)*(ROW($B$3:$B$3000)-ROW($B$2)),ROWS($AN$2:$AN581))),"")</f>
        <v/>
      </c>
      <c r="AO582" s="135" t="str" cm="1">
        <f t="array" ref="AO582">IF(ROWS($AN$2:$AN581)&lt;=$AN$2,INDEX($G$3:$G$3000,_xlfn.AGGREGATE(15,3,($B$3:$B$3000=$AM$2)/($B$3:$B$3000=$AM$2)*(ROW($B$3:$B$3000)-ROW($B$2)),ROWS($AN$2:$AN581))),"")</f>
        <v/>
      </c>
      <c r="AP582" s="121"/>
      <c r="AT582" s="111"/>
      <c r="AW582" s="134"/>
      <c r="AX582" s="136"/>
      <c r="AY582" s="134"/>
    </row>
    <row r="583" spans="1:51" s="110" customFormat="1" ht="20" customHeight="1">
      <c r="A583" s="125" t="s">
        <v>480</v>
      </c>
      <c r="B583" s="126" t="s">
        <v>63</v>
      </c>
      <c r="C583" s="127">
        <v>11129</v>
      </c>
      <c r="D583" s="128">
        <v>101925</v>
      </c>
      <c r="E583" s="129" t="s">
        <v>4352</v>
      </c>
      <c r="F583" s="129" t="s">
        <v>4352</v>
      </c>
      <c r="G583" s="130">
        <v>38000</v>
      </c>
      <c r="H583" s="130">
        <v>5</v>
      </c>
      <c r="I583" s="129" t="s">
        <v>209</v>
      </c>
      <c r="J583" s="129" t="s">
        <v>4353</v>
      </c>
      <c r="K583" s="129" t="s">
        <v>4352</v>
      </c>
      <c r="L583" s="130">
        <v>4</v>
      </c>
      <c r="M583" s="130">
        <v>1</v>
      </c>
      <c r="N583" s="129" t="s">
        <v>1544</v>
      </c>
      <c r="O583" s="130">
        <v>75</v>
      </c>
      <c r="P583" s="130">
        <v>49</v>
      </c>
      <c r="Q583" s="130">
        <v>20</v>
      </c>
      <c r="R583" s="129" t="s">
        <v>574</v>
      </c>
      <c r="S583" s="129" t="s">
        <v>575</v>
      </c>
      <c r="T583" s="130">
        <v>239</v>
      </c>
      <c r="U583" s="129" t="s">
        <v>1618</v>
      </c>
      <c r="V583" s="129" t="s">
        <v>1619</v>
      </c>
      <c r="W583" s="130">
        <v>2</v>
      </c>
      <c r="X583" s="130">
        <v>2</v>
      </c>
      <c r="Y583" s="129" t="s">
        <v>194</v>
      </c>
      <c r="Z583" s="129" t="s">
        <v>195</v>
      </c>
      <c r="AA583" s="129" t="s">
        <v>196</v>
      </c>
      <c r="AB583" s="129" t="s">
        <v>187</v>
      </c>
      <c r="AC583" s="129" t="s">
        <v>187</v>
      </c>
      <c r="AD583" s="131"/>
      <c r="AE583" s="129" t="s">
        <v>209</v>
      </c>
      <c r="AF583" s="130">
        <v>12.647450000217299</v>
      </c>
      <c r="AG583" s="132">
        <v>107.662439999806</v>
      </c>
      <c r="AM583" s="133" t="str" cm="1">
        <f t="array" ref="AM583">IF(ROWS($AN$2:$AN582)&lt;=$AN$2,INDEX($V$3:$V$3000,_xlfn.AGGREGATE(15,3,($B$3:$B$3000=$AM$2)/($B$3:$B$3000=$AM$2)*(ROW($B$3:$B$3000)-ROW($B$2)),ROWS($AN$2:$AN582))),"")</f>
        <v/>
      </c>
      <c r="AN583" s="134" t="str" cm="1">
        <f t="array" ref="AN583">IF(ROWS($AN$2:$AN582)&lt;=$AN$2,INDEX($F$3:$F$3000,_xlfn.AGGREGATE(15,3,($B$3:$B$3000=$AM$2)/($B$3:$B$3000=$AM$2)*(ROW($B$3:$B$3000)-ROW($B$2)),ROWS($AN$2:$AN582))),"")</f>
        <v/>
      </c>
      <c r="AO583" s="135" t="str" cm="1">
        <f t="array" ref="AO583">IF(ROWS($AN$2:$AN582)&lt;=$AN$2,INDEX($G$3:$G$3000,_xlfn.AGGREGATE(15,3,($B$3:$B$3000=$AM$2)/($B$3:$B$3000=$AM$2)*(ROW($B$3:$B$3000)-ROW($B$2)),ROWS($AN$2:$AN582))),"")</f>
        <v/>
      </c>
      <c r="AP583" s="121"/>
      <c r="AT583" s="111"/>
      <c r="AW583" s="134"/>
      <c r="AX583" s="136"/>
      <c r="AY583" s="134"/>
    </row>
    <row r="584" spans="1:51" s="110" customFormat="1" ht="20" customHeight="1">
      <c r="A584" s="125" t="s">
        <v>480</v>
      </c>
      <c r="B584" s="126" t="s">
        <v>63</v>
      </c>
      <c r="C584" s="127">
        <v>18936</v>
      </c>
      <c r="D584" s="128">
        <v>115514</v>
      </c>
      <c r="E584" s="129" t="s">
        <v>4342</v>
      </c>
      <c r="F584" s="129" t="s">
        <v>4342</v>
      </c>
      <c r="G584" s="130">
        <v>37000</v>
      </c>
      <c r="H584" s="130">
        <v>5</v>
      </c>
      <c r="I584" s="129" t="s">
        <v>209</v>
      </c>
      <c r="J584" s="129" t="s">
        <v>4343</v>
      </c>
      <c r="K584" s="129" t="s">
        <v>4342</v>
      </c>
      <c r="L584" s="130">
        <v>4</v>
      </c>
      <c r="M584" s="130">
        <v>1</v>
      </c>
      <c r="N584" s="129" t="s">
        <v>1544</v>
      </c>
      <c r="O584" s="130">
        <v>70</v>
      </c>
      <c r="P584" s="130">
        <v>48</v>
      </c>
      <c r="Q584" s="130">
        <v>20</v>
      </c>
      <c r="R584" s="129" t="s">
        <v>574</v>
      </c>
      <c r="S584" s="129" t="s">
        <v>575</v>
      </c>
      <c r="T584" s="130">
        <v>239</v>
      </c>
      <c r="U584" s="129" t="s">
        <v>1618</v>
      </c>
      <c r="V584" s="129" t="s">
        <v>1619</v>
      </c>
      <c r="W584" s="130">
        <v>1</v>
      </c>
      <c r="X584" s="130">
        <v>2</v>
      </c>
      <c r="Y584" s="129" t="s">
        <v>194</v>
      </c>
      <c r="Z584" s="129" t="s">
        <v>195</v>
      </c>
      <c r="AA584" s="129" t="s">
        <v>196</v>
      </c>
      <c r="AB584" s="129" t="s">
        <v>187</v>
      </c>
      <c r="AC584" s="129" t="s">
        <v>187</v>
      </c>
      <c r="AD584" s="131"/>
      <c r="AE584" s="129" t="s">
        <v>209</v>
      </c>
      <c r="AF584" s="130">
        <v>11.712590000000001</v>
      </c>
      <c r="AG584" s="132">
        <v>106.72150999999999</v>
      </c>
      <c r="AM584" s="133" t="str" cm="1">
        <f t="array" ref="AM584">IF(ROWS($AN$2:$AN583)&lt;=$AN$2,INDEX($V$3:$V$3000,_xlfn.AGGREGATE(15,3,($B$3:$B$3000=$AM$2)/($B$3:$B$3000=$AM$2)*(ROW($B$3:$B$3000)-ROW($B$2)),ROWS($AN$2:$AN583))),"")</f>
        <v/>
      </c>
      <c r="AN584" s="134" t="str" cm="1">
        <f t="array" ref="AN584">IF(ROWS($AN$2:$AN583)&lt;=$AN$2,INDEX($F$3:$F$3000,_xlfn.AGGREGATE(15,3,($B$3:$B$3000=$AM$2)/($B$3:$B$3000=$AM$2)*(ROW($B$3:$B$3000)-ROW($B$2)),ROWS($AN$2:$AN583))),"")</f>
        <v/>
      </c>
      <c r="AO584" s="135" t="str" cm="1">
        <f t="array" ref="AO584">IF(ROWS($AN$2:$AN583)&lt;=$AN$2,INDEX($G$3:$G$3000,_xlfn.AGGREGATE(15,3,($B$3:$B$3000=$AM$2)/($B$3:$B$3000=$AM$2)*(ROW($B$3:$B$3000)-ROW($B$2)),ROWS($AN$2:$AN583))),"")</f>
        <v/>
      </c>
      <c r="AP584" s="121"/>
      <c r="AT584" s="111"/>
      <c r="AW584" s="134"/>
      <c r="AX584" s="136"/>
      <c r="AY584" s="134"/>
    </row>
    <row r="585" spans="1:51" s="110" customFormat="1" ht="20" customHeight="1">
      <c r="A585" s="125" t="s">
        <v>480</v>
      </c>
      <c r="B585" s="126" t="s">
        <v>63</v>
      </c>
      <c r="C585" s="127">
        <v>15052</v>
      </c>
      <c r="D585" s="128">
        <v>109496</v>
      </c>
      <c r="E585" s="129" t="s">
        <v>4324</v>
      </c>
      <c r="F585" s="129" t="s">
        <v>4324</v>
      </c>
      <c r="G585" s="130">
        <v>36000</v>
      </c>
      <c r="H585" s="130">
        <v>5</v>
      </c>
      <c r="I585" s="129" t="s">
        <v>209</v>
      </c>
      <c r="J585" s="129" t="s">
        <v>4325</v>
      </c>
      <c r="K585" s="129" t="s">
        <v>4324</v>
      </c>
      <c r="L585" s="130">
        <v>1</v>
      </c>
      <c r="M585" s="130">
        <v>1</v>
      </c>
      <c r="N585" s="129" t="s">
        <v>1544</v>
      </c>
      <c r="O585" s="130">
        <v>70</v>
      </c>
      <c r="P585" s="130">
        <v>48</v>
      </c>
      <c r="Q585" s="130">
        <v>20</v>
      </c>
      <c r="R585" s="129" t="s">
        <v>574</v>
      </c>
      <c r="S585" s="129" t="s">
        <v>575</v>
      </c>
      <c r="T585" s="130">
        <v>239</v>
      </c>
      <c r="U585" s="129" t="s">
        <v>1618</v>
      </c>
      <c r="V585" s="129" t="s">
        <v>1619</v>
      </c>
      <c r="W585" s="130">
        <v>1</v>
      </c>
      <c r="X585" s="130">
        <v>2</v>
      </c>
      <c r="Y585" s="129" t="s">
        <v>194</v>
      </c>
      <c r="Z585" s="129" t="s">
        <v>195</v>
      </c>
      <c r="AA585" s="129" t="s">
        <v>196</v>
      </c>
      <c r="AB585" s="129" t="s">
        <v>187</v>
      </c>
      <c r="AC585" s="129" t="s">
        <v>187</v>
      </c>
      <c r="AD585" s="131"/>
      <c r="AE585" s="129" t="s">
        <v>209</v>
      </c>
      <c r="AF585" s="130">
        <v>12.0635399996712</v>
      </c>
      <c r="AG585" s="132">
        <v>107.654240000276</v>
      </c>
      <c r="AM585" s="133" t="str" cm="1">
        <f t="array" ref="AM585">IF(ROWS($AN$2:$AN584)&lt;=$AN$2,INDEX($V$3:$V$3000,_xlfn.AGGREGATE(15,3,($B$3:$B$3000=$AM$2)/($B$3:$B$3000=$AM$2)*(ROW($B$3:$B$3000)-ROW($B$2)),ROWS($AN$2:$AN584))),"")</f>
        <v/>
      </c>
      <c r="AN585" s="134" t="str" cm="1">
        <f t="array" ref="AN585">IF(ROWS($AN$2:$AN584)&lt;=$AN$2,INDEX($F$3:$F$3000,_xlfn.AGGREGATE(15,3,($B$3:$B$3000=$AM$2)/($B$3:$B$3000=$AM$2)*(ROW($B$3:$B$3000)-ROW($B$2)),ROWS($AN$2:$AN584))),"")</f>
        <v/>
      </c>
      <c r="AO585" s="135" t="str" cm="1">
        <f t="array" ref="AO585">IF(ROWS($AN$2:$AN584)&lt;=$AN$2,INDEX($G$3:$G$3000,_xlfn.AGGREGATE(15,3,($B$3:$B$3000=$AM$2)/($B$3:$B$3000=$AM$2)*(ROW($B$3:$B$3000)-ROW($B$2)),ROWS($AN$2:$AN584))),"")</f>
        <v/>
      </c>
      <c r="AP585" s="121"/>
      <c r="AT585" s="111"/>
      <c r="AW585" s="134"/>
      <c r="AX585" s="136"/>
      <c r="AY585" s="134"/>
    </row>
    <row r="586" spans="1:51" s="110" customFormat="1" ht="20" customHeight="1">
      <c r="A586" s="125" t="s">
        <v>185</v>
      </c>
      <c r="B586" s="126" t="s">
        <v>59</v>
      </c>
      <c r="C586" s="127">
        <v>19496</v>
      </c>
      <c r="D586" s="151">
        <v>115297</v>
      </c>
      <c r="E586" s="152" t="s">
        <v>3749</v>
      </c>
      <c r="F586" s="152" t="s">
        <v>3749</v>
      </c>
      <c r="G586" s="153">
        <v>12000</v>
      </c>
      <c r="H586" s="153">
        <v>3</v>
      </c>
      <c r="I586" s="152" t="s">
        <v>209</v>
      </c>
      <c r="J586" s="152" t="s">
        <v>3750</v>
      </c>
      <c r="K586" s="152" t="s">
        <v>3749</v>
      </c>
      <c r="L586" s="153">
        <v>2</v>
      </c>
      <c r="M586" s="153">
        <v>1</v>
      </c>
      <c r="N586" s="152" t="s">
        <v>1544</v>
      </c>
      <c r="O586" s="153">
        <v>72</v>
      </c>
      <c r="P586" s="153">
        <v>2</v>
      </c>
      <c r="Q586" s="153">
        <v>19</v>
      </c>
      <c r="R586" s="152" t="s">
        <v>654</v>
      </c>
      <c r="S586" s="152" t="s">
        <v>655</v>
      </c>
      <c r="T586" s="153">
        <v>244</v>
      </c>
      <c r="U586" s="152" t="s">
        <v>656</v>
      </c>
      <c r="V586" s="152" t="s">
        <v>657</v>
      </c>
      <c r="W586" s="153">
        <v>2</v>
      </c>
      <c r="X586" s="153">
        <v>2</v>
      </c>
      <c r="Y586" s="152" t="s">
        <v>194</v>
      </c>
      <c r="Z586" s="152" t="s">
        <v>195</v>
      </c>
      <c r="AA586" s="152" t="s">
        <v>196</v>
      </c>
      <c r="AB586" s="152" t="s">
        <v>187</v>
      </c>
      <c r="AC586" s="152" t="s">
        <v>187</v>
      </c>
      <c r="AD586" s="154"/>
      <c r="AE586" s="152" t="s">
        <v>209</v>
      </c>
      <c r="AF586" s="153">
        <v>-6.0036500000000004</v>
      </c>
      <c r="AG586" s="155">
        <v>140.51521</v>
      </c>
      <c r="AM586" s="133" t="str" cm="1">
        <f t="array" ref="AM586">IF(ROWS($AN$2:$AN585)&lt;=$AN$2,INDEX($V$3:$V$3000,_xlfn.AGGREGATE(15,3,($B$3:$B$3000=$AM$2)/($B$3:$B$3000=$AM$2)*(ROW($B$3:$B$3000)-ROW($B$2)),ROWS($AN$2:$AN585))),"")</f>
        <v/>
      </c>
      <c r="AN586" s="134" t="str" cm="1">
        <f t="array" ref="AN586">IF(ROWS($AN$2:$AN585)&lt;=$AN$2,INDEX($F$3:$F$3000,_xlfn.AGGREGATE(15,3,($B$3:$B$3000=$AM$2)/($B$3:$B$3000=$AM$2)*(ROW($B$3:$B$3000)-ROW($B$2)),ROWS($AN$2:$AN585))),"")</f>
        <v/>
      </c>
      <c r="AO586" s="135" t="str" cm="1">
        <f t="array" ref="AO586">IF(ROWS($AN$2:$AN585)&lt;=$AN$2,INDEX($G$3:$G$3000,_xlfn.AGGREGATE(15,3,($B$3:$B$3000=$AM$2)/($B$3:$B$3000=$AM$2)*(ROW($B$3:$B$3000)-ROW($B$2)),ROWS($AN$2:$AN585))),"")</f>
        <v/>
      </c>
      <c r="AP586" s="121"/>
      <c r="AT586" s="111"/>
      <c r="AW586" s="134"/>
      <c r="AX586" s="136"/>
      <c r="AY586" s="134"/>
    </row>
    <row r="587" spans="1:51" s="110" customFormat="1" ht="20" customHeight="1">
      <c r="A587" s="125" t="s">
        <v>185</v>
      </c>
      <c r="B587" s="126" t="s">
        <v>59</v>
      </c>
      <c r="C587" s="127">
        <v>13225</v>
      </c>
      <c r="D587" s="151">
        <v>106065</v>
      </c>
      <c r="E587" s="152" t="s">
        <v>3099</v>
      </c>
      <c r="F587" s="152" t="s">
        <v>3100</v>
      </c>
      <c r="G587" s="153">
        <v>4500</v>
      </c>
      <c r="H587" s="153">
        <v>3</v>
      </c>
      <c r="I587" s="152" t="s">
        <v>209</v>
      </c>
      <c r="J587" s="152" t="s">
        <v>3101</v>
      </c>
      <c r="K587" s="152" t="s">
        <v>3099</v>
      </c>
      <c r="L587" s="153">
        <v>4</v>
      </c>
      <c r="M587" s="153">
        <v>1</v>
      </c>
      <c r="N587" s="152" t="s">
        <v>1544</v>
      </c>
      <c r="O587" s="153">
        <v>62</v>
      </c>
      <c r="P587" s="153">
        <v>2</v>
      </c>
      <c r="Q587" s="153">
        <v>19</v>
      </c>
      <c r="R587" s="152" t="s">
        <v>654</v>
      </c>
      <c r="S587" s="152" t="s">
        <v>655</v>
      </c>
      <c r="T587" s="153">
        <v>244</v>
      </c>
      <c r="U587" s="152" t="s">
        <v>656</v>
      </c>
      <c r="V587" s="152" t="s">
        <v>657</v>
      </c>
      <c r="W587" s="153">
        <v>1</v>
      </c>
      <c r="X587" s="153">
        <v>2</v>
      </c>
      <c r="Y587" s="152" t="s">
        <v>194</v>
      </c>
      <c r="Z587" s="152" t="s">
        <v>195</v>
      </c>
      <c r="AA587" s="152" t="s">
        <v>196</v>
      </c>
      <c r="AB587" s="152" t="s">
        <v>187</v>
      </c>
      <c r="AC587" s="152" t="s">
        <v>187</v>
      </c>
      <c r="AD587" s="154"/>
      <c r="AE587" s="152" t="s">
        <v>209</v>
      </c>
      <c r="AF587" s="153">
        <v>-3.4094500000000001</v>
      </c>
      <c r="AG587" s="155">
        <v>134.08508</v>
      </c>
      <c r="AM587" s="133" t="str" cm="1">
        <f t="array" ref="AM587">IF(ROWS($AN$2:$AN586)&lt;=$AN$2,INDEX($V$3:$V$3000,_xlfn.AGGREGATE(15,3,($B$3:$B$3000=$AM$2)/($B$3:$B$3000=$AM$2)*(ROW($B$3:$B$3000)-ROW($B$2)),ROWS($AN$2:$AN586))),"")</f>
        <v/>
      </c>
      <c r="AN587" s="134" t="str" cm="1">
        <f t="array" ref="AN587">IF(ROWS($AN$2:$AN586)&lt;=$AN$2,INDEX($F$3:$F$3000,_xlfn.AGGREGATE(15,3,($B$3:$B$3000=$AM$2)/($B$3:$B$3000=$AM$2)*(ROW($B$3:$B$3000)-ROW($B$2)),ROWS($AN$2:$AN586))),"")</f>
        <v/>
      </c>
      <c r="AO587" s="135" t="str" cm="1">
        <f t="array" ref="AO587">IF(ROWS($AN$2:$AN586)&lt;=$AN$2,INDEX($G$3:$G$3000,_xlfn.AGGREGATE(15,3,($B$3:$B$3000=$AM$2)/($B$3:$B$3000=$AM$2)*(ROW($B$3:$B$3000)-ROW($B$2)),ROWS($AN$2:$AN586))),"")</f>
        <v/>
      </c>
      <c r="AP587" s="121"/>
      <c r="AT587" s="111"/>
      <c r="AW587" s="134"/>
      <c r="AX587" s="136"/>
      <c r="AY587" s="134"/>
    </row>
    <row r="588" spans="1:51" s="110" customFormat="1" ht="20" customHeight="1">
      <c r="A588" s="125" t="s">
        <v>185</v>
      </c>
      <c r="B588" s="126" t="s">
        <v>59</v>
      </c>
      <c r="C588" s="127">
        <v>11757</v>
      </c>
      <c r="D588" s="151">
        <v>102919</v>
      </c>
      <c r="E588" s="152" t="s">
        <v>2812</v>
      </c>
      <c r="F588" s="152" t="s">
        <v>2812</v>
      </c>
      <c r="G588" s="153">
        <v>2500</v>
      </c>
      <c r="H588" s="153">
        <v>3</v>
      </c>
      <c r="I588" s="152" t="s">
        <v>209</v>
      </c>
      <c r="J588" s="152" t="s">
        <v>2813</v>
      </c>
      <c r="K588" s="152" t="s">
        <v>2814</v>
      </c>
      <c r="L588" s="153">
        <v>1</v>
      </c>
      <c r="M588" s="153">
        <v>1</v>
      </c>
      <c r="N588" s="152" t="s">
        <v>1544</v>
      </c>
      <c r="O588" s="153">
        <v>73</v>
      </c>
      <c r="P588" s="153">
        <v>2</v>
      </c>
      <c r="Q588" s="153">
        <v>19</v>
      </c>
      <c r="R588" s="152" t="s">
        <v>654</v>
      </c>
      <c r="S588" s="152" t="s">
        <v>655</v>
      </c>
      <c r="T588" s="153">
        <v>244</v>
      </c>
      <c r="U588" s="152" t="s">
        <v>656</v>
      </c>
      <c r="V588" s="152" t="s">
        <v>657</v>
      </c>
      <c r="W588" s="153">
        <v>1</v>
      </c>
      <c r="X588" s="153">
        <v>2</v>
      </c>
      <c r="Y588" s="152" t="s">
        <v>194</v>
      </c>
      <c r="Z588" s="152" t="s">
        <v>195</v>
      </c>
      <c r="AA588" s="152" t="s">
        <v>196</v>
      </c>
      <c r="AB588" s="152" t="s">
        <v>187</v>
      </c>
      <c r="AC588" s="152" t="s">
        <v>187</v>
      </c>
      <c r="AD588" s="154"/>
      <c r="AE588" s="152" t="s">
        <v>209</v>
      </c>
      <c r="AF588" s="153">
        <v>-3.7545899999999999</v>
      </c>
      <c r="AG588" s="155">
        <v>140.91023999999999</v>
      </c>
      <c r="AM588" s="133" t="str" cm="1">
        <f t="array" ref="AM588">IF(ROWS($AN$2:$AN587)&lt;=$AN$2,INDEX($V$3:$V$3000,_xlfn.AGGREGATE(15,3,($B$3:$B$3000=$AM$2)/($B$3:$B$3000=$AM$2)*(ROW($B$3:$B$3000)-ROW($B$2)),ROWS($AN$2:$AN587))),"")</f>
        <v/>
      </c>
      <c r="AN588" s="134" t="str" cm="1">
        <f t="array" ref="AN588">IF(ROWS($AN$2:$AN587)&lt;=$AN$2,INDEX($F$3:$F$3000,_xlfn.AGGREGATE(15,3,($B$3:$B$3000=$AM$2)/($B$3:$B$3000=$AM$2)*(ROW($B$3:$B$3000)-ROW($B$2)),ROWS($AN$2:$AN587))),"")</f>
        <v/>
      </c>
      <c r="AO588" s="135" t="str" cm="1">
        <f t="array" ref="AO588">IF(ROWS($AN$2:$AN587)&lt;=$AN$2,INDEX($G$3:$G$3000,_xlfn.AGGREGATE(15,3,($B$3:$B$3000=$AM$2)/($B$3:$B$3000=$AM$2)*(ROW($B$3:$B$3000)-ROW($B$2)),ROWS($AN$2:$AN587))),"")</f>
        <v/>
      </c>
      <c r="AP588" s="121"/>
      <c r="AT588" s="111"/>
      <c r="AW588" s="134"/>
      <c r="AX588" s="136"/>
      <c r="AY588" s="134"/>
    </row>
    <row r="589" spans="1:51" s="110" customFormat="1" ht="20" customHeight="1">
      <c r="A589" s="125" t="s">
        <v>185</v>
      </c>
      <c r="B589" s="126" t="s">
        <v>59</v>
      </c>
      <c r="C589" s="127">
        <v>14817</v>
      </c>
      <c r="D589" s="151">
        <v>108792</v>
      </c>
      <c r="E589" s="152" t="s">
        <v>2669</v>
      </c>
      <c r="F589" s="152" t="s">
        <v>2669</v>
      </c>
      <c r="G589" s="153">
        <v>1900</v>
      </c>
      <c r="H589" s="153">
        <v>3</v>
      </c>
      <c r="I589" s="152" t="s">
        <v>209</v>
      </c>
      <c r="J589" s="152" t="s">
        <v>2670</v>
      </c>
      <c r="K589" s="152" t="s">
        <v>2669</v>
      </c>
      <c r="L589" s="153">
        <v>1</v>
      </c>
      <c r="M589" s="153">
        <v>1</v>
      </c>
      <c r="N589" s="152" t="s">
        <v>1544</v>
      </c>
      <c r="O589" s="153">
        <v>62</v>
      </c>
      <c r="P589" s="153">
        <v>2</v>
      </c>
      <c r="Q589" s="153">
        <v>19</v>
      </c>
      <c r="R589" s="152" t="s">
        <v>654</v>
      </c>
      <c r="S589" s="152" t="s">
        <v>655</v>
      </c>
      <c r="T589" s="153">
        <v>244</v>
      </c>
      <c r="U589" s="152" t="s">
        <v>656</v>
      </c>
      <c r="V589" s="152" t="s">
        <v>657</v>
      </c>
      <c r="W589" s="153">
        <v>1</v>
      </c>
      <c r="X589" s="153">
        <v>2</v>
      </c>
      <c r="Y589" s="152" t="s">
        <v>194</v>
      </c>
      <c r="Z589" s="152" t="s">
        <v>195</v>
      </c>
      <c r="AA589" s="152" t="s">
        <v>196</v>
      </c>
      <c r="AB589" s="152" t="s">
        <v>187</v>
      </c>
      <c r="AC589" s="152" t="s">
        <v>187</v>
      </c>
      <c r="AD589" s="154"/>
      <c r="AE589" s="152" t="s">
        <v>209</v>
      </c>
      <c r="AF589" s="153">
        <v>-1.3484100000000001</v>
      </c>
      <c r="AG589" s="155">
        <v>131.24083999999999</v>
      </c>
      <c r="AM589" s="133" t="str" cm="1">
        <f t="array" ref="AM589">IF(ROWS($AN$2:$AN588)&lt;=$AN$2,INDEX($V$3:$V$3000,_xlfn.AGGREGATE(15,3,($B$3:$B$3000=$AM$2)/($B$3:$B$3000=$AM$2)*(ROW($B$3:$B$3000)-ROW($B$2)),ROWS($AN$2:$AN588))),"")</f>
        <v/>
      </c>
      <c r="AN589" s="134" t="str" cm="1">
        <f t="array" ref="AN589">IF(ROWS($AN$2:$AN588)&lt;=$AN$2,INDEX($F$3:$F$3000,_xlfn.AGGREGATE(15,3,($B$3:$B$3000=$AM$2)/($B$3:$B$3000=$AM$2)*(ROW($B$3:$B$3000)-ROW($B$2)),ROWS($AN$2:$AN588))),"")</f>
        <v/>
      </c>
      <c r="AO589" s="135" t="str" cm="1">
        <f t="array" ref="AO589">IF(ROWS($AN$2:$AN588)&lt;=$AN$2,INDEX($G$3:$G$3000,_xlfn.AGGREGATE(15,3,($B$3:$B$3000=$AM$2)/($B$3:$B$3000=$AM$2)*(ROW($B$3:$B$3000)-ROW($B$2)),ROWS($AN$2:$AN588))),"")</f>
        <v/>
      </c>
      <c r="AP589" s="121"/>
      <c r="AT589" s="111"/>
      <c r="AW589" s="134"/>
      <c r="AX589" s="136"/>
      <c r="AY589" s="134"/>
    </row>
    <row r="590" spans="1:51" s="110" customFormat="1" ht="20" customHeight="1">
      <c r="A590" s="125" t="s">
        <v>185</v>
      </c>
      <c r="B590" s="126" t="s">
        <v>59</v>
      </c>
      <c r="C590" s="127">
        <v>10565</v>
      </c>
      <c r="D590" s="151">
        <v>100762</v>
      </c>
      <c r="E590" s="152" t="s">
        <v>1565</v>
      </c>
      <c r="F590" s="152" t="s">
        <v>2635</v>
      </c>
      <c r="G590" s="153">
        <v>1800</v>
      </c>
      <c r="H590" s="153">
        <v>3</v>
      </c>
      <c r="I590" s="152" t="s">
        <v>209</v>
      </c>
      <c r="J590" s="152" t="s">
        <v>1564</v>
      </c>
      <c r="K590" s="152" t="s">
        <v>1565</v>
      </c>
      <c r="L590" s="153">
        <v>1</v>
      </c>
      <c r="M590" s="153">
        <v>1</v>
      </c>
      <c r="N590" s="152" t="s">
        <v>1544</v>
      </c>
      <c r="O590" s="153">
        <v>65</v>
      </c>
      <c r="P590" s="153">
        <v>2</v>
      </c>
      <c r="Q590" s="153">
        <v>19</v>
      </c>
      <c r="R590" s="152" t="s">
        <v>654</v>
      </c>
      <c r="S590" s="152" t="s">
        <v>655</v>
      </c>
      <c r="T590" s="153">
        <v>244</v>
      </c>
      <c r="U590" s="152" t="s">
        <v>656</v>
      </c>
      <c r="V590" s="152" t="s">
        <v>657</v>
      </c>
      <c r="W590" s="153">
        <v>1</v>
      </c>
      <c r="X590" s="153">
        <v>2</v>
      </c>
      <c r="Y590" s="152" t="s">
        <v>194</v>
      </c>
      <c r="Z590" s="152" t="s">
        <v>195</v>
      </c>
      <c r="AA590" s="152" t="s">
        <v>196</v>
      </c>
      <c r="AB590" s="152" t="s">
        <v>187</v>
      </c>
      <c r="AC590" s="152" t="s">
        <v>187</v>
      </c>
      <c r="AD590" s="154"/>
      <c r="AE590" s="152" t="s">
        <v>209</v>
      </c>
      <c r="AF590" s="153">
        <v>-3.84714</v>
      </c>
      <c r="AG590" s="155">
        <v>133.03870000000001</v>
      </c>
      <c r="AM590" s="133" t="str" cm="1">
        <f t="array" ref="AM590">IF(ROWS($AN$2:$AN589)&lt;=$AN$2,INDEX($V$3:$V$3000,_xlfn.AGGREGATE(15,3,($B$3:$B$3000=$AM$2)/($B$3:$B$3000=$AM$2)*(ROW($B$3:$B$3000)-ROW($B$2)),ROWS($AN$2:$AN589))),"")</f>
        <v/>
      </c>
      <c r="AN590" s="134" t="str" cm="1">
        <f t="array" ref="AN590">IF(ROWS($AN$2:$AN589)&lt;=$AN$2,INDEX($F$3:$F$3000,_xlfn.AGGREGATE(15,3,($B$3:$B$3000=$AM$2)/($B$3:$B$3000=$AM$2)*(ROW($B$3:$B$3000)-ROW($B$2)),ROWS($AN$2:$AN589))),"")</f>
        <v/>
      </c>
      <c r="AO590" s="135" t="str" cm="1">
        <f t="array" ref="AO590">IF(ROWS($AN$2:$AN589)&lt;=$AN$2,INDEX($G$3:$G$3000,_xlfn.AGGREGATE(15,3,($B$3:$B$3000=$AM$2)/($B$3:$B$3000=$AM$2)*(ROW($B$3:$B$3000)-ROW($B$2)),ROWS($AN$2:$AN589))),"")</f>
        <v/>
      </c>
      <c r="AP590" s="121"/>
      <c r="AT590" s="111"/>
      <c r="AW590" s="134"/>
      <c r="AX590" s="136"/>
      <c r="AY590" s="134"/>
    </row>
    <row r="591" spans="1:51" s="110" customFormat="1" ht="20" customHeight="1">
      <c r="A591" s="125" t="s">
        <v>185</v>
      </c>
      <c r="B591" s="126" t="s">
        <v>59</v>
      </c>
      <c r="C591" s="127">
        <v>11530</v>
      </c>
      <c r="D591" s="151">
        <v>102509</v>
      </c>
      <c r="E591" s="152" t="s">
        <v>2615</v>
      </c>
      <c r="F591" s="152" t="s">
        <v>2615</v>
      </c>
      <c r="G591" s="153">
        <v>1700</v>
      </c>
      <c r="H591" s="153">
        <v>3</v>
      </c>
      <c r="I591" s="152" t="s">
        <v>209</v>
      </c>
      <c r="J591" s="152" t="s">
        <v>2616</v>
      </c>
      <c r="K591" s="152" t="s">
        <v>2615</v>
      </c>
      <c r="L591" s="153">
        <v>1</v>
      </c>
      <c r="M591" s="153">
        <v>1</v>
      </c>
      <c r="N591" s="152" t="s">
        <v>1544</v>
      </c>
      <c r="O591" s="153">
        <v>65</v>
      </c>
      <c r="P591" s="153">
        <v>1</v>
      </c>
      <c r="Q591" s="153">
        <v>19</v>
      </c>
      <c r="R591" s="152" t="s">
        <v>654</v>
      </c>
      <c r="S591" s="152" t="s">
        <v>655</v>
      </c>
      <c r="T591" s="153">
        <v>244</v>
      </c>
      <c r="U591" s="152" t="s">
        <v>656</v>
      </c>
      <c r="V591" s="152" t="s">
        <v>657</v>
      </c>
      <c r="W591" s="153">
        <v>1</v>
      </c>
      <c r="X591" s="153">
        <v>2</v>
      </c>
      <c r="Y591" s="152" t="s">
        <v>194</v>
      </c>
      <c r="Z591" s="152" t="s">
        <v>195</v>
      </c>
      <c r="AA591" s="152" t="s">
        <v>196</v>
      </c>
      <c r="AB591" s="152" t="s">
        <v>187</v>
      </c>
      <c r="AC591" s="152" t="s">
        <v>187</v>
      </c>
      <c r="AD591" s="154"/>
      <c r="AE591" s="152" t="s">
        <v>209</v>
      </c>
      <c r="AF591" s="153">
        <v>-3.7171500000000002</v>
      </c>
      <c r="AG591" s="155">
        <v>137.55232000000001</v>
      </c>
      <c r="AM591" s="133" t="str" cm="1">
        <f t="array" ref="AM591">IF(ROWS($AN$2:$AN590)&lt;=$AN$2,INDEX($V$3:$V$3000,_xlfn.AGGREGATE(15,3,($B$3:$B$3000=$AM$2)/($B$3:$B$3000=$AM$2)*(ROW($B$3:$B$3000)-ROW($B$2)),ROWS($AN$2:$AN590))),"")</f>
        <v/>
      </c>
      <c r="AN591" s="134" t="str" cm="1">
        <f t="array" ref="AN591">IF(ROWS($AN$2:$AN590)&lt;=$AN$2,INDEX($F$3:$F$3000,_xlfn.AGGREGATE(15,3,($B$3:$B$3000=$AM$2)/($B$3:$B$3000=$AM$2)*(ROW($B$3:$B$3000)-ROW($B$2)),ROWS($AN$2:$AN590))),"")</f>
        <v/>
      </c>
      <c r="AO591" s="135" t="str" cm="1">
        <f t="array" ref="AO591">IF(ROWS($AN$2:$AN590)&lt;=$AN$2,INDEX($G$3:$G$3000,_xlfn.AGGREGATE(15,3,($B$3:$B$3000=$AM$2)/($B$3:$B$3000=$AM$2)*(ROW($B$3:$B$3000)-ROW($B$2)),ROWS($AN$2:$AN590))),"")</f>
        <v/>
      </c>
      <c r="AP591" s="121"/>
      <c r="AT591" s="111"/>
      <c r="AW591" s="134"/>
      <c r="AX591" s="136"/>
      <c r="AY591" s="134"/>
    </row>
    <row r="592" spans="1:51" s="110" customFormat="1" ht="20" customHeight="1">
      <c r="A592" s="125" t="s">
        <v>185</v>
      </c>
      <c r="B592" s="126" t="s">
        <v>59</v>
      </c>
      <c r="C592" s="127">
        <v>14847</v>
      </c>
      <c r="D592" s="151">
        <v>108830</v>
      </c>
      <c r="E592" s="152" t="s">
        <v>2575</v>
      </c>
      <c r="F592" s="152" t="s">
        <v>2575</v>
      </c>
      <c r="G592" s="153">
        <v>1600</v>
      </c>
      <c r="H592" s="153">
        <v>3</v>
      </c>
      <c r="I592" s="152" t="s">
        <v>209</v>
      </c>
      <c r="J592" s="152" t="s">
        <v>2576</v>
      </c>
      <c r="K592" s="152" t="s">
        <v>2575</v>
      </c>
      <c r="L592" s="153">
        <v>2</v>
      </c>
      <c r="M592" s="153">
        <v>1</v>
      </c>
      <c r="N592" s="152" t="s">
        <v>1544</v>
      </c>
      <c r="O592" s="153">
        <v>64</v>
      </c>
      <c r="P592" s="153">
        <v>2</v>
      </c>
      <c r="Q592" s="153">
        <v>19</v>
      </c>
      <c r="R592" s="152" t="s">
        <v>654</v>
      </c>
      <c r="S592" s="152" t="s">
        <v>655</v>
      </c>
      <c r="T592" s="153">
        <v>244</v>
      </c>
      <c r="U592" s="152" t="s">
        <v>656</v>
      </c>
      <c r="V592" s="152" t="s">
        <v>657</v>
      </c>
      <c r="W592" s="153">
        <v>1</v>
      </c>
      <c r="X592" s="153">
        <v>2</v>
      </c>
      <c r="Y592" s="152" t="s">
        <v>194</v>
      </c>
      <c r="Z592" s="152" t="s">
        <v>195</v>
      </c>
      <c r="AA592" s="152" t="s">
        <v>196</v>
      </c>
      <c r="AB592" s="152" t="s">
        <v>187</v>
      </c>
      <c r="AC592" s="152" t="s">
        <v>187</v>
      </c>
      <c r="AD592" s="154"/>
      <c r="AE592" s="152" t="s">
        <v>209</v>
      </c>
      <c r="AF592" s="153">
        <v>-4.8525999999999998</v>
      </c>
      <c r="AG592" s="155">
        <v>137.52923999999999</v>
      </c>
      <c r="AM592" s="133" t="str" cm="1">
        <f t="array" ref="AM592">IF(ROWS($AN$2:$AN591)&lt;=$AN$2,INDEX($V$3:$V$3000,_xlfn.AGGREGATE(15,3,($B$3:$B$3000=$AM$2)/($B$3:$B$3000=$AM$2)*(ROW($B$3:$B$3000)-ROW($B$2)),ROWS($AN$2:$AN591))),"")</f>
        <v/>
      </c>
      <c r="AN592" s="134" t="str" cm="1">
        <f t="array" ref="AN592">IF(ROWS($AN$2:$AN591)&lt;=$AN$2,INDEX($F$3:$F$3000,_xlfn.AGGREGATE(15,3,($B$3:$B$3000=$AM$2)/($B$3:$B$3000=$AM$2)*(ROW($B$3:$B$3000)-ROW($B$2)),ROWS($AN$2:$AN591))),"")</f>
        <v/>
      </c>
      <c r="AO592" s="135" t="str" cm="1">
        <f t="array" ref="AO592">IF(ROWS($AN$2:$AN591)&lt;=$AN$2,INDEX($G$3:$G$3000,_xlfn.AGGREGATE(15,3,($B$3:$B$3000=$AM$2)/($B$3:$B$3000=$AM$2)*(ROW($B$3:$B$3000)-ROW($B$2)),ROWS($AN$2:$AN591))),"")</f>
        <v/>
      </c>
      <c r="AP592" s="121"/>
      <c r="AT592" s="111"/>
      <c r="AW592" s="134"/>
      <c r="AX592" s="136"/>
      <c r="AY592" s="134"/>
    </row>
    <row r="593" spans="1:51" s="110" customFormat="1" ht="20" customHeight="1">
      <c r="A593" s="125" t="s">
        <v>185</v>
      </c>
      <c r="B593" s="126" t="s">
        <v>59</v>
      </c>
      <c r="C593" s="127">
        <v>10455</v>
      </c>
      <c r="D593" s="151">
        <v>100559</v>
      </c>
      <c r="E593" s="152" t="s">
        <v>2453</v>
      </c>
      <c r="F593" s="152" t="s">
        <v>2454</v>
      </c>
      <c r="G593" s="153">
        <v>1300</v>
      </c>
      <c r="H593" s="153">
        <v>3</v>
      </c>
      <c r="I593" s="152" t="s">
        <v>209</v>
      </c>
      <c r="J593" s="152" t="s">
        <v>2455</v>
      </c>
      <c r="K593" s="152" t="s">
        <v>2456</v>
      </c>
      <c r="L593" s="153">
        <v>0</v>
      </c>
      <c r="M593" s="153">
        <v>1</v>
      </c>
      <c r="N593" s="152" t="s">
        <v>1544</v>
      </c>
      <c r="O593" s="153">
        <v>65</v>
      </c>
      <c r="P593" s="153">
        <v>2</v>
      </c>
      <c r="Q593" s="153">
        <v>19</v>
      </c>
      <c r="R593" s="152" t="s">
        <v>654</v>
      </c>
      <c r="S593" s="152" t="s">
        <v>655</v>
      </c>
      <c r="T593" s="153">
        <v>244</v>
      </c>
      <c r="U593" s="152" t="s">
        <v>656</v>
      </c>
      <c r="V593" s="152" t="s">
        <v>657</v>
      </c>
      <c r="W593" s="153">
        <v>1</v>
      </c>
      <c r="X593" s="153">
        <v>2</v>
      </c>
      <c r="Y593" s="152" t="s">
        <v>194</v>
      </c>
      <c r="Z593" s="152" t="s">
        <v>195</v>
      </c>
      <c r="AA593" s="152" t="s">
        <v>196</v>
      </c>
      <c r="AB593" s="152" t="s">
        <v>187</v>
      </c>
      <c r="AC593" s="152" t="s">
        <v>187</v>
      </c>
      <c r="AD593" s="154"/>
      <c r="AE593" s="152" t="s">
        <v>209</v>
      </c>
      <c r="AF593" s="153">
        <v>-3.60947</v>
      </c>
      <c r="AG593" s="155">
        <v>133.29598999999999</v>
      </c>
      <c r="AM593" s="133" t="str" cm="1">
        <f t="array" ref="AM593">IF(ROWS($AN$2:$AN592)&lt;=$AN$2,INDEX($V$3:$V$3000,_xlfn.AGGREGATE(15,3,($B$3:$B$3000=$AM$2)/($B$3:$B$3000=$AM$2)*(ROW($B$3:$B$3000)-ROW($B$2)),ROWS($AN$2:$AN592))),"")</f>
        <v/>
      </c>
      <c r="AN593" s="134" t="str" cm="1">
        <f t="array" ref="AN593">IF(ROWS($AN$2:$AN592)&lt;=$AN$2,INDEX($F$3:$F$3000,_xlfn.AGGREGATE(15,3,($B$3:$B$3000=$AM$2)/($B$3:$B$3000=$AM$2)*(ROW($B$3:$B$3000)-ROW($B$2)),ROWS($AN$2:$AN592))),"")</f>
        <v/>
      </c>
      <c r="AO593" s="135" t="str" cm="1">
        <f t="array" ref="AO593">IF(ROWS($AN$2:$AN592)&lt;=$AN$2,INDEX($G$3:$G$3000,_xlfn.AGGREGATE(15,3,($B$3:$B$3000=$AM$2)/($B$3:$B$3000=$AM$2)*(ROW($B$3:$B$3000)-ROW($B$2)),ROWS($AN$2:$AN592))),"")</f>
        <v/>
      </c>
      <c r="AP593" s="121"/>
      <c r="AT593" s="111"/>
      <c r="AW593" s="134"/>
      <c r="AX593" s="136"/>
      <c r="AY593" s="134"/>
    </row>
    <row r="594" spans="1:51" s="110" customFormat="1" ht="20" customHeight="1">
      <c r="A594" s="125" t="s">
        <v>185</v>
      </c>
      <c r="B594" s="126" t="s">
        <v>59</v>
      </c>
      <c r="C594" s="127">
        <v>16030</v>
      </c>
      <c r="D594" s="151">
        <v>111045</v>
      </c>
      <c r="E594" s="152" t="s">
        <v>1831</v>
      </c>
      <c r="F594" s="152" t="s">
        <v>1831</v>
      </c>
      <c r="G594" s="153">
        <v>1300</v>
      </c>
      <c r="H594" s="153">
        <v>3</v>
      </c>
      <c r="I594" s="152" t="s">
        <v>209</v>
      </c>
      <c r="J594" s="152" t="s">
        <v>1830</v>
      </c>
      <c r="K594" s="152" t="s">
        <v>1831</v>
      </c>
      <c r="L594" s="153">
        <v>2</v>
      </c>
      <c r="M594" s="153">
        <v>1</v>
      </c>
      <c r="N594" s="152" t="s">
        <v>1544</v>
      </c>
      <c r="O594" s="153">
        <v>58</v>
      </c>
      <c r="P594" s="153">
        <v>2</v>
      </c>
      <c r="Q594" s="153">
        <v>19</v>
      </c>
      <c r="R594" s="152" t="s">
        <v>654</v>
      </c>
      <c r="S594" s="152" t="s">
        <v>655</v>
      </c>
      <c r="T594" s="153">
        <v>244</v>
      </c>
      <c r="U594" s="152" t="s">
        <v>656</v>
      </c>
      <c r="V594" s="152" t="s">
        <v>657</v>
      </c>
      <c r="W594" s="153">
        <v>1</v>
      </c>
      <c r="X594" s="153">
        <v>2</v>
      </c>
      <c r="Y594" s="152" t="s">
        <v>194</v>
      </c>
      <c r="Z594" s="152" t="s">
        <v>195</v>
      </c>
      <c r="AA594" s="152" t="s">
        <v>196</v>
      </c>
      <c r="AB594" s="152" t="s">
        <v>187</v>
      </c>
      <c r="AC594" s="152" t="s">
        <v>187</v>
      </c>
      <c r="AD594" s="154"/>
      <c r="AE594" s="152" t="s">
        <v>209</v>
      </c>
      <c r="AF594" s="153">
        <v>-4.0043094828963</v>
      </c>
      <c r="AG594" s="155">
        <v>140.81875825279101</v>
      </c>
      <c r="AM594" s="133" t="str" cm="1">
        <f t="array" ref="AM594">IF(ROWS($AN$2:$AN593)&lt;=$AN$2,INDEX($V$3:$V$3000,_xlfn.AGGREGATE(15,3,($B$3:$B$3000=$AM$2)/($B$3:$B$3000=$AM$2)*(ROW($B$3:$B$3000)-ROW($B$2)),ROWS($AN$2:$AN593))),"")</f>
        <v/>
      </c>
      <c r="AN594" s="134" t="str" cm="1">
        <f t="array" ref="AN594">IF(ROWS($AN$2:$AN593)&lt;=$AN$2,INDEX($F$3:$F$3000,_xlfn.AGGREGATE(15,3,($B$3:$B$3000=$AM$2)/($B$3:$B$3000=$AM$2)*(ROW($B$3:$B$3000)-ROW($B$2)),ROWS($AN$2:$AN593))),"")</f>
        <v/>
      </c>
      <c r="AO594" s="135" t="str" cm="1">
        <f t="array" ref="AO594">IF(ROWS($AN$2:$AN593)&lt;=$AN$2,INDEX($G$3:$G$3000,_xlfn.AGGREGATE(15,3,($B$3:$B$3000=$AM$2)/($B$3:$B$3000=$AM$2)*(ROW($B$3:$B$3000)-ROW($B$2)),ROWS($AN$2:$AN593))),"")</f>
        <v/>
      </c>
      <c r="AP594" s="121"/>
      <c r="AT594" s="111"/>
      <c r="AW594" s="134"/>
      <c r="AX594" s="136"/>
      <c r="AY594" s="134"/>
    </row>
    <row r="595" spans="1:51" s="110" customFormat="1" ht="20" customHeight="1">
      <c r="A595" s="125" t="s">
        <v>185</v>
      </c>
      <c r="B595" s="126" t="s">
        <v>59</v>
      </c>
      <c r="C595" s="127">
        <v>11892</v>
      </c>
      <c r="D595" s="151">
        <v>103371</v>
      </c>
      <c r="E595" s="152" t="s">
        <v>2414</v>
      </c>
      <c r="F595" s="152" t="s">
        <v>2414</v>
      </c>
      <c r="G595" s="153">
        <v>1200</v>
      </c>
      <c r="H595" s="153">
        <v>3</v>
      </c>
      <c r="I595" s="152" t="s">
        <v>209</v>
      </c>
      <c r="J595" s="152" t="s">
        <v>2415</v>
      </c>
      <c r="K595" s="152" t="s">
        <v>2416</v>
      </c>
      <c r="L595" s="153">
        <v>3</v>
      </c>
      <c r="M595" s="153">
        <v>1</v>
      </c>
      <c r="N595" s="152" t="s">
        <v>1544</v>
      </c>
      <c r="O595" s="153">
        <v>60</v>
      </c>
      <c r="P595" s="153">
        <v>2</v>
      </c>
      <c r="Q595" s="153">
        <v>19</v>
      </c>
      <c r="R595" s="152" t="s">
        <v>654</v>
      </c>
      <c r="S595" s="152" t="s">
        <v>655</v>
      </c>
      <c r="T595" s="153">
        <v>244</v>
      </c>
      <c r="U595" s="152" t="s">
        <v>656</v>
      </c>
      <c r="V595" s="152" t="s">
        <v>657</v>
      </c>
      <c r="W595" s="153">
        <v>1</v>
      </c>
      <c r="X595" s="153">
        <v>2</v>
      </c>
      <c r="Y595" s="152" t="s">
        <v>194</v>
      </c>
      <c r="Z595" s="152" t="s">
        <v>195</v>
      </c>
      <c r="AA595" s="152" t="s">
        <v>196</v>
      </c>
      <c r="AB595" s="152" t="s">
        <v>187</v>
      </c>
      <c r="AC595" s="152" t="s">
        <v>187</v>
      </c>
      <c r="AD595" s="154"/>
      <c r="AE595" s="152" t="s">
        <v>209</v>
      </c>
      <c r="AF595" s="153">
        <v>-4.03372217913528</v>
      </c>
      <c r="AG595" s="155">
        <v>139.68006873078701</v>
      </c>
      <c r="AM595" s="133" t="str" cm="1">
        <f t="array" ref="AM595">IF(ROWS($AN$2:$AN594)&lt;=$AN$2,INDEX($V$3:$V$3000,_xlfn.AGGREGATE(15,3,($B$3:$B$3000=$AM$2)/($B$3:$B$3000=$AM$2)*(ROW($B$3:$B$3000)-ROW($B$2)),ROWS($AN$2:$AN594))),"")</f>
        <v/>
      </c>
      <c r="AN595" s="134" t="str" cm="1">
        <f t="array" ref="AN595">IF(ROWS($AN$2:$AN594)&lt;=$AN$2,INDEX($F$3:$F$3000,_xlfn.AGGREGATE(15,3,($B$3:$B$3000=$AM$2)/($B$3:$B$3000=$AM$2)*(ROW($B$3:$B$3000)-ROW($B$2)),ROWS($AN$2:$AN594))),"")</f>
        <v/>
      </c>
      <c r="AO595" s="135" t="str" cm="1">
        <f t="array" ref="AO595">IF(ROWS($AN$2:$AN594)&lt;=$AN$2,INDEX($G$3:$G$3000,_xlfn.AGGREGATE(15,3,($B$3:$B$3000=$AM$2)/($B$3:$B$3000=$AM$2)*(ROW($B$3:$B$3000)-ROW($B$2)),ROWS($AN$2:$AN594))),"")</f>
        <v/>
      </c>
      <c r="AP595" s="121"/>
      <c r="AT595" s="111"/>
      <c r="AW595" s="134"/>
      <c r="AX595" s="136"/>
      <c r="AY595" s="134"/>
    </row>
    <row r="596" spans="1:51" s="110" customFormat="1" ht="20" customHeight="1">
      <c r="A596" s="125" t="s">
        <v>185</v>
      </c>
      <c r="B596" s="126" t="s">
        <v>59</v>
      </c>
      <c r="C596" s="127">
        <v>15196</v>
      </c>
      <c r="D596" s="151">
        <v>109725</v>
      </c>
      <c r="E596" s="152" t="s">
        <v>2360</v>
      </c>
      <c r="F596" s="152" t="s">
        <v>2360</v>
      </c>
      <c r="G596" s="153">
        <v>1100</v>
      </c>
      <c r="H596" s="153">
        <v>3</v>
      </c>
      <c r="I596" s="152" t="s">
        <v>209</v>
      </c>
      <c r="J596" s="152" t="s">
        <v>2361</v>
      </c>
      <c r="K596" s="152" t="s">
        <v>2360</v>
      </c>
      <c r="L596" s="153">
        <v>1</v>
      </c>
      <c r="M596" s="153">
        <v>1</v>
      </c>
      <c r="N596" s="152" t="s">
        <v>1544</v>
      </c>
      <c r="O596" s="153">
        <v>67</v>
      </c>
      <c r="P596" s="153">
        <v>2</v>
      </c>
      <c r="Q596" s="153">
        <v>19</v>
      </c>
      <c r="R596" s="152" t="s">
        <v>654</v>
      </c>
      <c r="S596" s="152" t="s">
        <v>655</v>
      </c>
      <c r="T596" s="153">
        <v>244</v>
      </c>
      <c r="U596" s="152" t="s">
        <v>656</v>
      </c>
      <c r="V596" s="152" t="s">
        <v>657</v>
      </c>
      <c r="W596" s="153">
        <v>1</v>
      </c>
      <c r="X596" s="153">
        <v>2</v>
      </c>
      <c r="Y596" s="152" t="s">
        <v>194</v>
      </c>
      <c r="Z596" s="152" t="s">
        <v>195</v>
      </c>
      <c r="AA596" s="152" t="s">
        <v>196</v>
      </c>
      <c r="AB596" s="152" t="s">
        <v>187</v>
      </c>
      <c r="AC596" s="152" t="s">
        <v>187</v>
      </c>
      <c r="AD596" s="154"/>
      <c r="AE596" s="152" t="s">
        <v>209</v>
      </c>
      <c r="AF596" s="153">
        <v>-2.8843999999999999</v>
      </c>
      <c r="AG596" s="155">
        <v>140.77905999999999</v>
      </c>
      <c r="AM596" s="133" t="str" cm="1">
        <f t="array" ref="AM596">IF(ROWS($AN$2:$AN595)&lt;=$AN$2,INDEX($V$3:$V$3000,_xlfn.AGGREGATE(15,3,($B$3:$B$3000=$AM$2)/($B$3:$B$3000=$AM$2)*(ROW($B$3:$B$3000)-ROW($B$2)),ROWS($AN$2:$AN595))),"")</f>
        <v/>
      </c>
      <c r="AN596" s="134" t="str" cm="1">
        <f t="array" ref="AN596">IF(ROWS($AN$2:$AN595)&lt;=$AN$2,INDEX($F$3:$F$3000,_xlfn.AGGREGATE(15,3,($B$3:$B$3000=$AM$2)/($B$3:$B$3000=$AM$2)*(ROW($B$3:$B$3000)-ROW($B$2)),ROWS($AN$2:$AN595))),"")</f>
        <v/>
      </c>
      <c r="AO596" s="135" t="str" cm="1">
        <f t="array" ref="AO596">IF(ROWS($AN$2:$AN595)&lt;=$AN$2,INDEX($G$3:$G$3000,_xlfn.AGGREGATE(15,3,($B$3:$B$3000=$AM$2)/($B$3:$B$3000=$AM$2)*(ROW($B$3:$B$3000)-ROW($B$2)),ROWS($AN$2:$AN595))),"")</f>
        <v/>
      </c>
      <c r="AP596" s="121"/>
      <c r="AT596" s="111"/>
      <c r="AW596" s="134"/>
      <c r="AX596" s="136"/>
      <c r="AY596" s="134"/>
    </row>
    <row r="597" spans="1:51" s="110" customFormat="1" ht="20" customHeight="1">
      <c r="A597" s="125" t="s">
        <v>185</v>
      </c>
      <c r="B597" s="126" t="s">
        <v>59</v>
      </c>
      <c r="C597" s="127">
        <v>14486</v>
      </c>
      <c r="D597" s="151">
        <v>108194</v>
      </c>
      <c r="E597" s="152" t="s">
        <v>2319</v>
      </c>
      <c r="F597" s="152" t="s">
        <v>2319</v>
      </c>
      <c r="G597" s="153">
        <v>1000</v>
      </c>
      <c r="H597" s="153">
        <v>3</v>
      </c>
      <c r="I597" s="152" t="s">
        <v>209</v>
      </c>
      <c r="J597" s="152" t="s">
        <v>2320</v>
      </c>
      <c r="K597" s="152" t="s">
        <v>2319</v>
      </c>
      <c r="L597" s="153">
        <v>1</v>
      </c>
      <c r="M597" s="153">
        <v>1</v>
      </c>
      <c r="N597" s="152" t="s">
        <v>1544</v>
      </c>
      <c r="O597" s="153">
        <v>68</v>
      </c>
      <c r="P597" s="153">
        <v>2</v>
      </c>
      <c r="Q597" s="153">
        <v>19</v>
      </c>
      <c r="R597" s="152" t="s">
        <v>654</v>
      </c>
      <c r="S597" s="152" t="s">
        <v>655</v>
      </c>
      <c r="T597" s="153">
        <v>244</v>
      </c>
      <c r="U597" s="152" t="s">
        <v>656</v>
      </c>
      <c r="V597" s="152" t="s">
        <v>657</v>
      </c>
      <c r="W597" s="153">
        <v>1</v>
      </c>
      <c r="X597" s="153">
        <v>2</v>
      </c>
      <c r="Y597" s="152" t="s">
        <v>194</v>
      </c>
      <c r="Z597" s="152" t="s">
        <v>195</v>
      </c>
      <c r="AA597" s="152" t="s">
        <v>196</v>
      </c>
      <c r="AB597" s="152" t="s">
        <v>187</v>
      </c>
      <c r="AC597" s="152" t="s">
        <v>187</v>
      </c>
      <c r="AD597" s="154"/>
      <c r="AE597" s="152" t="s">
        <v>209</v>
      </c>
      <c r="AF597" s="153">
        <v>-2.0312700000000001</v>
      </c>
      <c r="AG597" s="155">
        <v>132.30364</v>
      </c>
      <c r="AM597" s="133" t="str" cm="1">
        <f t="array" ref="AM597">IF(ROWS($AN$2:$AN596)&lt;=$AN$2,INDEX($V$3:$V$3000,_xlfn.AGGREGATE(15,3,($B$3:$B$3000=$AM$2)/($B$3:$B$3000=$AM$2)*(ROW($B$3:$B$3000)-ROW($B$2)),ROWS($AN$2:$AN596))),"")</f>
        <v/>
      </c>
      <c r="AN597" s="134" t="str" cm="1">
        <f t="array" ref="AN597">IF(ROWS($AN$2:$AN596)&lt;=$AN$2,INDEX($F$3:$F$3000,_xlfn.AGGREGATE(15,3,($B$3:$B$3000=$AM$2)/($B$3:$B$3000=$AM$2)*(ROW($B$3:$B$3000)-ROW($B$2)),ROWS($AN$2:$AN596))),"")</f>
        <v/>
      </c>
      <c r="AO597" s="135" t="str" cm="1">
        <f t="array" ref="AO597">IF(ROWS($AN$2:$AN596)&lt;=$AN$2,INDEX($G$3:$G$3000,_xlfn.AGGREGATE(15,3,($B$3:$B$3000=$AM$2)/($B$3:$B$3000=$AM$2)*(ROW($B$3:$B$3000)-ROW($B$2)),ROWS($AN$2:$AN596))),"")</f>
        <v/>
      </c>
      <c r="AP597" s="121"/>
      <c r="AT597" s="111"/>
      <c r="AW597" s="134"/>
      <c r="AX597" s="136"/>
      <c r="AY597" s="134"/>
    </row>
    <row r="598" spans="1:51" s="110" customFormat="1" ht="20" customHeight="1">
      <c r="A598" s="125" t="s">
        <v>185</v>
      </c>
      <c r="B598" s="126" t="s">
        <v>59</v>
      </c>
      <c r="C598" s="127">
        <v>10871</v>
      </c>
      <c r="D598" s="151">
        <v>101481</v>
      </c>
      <c r="E598" s="152" t="s">
        <v>1832</v>
      </c>
      <c r="F598" s="152" t="s">
        <v>1832</v>
      </c>
      <c r="G598" s="153">
        <v>400</v>
      </c>
      <c r="H598" s="153">
        <v>3</v>
      </c>
      <c r="I598" s="152" t="s">
        <v>209</v>
      </c>
      <c r="J598" s="152" t="s">
        <v>1833</v>
      </c>
      <c r="K598" s="152" t="s">
        <v>1832</v>
      </c>
      <c r="L598" s="153">
        <v>1</v>
      </c>
      <c r="M598" s="153">
        <v>1</v>
      </c>
      <c r="N598" s="152" t="s">
        <v>1544</v>
      </c>
      <c r="O598" s="153">
        <v>64</v>
      </c>
      <c r="P598" s="153">
        <v>2</v>
      </c>
      <c r="Q598" s="153">
        <v>19</v>
      </c>
      <c r="R598" s="152" t="s">
        <v>654</v>
      </c>
      <c r="S598" s="152" t="s">
        <v>655</v>
      </c>
      <c r="T598" s="153">
        <v>244</v>
      </c>
      <c r="U598" s="152" t="s">
        <v>656</v>
      </c>
      <c r="V598" s="152" t="s">
        <v>657</v>
      </c>
      <c r="W598" s="153">
        <v>1</v>
      </c>
      <c r="X598" s="153">
        <v>2</v>
      </c>
      <c r="Y598" s="152" t="s">
        <v>194</v>
      </c>
      <c r="Z598" s="152" t="s">
        <v>195</v>
      </c>
      <c r="AA598" s="152" t="s">
        <v>196</v>
      </c>
      <c r="AB598" s="152" t="s">
        <v>187</v>
      </c>
      <c r="AC598" s="152" t="s">
        <v>187</v>
      </c>
      <c r="AD598" s="154"/>
      <c r="AE598" s="152" t="s">
        <v>209</v>
      </c>
      <c r="AF598" s="153">
        <v>-2.9189699999999998</v>
      </c>
      <c r="AG598" s="155">
        <v>137.66453000000001</v>
      </c>
      <c r="AM598" s="133" t="str" cm="1">
        <f t="array" ref="AM598">IF(ROWS($AN$2:$AN597)&lt;=$AN$2,INDEX($V$3:$V$3000,_xlfn.AGGREGATE(15,3,($B$3:$B$3000=$AM$2)/($B$3:$B$3000=$AM$2)*(ROW($B$3:$B$3000)-ROW($B$2)),ROWS($AN$2:$AN597))),"")</f>
        <v/>
      </c>
      <c r="AN598" s="134" t="str" cm="1">
        <f t="array" ref="AN598">IF(ROWS($AN$2:$AN597)&lt;=$AN$2,INDEX($F$3:$F$3000,_xlfn.AGGREGATE(15,3,($B$3:$B$3000=$AM$2)/($B$3:$B$3000=$AM$2)*(ROW($B$3:$B$3000)-ROW($B$2)),ROWS($AN$2:$AN597))),"")</f>
        <v/>
      </c>
      <c r="AO598" s="135" t="str" cm="1">
        <f t="array" ref="AO598">IF(ROWS($AN$2:$AN597)&lt;=$AN$2,INDEX($G$3:$G$3000,_xlfn.AGGREGATE(15,3,($B$3:$B$3000=$AM$2)/($B$3:$B$3000=$AM$2)*(ROW($B$3:$B$3000)-ROW($B$2)),ROWS($AN$2:$AN597))),"")</f>
        <v/>
      </c>
      <c r="AP598" s="121"/>
      <c r="AT598" s="111"/>
      <c r="AW598" s="134"/>
      <c r="AX598" s="136"/>
      <c r="AY598" s="134"/>
    </row>
    <row r="599" spans="1:51" s="110" customFormat="1" ht="20" customHeight="1">
      <c r="A599" s="125" t="s">
        <v>185</v>
      </c>
      <c r="B599" s="126" t="s">
        <v>59</v>
      </c>
      <c r="C599" s="127">
        <v>11500</v>
      </c>
      <c r="D599" s="151">
        <v>102444</v>
      </c>
      <c r="E599" s="152" t="s">
        <v>1837</v>
      </c>
      <c r="F599" s="152" t="s">
        <v>1837</v>
      </c>
      <c r="G599" s="153">
        <v>400</v>
      </c>
      <c r="H599" s="153">
        <v>3</v>
      </c>
      <c r="I599" s="152" t="s">
        <v>209</v>
      </c>
      <c r="J599" s="152" t="s">
        <v>1838</v>
      </c>
      <c r="K599" s="152" t="s">
        <v>1837</v>
      </c>
      <c r="L599" s="153">
        <v>2</v>
      </c>
      <c r="M599" s="153">
        <v>1</v>
      </c>
      <c r="N599" s="152" t="s">
        <v>1544</v>
      </c>
      <c r="O599" s="153">
        <v>70</v>
      </c>
      <c r="P599" s="153">
        <v>1</v>
      </c>
      <c r="Q599" s="153">
        <v>19</v>
      </c>
      <c r="R599" s="152" t="s">
        <v>654</v>
      </c>
      <c r="S599" s="152" t="s">
        <v>655</v>
      </c>
      <c r="T599" s="153">
        <v>244</v>
      </c>
      <c r="U599" s="152" t="s">
        <v>656</v>
      </c>
      <c r="V599" s="152" t="s">
        <v>657</v>
      </c>
      <c r="W599" s="153">
        <v>1</v>
      </c>
      <c r="X599" s="153">
        <v>2</v>
      </c>
      <c r="Y599" s="152" t="s">
        <v>194</v>
      </c>
      <c r="Z599" s="152" t="s">
        <v>195</v>
      </c>
      <c r="AA599" s="152" t="s">
        <v>196</v>
      </c>
      <c r="AB599" s="152" t="s">
        <v>187</v>
      </c>
      <c r="AC599" s="152" t="s">
        <v>187</v>
      </c>
      <c r="AD599" s="154"/>
      <c r="AE599" s="152" t="s">
        <v>209</v>
      </c>
      <c r="AF599" s="153">
        <v>-3.2528299999999999</v>
      </c>
      <c r="AG599" s="155">
        <v>136.42266000000001</v>
      </c>
      <c r="AM599" s="133" t="str" cm="1">
        <f t="array" ref="AM599">IF(ROWS($AN$2:$AN598)&lt;=$AN$2,INDEX($V$3:$V$3000,_xlfn.AGGREGATE(15,3,($B$3:$B$3000=$AM$2)/($B$3:$B$3000=$AM$2)*(ROW($B$3:$B$3000)-ROW($B$2)),ROWS($AN$2:$AN598))),"")</f>
        <v/>
      </c>
      <c r="AN599" s="134" t="str" cm="1">
        <f t="array" ref="AN599">IF(ROWS($AN$2:$AN598)&lt;=$AN$2,INDEX($F$3:$F$3000,_xlfn.AGGREGATE(15,3,($B$3:$B$3000=$AM$2)/($B$3:$B$3000=$AM$2)*(ROW($B$3:$B$3000)-ROW($B$2)),ROWS($AN$2:$AN598))),"")</f>
        <v/>
      </c>
      <c r="AO599" s="135" t="str" cm="1">
        <f t="array" ref="AO599">IF(ROWS($AN$2:$AN598)&lt;=$AN$2,INDEX($G$3:$G$3000,_xlfn.AGGREGATE(15,3,($B$3:$B$3000=$AM$2)/($B$3:$B$3000=$AM$2)*(ROW($B$3:$B$3000)-ROW($B$2)),ROWS($AN$2:$AN598))),"")</f>
        <v/>
      </c>
      <c r="AP599" s="121"/>
      <c r="AT599" s="111"/>
      <c r="AW599" s="134"/>
      <c r="AX599" s="136"/>
      <c r="AY599" s="134"/>
    </row>
    <row r="600" spans="1:51" s="110" customFormat="1" ht="20" customHeight="1">
      <c r="A600" s="125" t="s">
        <v>185</v>
      </c>
      <c r="B600" s="126" t="s">
        <v>59</v>
      </c>
      <c r="C600" s="127">
        <v>12531</v>
      </c>
      <c r="D600" s="151">
        <v>104649</v>
      </c>
      <c r="E600" s="152" t="s">
        <v>1842</v>
      </c>
      <c r="F600" s="152" t="s">
        <v>1842</v>
      </c>
      <c r="G600" s="153">
        <v>400</v>
      </c>
      <c r="H600" s="153">
        <v>3</v>
      </c>
      <c r="I600" s="152" t="s">
        <v>209</v>
      </c>
      <c r="J600" s="152" t="s">
        <v>1843</v>
      </c>
      <c r="K600" s="152" t="s">
        <v>1842</v>
      </c>
      <c r="L600" s="153">
        <v>0</v>
      </c>
      <c r="M600" s="153">
        <v>1</v>
      </c>
      <c r="N600" s="152" t="s">
        <v>1544</v>
      </c>
      <c r="O600" s="153">
        <v>60</v>
      </c>
      <c r="P600" s="153">
        <v>2</v>
      </c>
      <c r="Q600" s="153">
        <v>19</v>
      </c>
      <c r="R600" s="152" t="s">
        <v>654</v>
      </c>
      <c r="S600" s="152" t="s">
        <v>655</v>
      </c>
      <c r="T600" s="153">
        <v>244</v>
      </c>
      <c r="U600" s="152" t="s">
        <v>656</v>
      </c>
      <c r="V600" s="152" t="s">
        <v>657</v>
      </c>
      <c r="W600" s="153">
        <v>1</v>
      </c>
      <c r="X600" s="153">
        <v>2</v>
      </c>
      <c r="Y600" s="152" t="s">
        <v>194</v>
      </c>
      <c r="Z600" s="152" t="s">
        <v>195</v>
      </c>
      <c r="AA600" s="152" t="s">
        <v>196</v>
      </c>
      <c r="AB600" s="152" t="s">
        <v>187</v>
      </c>
      <c r="AC600" s="152" t="s">
        <v>187</v>
      </c>
      <c r="AD600" s="154"/>
      <c r="AE600" s="152" t="s">
        <v>209</v>
      </c>
      <c r="AF600" s="153">
        <v>-3.4319060000000001</v>
      </c>
      <c r="AG600" s="155">
        <v>132.667922</v>
      </c>
      <c r="AM600" s="133" t="str" cm="1">
        <f t="array" ref="AM600">IF(ROWS($AN$2:$AN599)&lt;=$AN$2,INDEX($V$3:$V$3000,_xlfn.AGGREGATE(15,3,($B$3:$B$3000=$AM$2)/($B$3:$B$3000=$AM$2)*(ROW($B$3:$B$3000)-ROW($B$2)),ROWS($AN$2:$AN599))),"")</f>
        <v/>
      </c>
      <c r="AN600" s="134" t="str" cm="1">
        <f t="array" ref="AN600">IF(ROWS($AN$2:$AN599)&lt;=$AN$2,INDEX($F$3:$F$3000,_xlfn.AGGREGATE(15,3,($B$3:$B$3000=$AM$2)/($B$3:$B$3000=$AM$2)*(ROW($B$3:$B$3000)-ROW($B$2)),ROWS($AN$2:$AN599))),"")</f>
        <v/>
      </c>
      <c r="AO600" s="135" t="str" cm="1">
        <f t="array" ref="AO600">IF(ROWS($AN$2:$AN599)&lt;=$AN$2,INDEX($G$3:$G$3000,_xlfn.AGGREGATE(15,3,($B$3:$B$3000=$AM$2)/($B$3:$B$3000=$AM$2)*(ROW($B$3:$B$3000)-ROW($B$2)),ROWS($AN$2:$AN599))),"")</f>
        <v/>
      </c>
      <c r="AP600" s="121"/>
      <c r="AT600" s="111"/>
      <c r="AW600" s="134"/>
      <c r="AX600" s="136"/>
      <c r="AY600" s="134"/>
    </row>
    <row r="601" spans="1:51" s="110" customFormat="1" ht="20" customHeight="1">
      <c r="A601" s="125" t="s">
        <v>185</v>
      </c>
      <c r="B601" s="126" t="s">
        <v>59</v>
      </c>
      <c r="C601" s="127">
        <v>15303</v>
      </c>
      <c r="D601" s="151">
        <v>109902</v>
      </c>
      <c r="E601" s="152" t="s">
        <v>1874</v>
      </c>
      <c r="F601" s="152" t="s">
        <v>1874</v>
      </c>
      <c r="G601" s="153">
        <v>400</v>
      </c>
      <c r="H601" s="153">
        <v>3</v>
      </c>
      <c r="I601" s="152" t="s">
        <v>209</v>
      </c>
      <c r="J601" s="152" t="s">
        <v>1875</v>
      </c>
      <c r="K601" s="152" t="s">
        <v>1876</v>
      </c>
      <c r="L601" s="153">
        <v>1</v>
      </c>
      <c r="M601" s="153">
        <v>1</v>
      </c>
      <c r="N601" s="152" t="s">
        <v>1544</v>
      </c>
      <c r="O601" s="153">
        <v>65</v>
      </c>
      <c r="P601" s="153">
        <v>2</v>
      </c>
      <c r="Q601" s="153">
        <v>19</v>
      </c>
      <c r="R601" s="152" t="s">
        <v>654</v>
      </c>
      <c r="S601" s="152" t="s">
        <v>655</v>
      </c>
      <c r="T601" s="153">
        <v>244</v>
      </c>
      <c r="U601" s="152" t="s">
        <v>656</v>
      </c>
      <c r="V601" s="152" t="s">
        <v>657</v>
      </c>
      <c r="W601" s="153">
        <v>1</v>
      </c>
      <c r="X601" s="153">
        <v>2</v>
      </c>
      <c r="Y601" s="152" t="s">
        <v>194</v>
      </c>
      <c r="Z601" s="152" t="s">
        <v>195</v>
      </c>
      <c r="AA601" s="152" t="s">
        <v>196</v>
      </c>
      <c r="AB601" s="152" t="s">
        <v>187</v>
      </c>
      <c r="AC601" s="152" t="s">
        <v>187</v>
      </c>
      <c r="AD601" s="154"/>
      <c r="AE601" s="152" t="s">
        <v>209</v>
      </c>
      <c r="AF601" s="153">
        <v>-3.3153100000000002</v>
      </c>
      <c r="AG601" s="155">
        <v>138.83044000000001</v>
      </c>
      <c r="AM601" s="133" t="str" cm="1">
        <f t="array" ref="AM601">IF(ROWS($AN$2:$AN600)&lt;=$AN$2,INDEX($V$3:$V$3000,_xlfn.AGGREGATE(15,3,($B$3:$B$3000=$AM$2)/($B$3:$B$3000=$AM$2)*(ROW($B$3:$B$3000)-ROW($B$2)),ROWS($AN$2:$AN600))),"")</f>
        <v/>
      </c>
      <c r="AN601" s="134" t="str" cm="1">
        <f t="array" ref="AN601">IF(ROWS($AN$2:$AN600)&lt;=$AN$2,INDEX($F$3:$F$3000,_xlfn.AGGREGATE(15,3,($B$3:$B$3000=$AM$2)/($B$3:$B$3000=$AM$2)*(ROW($B$3:$B$3000)-ROW($B$2)),ROWS($AN$2:$AN600))),"")</f>
        <v/>
      </c>
      <c r="AO601" s="135" t="str" cm="1">
        <f t="array" ref="AO601">IF(ROWS($AN$2:$AN600)&lt;=$AN$2,INDEX($G$3:$G$3000,_xlfn.AGGREGATE(15,3,($B$3:$B$3000=$AM$2)/($B$3:$B$3000=$AM$2)*(ROW($B$3:$B$3000)-ROW($B$2)),ROWS($AN$2:$AN600))),"")</f>
        <v/>
      </c>
      <c r="AP601" s="121"/>
      <c r="AT601" s="111"/>
      <c r="AW601" s="134"/>
      <c r="AX601" s="136"/>
      <c r="AY601" s="134"/>
    </row>
    <row r="602" spans="1:51" s="110" customFormat="1" ht="20" customHeight="1">
      <c r="A602" s="125" t="s">
        <v>185</v>
      </c>
      <c r="B602" s="126" t="s">
        <v>59</v>
      </c>
      <c r="C602" s="127">
        <v>11627</v>
      </c>
      <c r="D602" s="151">
        <v>102743</v>
      </c>
      <c r="E602" s="152" t="s">
        <v>1754</v>
      </c>
      <c r="F602" s="152" t="s">
        <v>1754</v>
      </c>
      <c r="G602" s="153">
        <v>300</v>
      </c>
      <c r="H602" s="153">
        <v>3</v>
      </c>
      <c r="I602" s="152" t="s">
        <v>209</v>
      </c>
      <c r="J602" s="152" t="s">
        <v>1755</v>
      </c>
      <c r="K602" s="152" t="s">
        <v>1756</v>
      </c>
      <c r="L602" s="153">
        <v>0</v>
      </c>
      <c r="M602" s="153">
        <v>1</v>
      </c>
      <c r="N602" s="152" t="s">
        <v>1544</v>
      </c>
      <c r="O602" s="153">
        <v>67</v>
      </c>
      <c r="P602" s="153">
        <v>2</v>
      </c>
      <c r="Q602" s="153">
        <v>19</v>
      </c>
      <c r="R602" s="152" t="s">
        <v>654</v>
      </c>
      <c r="S602" s="152" t="s">
        <v>655</v>
      </c>
      <c r="T602" s="153">
        <v>244</v>
      </c>
      <c r="U602" s="152" t="s">
        <v>656</v>
      </c>
      <c r="V602" s="152" t="s">
        <v>657</v>
      </c>
      <c r="W602" s="153">
        <v>1</v>
      </c>
      <c r="X602" s="153">
        <v>2</v>
      </c>
      <c r="Y602" s="152" t="s">
        <v>194</v>
      </c>
      <c r="Z602" s="152" t="s">
        <v>195</v>
      </c>
      <c r="AA602" s="152" t="s">
        <v>196</v>
      </c>
      <c r="AB602" s="152" t="s">
        <v>187</v>
      </c>
      <c r="AC602" s="152" t="s">
        <v>187</v>
      </c>
      <c r="AD602" s="154"/>
      <c r="AE602" s="152" t="s">
        <v>209</v>
      </c>
      <c r="AF602" s="153">
        <v>-3.6318800000000002</v>
      </c>
      <c r="AG602" s="155">
        <v>140.76820000000001</v>
      </c>
      <c r="AM602" s="133" t="str" cm="1">
        <f t="array" ref="AM602">IF(ROWS($AN$2:$AN601)&lt;=$AN$2,INDEX($V$3:$V$3000,_xlfn.AGGREGATE(15,3,($B$3:$B$3000=$AM$2)/($B$3:$B$3000=$AM$2)*(ROW($B$3:$B$3000)-ROW($B$2)),ROWS($AN$2:$AN601))),"")</f>
        <v/>
      </c>
      <c r="AN602" s="134" t="str" cm="1">
        <f t="array" ref="AN602">IF(ROWS($AN$2:$AN601)&lt;=$AN$2,INDEX($F$3:$F$3000,_xlfn.AGGREGATE(15,3,($B$3:$B$3000=$AM$2)/($B$3:$B$3000=$AM$2)*(ROW($B$3:$B$3000)-ROW($B$2)),ROWS($AN$2:$AN601))),"")</f>
        <v/>
      </c>
      <c r="AO602" s="135" t="str" cm="1">
        <f t="array" ref="AO602">IF(ROWS($AN$2:$AN601)&lt;=$AN$2,INDEX($G$3:$G$3000,_xlfn.AGGREGATE(15,3,($B$3:$B$3000=$AM$2)/($B$3:$B$3000=$AM$2)*(ROW($B$3:$B$3000)-ROW($B$2)),ROWS($AN$2:$AN601))),"")</f>
        <v/>
      </c>
      <c r="AP602" s="121"/>
      <c r="AT602" s="111"/>
      <c r="AW602" s="134"/>
      <c r="AX602" s="136"/>
      <c r="AY602" s="134"/>
    </row>
    <row r="603" spans="1:51" s="110" customFormat="1" ht="20" customHeight="1">
      <c r="A603" s="125" t="s">
        <v>185</v>
      </c>
      <c r="B603" s="126" t="s">
        <v>59</v>
      </c>
      <c r="C603" s="127">
        <v>13807</v>
      </c>
      <c r="D603" s="151">
        <v>106789</v>
      </c>
      <c r="E603" s="152" t="s">
        <v>1766</v>
      </c>
      <c r="F603" s="152" t="s">
        <v>1766</v>
      </c>
      <c r="G603" s="153">
        <v>300</v>
      </c>
      <c r="H603" s="153">
        <v>3</v>
      </c>
      <c r="I603" s="152" t="s">
        <v>209</v>
      </c>
      <c r="J603" s="152" t="s">
        <v>747</v>
      </c>
      <c r="K603" s="152" t="s">
        <v>746</v>
      </c>
      <c r="L603" s="153">
        <v>5</v>
      </c>
      <c r="M603" s="153">
        <v>1</v>
      </c>
      <c r="N603" s="152" t="s">
        <v>1544</v>
      </c>
      <c r="O603" s="153">
        <v>64</v>
      </c>
      <c r="P603" s="153">
        <v>2</v>
      </c>
      <c r="Q603" s="153">
        <v>19</v>
      </c>
      <c r="R603" s="152" t="s">
        <v>654</v>
      </c>
      <c r="S603" s="152" t="s">
        <v>655</v>
      </c>
      <c r="T603" s="153">
        <v>244</v>
      </c>
      <c r="U603" s="152" t="s">
        <v>656</v>
      </c>
      <c r="V603" s="152" t="s">
        <v>657</v>
      </c>
      <c r="W603" s="153">
        <v>1</v>
      </c>
      <c r="X603" s="153">
        <v>2</v>
      </c>
      <c r="Y603" s="152" t="s">
        <v>194</v>
      </c>
      <c r="Z603" s="152" t="s">
        <v>195</v>
      </c>
      <c r="AA603" s="152" t="s">
        <v>196</v>
      </c>
      <c r="AB603" s="152" t="s">
        <v>187</v>
      </c>
      <c r="AC603" s="152" t="s">
        <v>187</v>
      </c>
      <c r="AD603" s="154"/>
      <c r="AE603" s="152" t="s">
        <v>209</v>
      </c>
      <c r="AF603" s="153">
        <v>-8.4964071436747304</v>
      </c>
      <c r="AG603" s="155">
        <v>140.61259925874899</v>
      </c>
      <c r="AM603" s="133" t="str" cm="1">
        <f t="array" ref="AM603">IF(ROWS($AN$2:$AN602)&lt;=$AN$2,INDEX($V$3:$V$3000,_xlfn.AGGREGATE(15,3,($B$3:$B$3000=$AM$2)/($B$3:$B$3000=$AM$2)*(ROW($B$3:$B$3000)-ROW($B$2)),ROWS($AN$2:$AN602))),"")</f>
        <v/>
      </c>
      <c r="AN603" s="134" t="str" cm="1">
        <f t="array" ref="AN603">IF(ROWS($AN$2:$AN602)&lt;=$AN$2,INDEX($F$3:$F$3000,_xlfn.AGGREGATE(15,3,($B$3:$B$3000=$AM$2)/($B$3:$B$3000=$AM$2)*(ROW($B$3:$B$3000)-ROW($B$2)),ROWS($AN$2:$AN602))),"")</f>
        <v/>
      </c>
      <c r="AO603" s="135" t="str" cm="1">
        <f t="array" ref="AO603">IF(ROWS($AN$2:$AN602)&lt;=$AN$2,INDEX($G$3:$G$3000,_xlfn.AGGREGATE(15,3,($B$3:$B$3000=$AM$2)/($B$3:$B$3000=$AM$2)*(ROW($B$3:$B$3000)-ROW($B$2)),ROWS($AN$2:$AN602))),"")</f>
        <v/>
      </c>
      <c r="AP603" s="121"/>
      <c r="AT603" s="111"/>
      <c r="AW603" s="134"/>
      <c r="AX603" s="136"/>
      <c r="AY603" s="134"/>
    </row>
    <row r="604" spans="1:51" s="110" customFormat="1" ht="20" customHeight="1">
      <c r="A604" s="125" t="s">
        <v>185</v>
      </c>
      <c r="B604" s="126" t="s">
        <v>59</v>
      </c>
      <c r="C604" s="127">
        <v>14853</v>
      </c>
      <c r="D604" s="151">
        <v>108840</v>
      </c>
      <c r="E604" s="152" t="s">
        <v>1771</v>
      </c>
      <c r="F604" s="152" t="s">
        <v>1771</v>
      </c>
      <c r="G604" s="153">
        <v>300</v>
      </c>
      <c r="H604" s="153">
        <v>3</v>
      </c>
      <c r="I604" s="152" t="s">
        <v>209</v>
      </c>
      <c r="J604" s="152" t="s">
        <v>1772</v>
      </c>
      <c r="K604" s="152" t="s">
        <v>1773</v>
      </c>
      <c r="L604" s="153">
        <v>0</v>
      </c>
      <c r="M604" s="153">
        <v>1</v>
      </c>
      <c r="N604" s="152" t="s">
        <v>1544</v>
      </c>
      <c r="O604" s="153">
        <v>68</v>
      </c>
      <c r="P604" s="153">
        <v>2</v>
      </c>
      <c r="Q604" s="153">
        <v>19</v>
      </c>
      <c r="R604" s="152" t="s">
        <v>654</v>
      </c>
      <c r="S604" s="152" t="s">
        <v>655</v>
      </c>
      <c r="T604" s="153">
        <v>244</v>
      </c>
      <c r="U604" s="152" t="s">
        <v>656</v>
      </c>
      <c r="V604" s="152" t="s">
        <v>657</v>
      </c>
      <c r="W604" s="153">
        <v>1</v>
      </c>
      <c r="X604" s="153">
        <v>2</v>
      </c>
      <c r="Y604" s="152" t="s">
        <v>194</v>
      </c>
      <c r="Z604" s="152" t="s">
        <v>195</v>
      </c>
      <c r="AA604" s="152" t="s">
        <v>196</v>
      </c>
      <c r="AB604" s="152" t="s">
        <v>187</v>
      </c>
      <c r="AC604" s="152" t="s">
        <v>187</v>
      </c>
      <c r="AD604" s="154"/>
      <c r="AE604" s="152" t="s">
        <v>209</v>
      </c>
      <c r="AF604" s="153">
        <v>-3.4029500000000001</v>
      </c>
      <c r="AG604" s="155">
        <v>140.80543</v>
      </c>
      <c r="AM604" s="133" t="str" cm="1">
        <f t="array" ref="AM604">IF(ROWS($AN$2:$AN603)&lt;=$AN$2,INDEX($V$3:$V$3000,_xlfn.AGGREGATE(15,3,($B$3:$B$3000=$AM$2)/($B$3:$B$3000=$AM$2)*(ROW($B$3:$B$3000)-ROW($B$2)),ROWS($AN$2:$AN603))),"")</f>
        <v/>
      </c>
      <c r="AN604" s="134" t="str" cm="1">
        <f t="array" ref="AN604">IF(ROWS($AN$2:$AN603)&lt;=$AN$2,INDEX($F$3:$F$3000,_xlfn.AGGREGATE(15,3,($B$3:$B$3000=$AM$2)/($B$3:$B$3000=$AM$2)*(ROW($B$3:$B$3000)-ROW($B$2)),ROWS($AN$2:$AN603))),"")</f>
        <v/>
      </c>
      <c r="AO604" s="135" t="str" cm="1">
        <f t="array" ref="AO604">IF(ROWS($AN$2:$AN603)&lt;=$AN$2,INDEX($G$3:$G$3000,_xlfn.AGGREGATE(15,3,($B$3:$B$3000=$AM$2)/($B$3:$B$3000=$AM$2)*(ROW($B$3:$B$3000)-ROW($B$2)),ROWS($AN$2:$AN603))),"")</f>
        <v/>
      </c>
      <c r="AP604" s="121"/>
      <c r="AT604" s="111"/>
      <c r="AW604" s="134"/>
      <c r="AX604" s="136"/>
      <c r="AY604" s="134"/>
    </row>
    <row r="605" spans="1:51" s="110" customFormat="1" ht="20" customHeight="1">
      <c r="A605" s="125" t="s">
        <v>185</v>
      </c>
      <c r="B605" s="126" t="s">
        <v>59</v>
      </c>
      <c r="C605" s="127">
        <v>11729</v>
      </c>
      <c r="D605" s="145">
        <v>102888</v>
      </c>
      <c r="E605" s="146" t="s">
        <v>4708</v>
      </c>
      <c r="F605" s="146" t="s">
        <v>4708</v>
      </c>
      <c r="G605" s="147">
        <v>166000</v>
      </c>
      <c r="H605" s="147">
        <v>4</v>
      </c>
      <c r="I605" s="146" t="s">
        <v>209</v>
      </c>
      <c r="J605" s="146" t="s">
        <v>4709</v>
      </c>
      <c r="K605" s="146" t="s">
        <v>4710</v>
      </c>
      <c r="L605" s="147">
        <v>4</v>
      </c>
      <c r="M605" s="147">
        <v>1</v>
      </c>
      <c r="N605" s="146" t="s">
        <v>1544</v>
      </c>
      <c r="O605" s="147">
        <v>95</v>
      </c>
      <c r="P605" s="147">
        <v>9</v>
      </c>
      <c r="Q605" s="147">
        <v>19</v>
      </c>
      <c r="R605" s="146" t="s">
        <v>654</v>
      </c>
      <c r="S605" s="146" t="s">
        <v>655</v>
      </c>
      <c r="T605" s="147">
        <v>244</v>
      </c>
      <c r="U605" s="146" t="s">
        <v>656</v>
      </c>
      <c r="V605" s="146" t="s">
        <v>657</v>
      </c>
      <c r="W605" s="147">
        <v>1</v>
      </c>
      <c r="X605" s="147">
        <v>2</v>
      </c>
      <c r="Y605" s="146" t="s">
        <v>194</v>
      </c>
      <c r="Z605" s="146" t="s">
        <v>195</v>
      </c>
      <c r="AA605" s="146" t="s">
        <v>196</v>
      </c>
      <c r="AB605" s="146" t="s">
        <v>187</v>
      </c>
      <c r="AC605" s="146" t="s">
        <v>187</v>
      </c>
      <c r="AD605" s="148"/>
      <c r="AE605" s="146" t="s">
        <v>209</v>
      </c>
      <c r="AF605" s="147">
        <v>-3.8329</v>
      </c>
      <c r="AG605" s="149">
        <v>135.92095</v>
      </c>
      <c r="AM605" s="133" t="str" cm="1">
        <f t="array" ref="AM605">IF(ROWS($AN$2:$AN604)&lt;=$AN$2,INDEX($V$3:$V$3000,_xlfn.AGGREGATE(15,3,($B$3:$B$3000=$AM$2)/($B$3:$B$3000=$AM$2)*(ROW($B$3:$B$3000)-ROW($B$2)),ROWS($AN$2:$AN604))),"")</f>
        <v/>
      </c>
      <c r="AN605" s="134" t="str" cm="1">
        <f t="array" ref="AN605">IF(ROWS($AN$2:$AN604)&lt;=$AN$2,INDEX($F$3:$F$3000,_xlfn.AGGREGATE(15,3,($B$3:$B$3000=$AM$2)/($B$3:$B$3000=$AM$2)*(ROW($B$3:$B$3000)-ROW($B$2)),ROWS($AN$2:$AN604))),"")</f>
        <v/>
      </c>
      <c r="AO605" s="135" t="str" cm="1">
        <f t="array" ref="AO605">IF(ROWS($AN$2:$AN604)&lt;=$AN$2,INDEX($G$3:$G$3000,_xlfn.AGGREGATE(15,3,($B$3:$B$3000=$AM$2)/($B$3:$B$3000=$AM$2)*(ROW($B$3:$B$3000)-ROW($B$2)),ROWS($AN$2:$AN604))),"")</f>
        <v/>
      </c>
      <c r="AP605" s="121"/>
      <c r="AT605" s="111"/>
      <c r="AW605" s="134"/>
      <c r="AX605" s="136"/>
      <c r="AY605" s="134"/>
    </row>
    <row r="606" spans="1:51" s="110" customFormat="1" ht="20" customHeight="1">
      <c r="A606" s="125" t="s">
        <v>185</v>
      </c>
      <c r="B606" s="126" t="s">
        <v>59</v>
      </c>
      <c r="C606" s="127">
        <v>11493</v>
      </c>
      <c r="D606" s="145">
        <v>102436</v>
      </c>
      <c r="E606" s="146" t="s">
        <v>4530</v>
      </c>
      <c r="F606" s="146" t="s">
        <v>4531</v>
      </c>
      <c r="G606" s="147">
        <v>75000</v>
      </c>
      <c r="H606" s="147">
        <v>4</v>
      </c>
      <c r="I606" s="146" t="s">
        <v>209</v>
      </c>
      <c r="J606" s="146" t="s">
        <v>4532</v>
      </c>
      <c r="K606" s="146" t="s">
        <v>4530</v>
      </c>
      <c r="L606" s="147">
        <v>4</v>
      </c>
      <c r="M606" s="147">
        <v>1</v>
      </c>
      <c r="N606" s="146" t="s">
        <v>1544</v>
      </c>
      <c r="O606" s="147">
        <v>85</v>
      </c>
      <c r="P606" s="147">
        <v>8</v>
      </c>
      <c r="Q606" s="147">
        <v>19</v>
      </c>
      <c r="R606" s="146" t="s">
        <v>654</v>
      </c>
      <c r="S606" s="146" t="s">
        <v>655</v>
      </c>
      <c r="T606" s="147">
        <v>244</v>
      </c>
      <c r="U606" s="146" t="s">
        <v>656</v>
      </c>
      <c r="V606" s="146" t="s">
        <v>657</v>
      </c>
      <c r="W606" s="147">
        <v>1</v>
      </c>
      <c r="X606" s="147">
        <v>2</v>
      </c>
      <c r="Y606" s="146" t="s">
        <v>194</v>
      </c>
      <c r="Z606" s="146" t="s">
        <v>195</v>
      </c>
      <c r="AA606" s="146" t="s">
        <v>196</v>
      </c>
      <c r="AB606" s="146" t="s">
        <v>187</v>
      </c>
      <c r="AC606" s="146" t="s">
        <v>187</v>
      </c>
      <c r="AD606" s="148"/>
      <c r="AE606" s="146" t="s">
        <v>209</v>
      </c>
      <c r="AF606" s="147">
        <v>-4.0742399999999996</v>
      </c>
      <c r="AG606" s="149">
        <v>138.91630000000001</v>
      </c>
      <c r="AM606" s="133" t="str" cm="1">
        <f t="array" ref="AM606">IF(ROWS($AN$2:$AN605)&lt;=$AN$2,INDEX($V$3:$V$3000,_xlfn.AGGREGATE(15,3,($B$3:$B$3000=$AM$2)/($B$3:$B$3000=$AM$2)*(ROW($B$3:$B$3000)-ROW($B$2)),ROWS($AN$2:$AN605))),"")</f>
        <v/>
      </c>
      <c r="AN606" s="134" t="str" cm="1">
        <f t="array" ref="AN606">IF(ROWS($AN$2:$AN605)&lt;=$AN$2,INDEX($F$3:$F$3000,_xlfn.AGGREGATE(15,3,($B$3:$B$3000=$AM$2)/($B$3:$B$3000=$AM$2)*(ROW($B$3:$B$3000)-ROW($B$2)),ROWS($AN$2:$AN605))),"")</f>
        <v/>
      </c>
      <c r="AO606" s="135" t="str" cm="1">
        <f t="array" ref="AO606">IF(ROWS($AN$2:$AN605)&lt;=$AN$2,INDEX($G$3:$G$3000,_xlfn.AGGREGATE(15,3,($B$3:$B$3000=$AM$2)/($B$3:$B$3000=$AM$2)*(ROW($B$3:$B$3000)-ROW($B$2)),ROWS($AN$2:$AN605))),"")</f>
        <v/>
      </c>
      <c r="AP606" s="121"/>
      <c r="AT606" s="111"/>
      <c r="AW606" s="134"/>
      <c r="AX606" s="136"/>
      <c r="AY606" s="134"/>
    </row>
    <row r="607" spans="1:51" s="110" customFormat="1" ht="20" customHeight="1">
      <c r="A607" s="125" t="s">
        <v>185</v>
      </c>
      <c r="B607" s="126" t="s">
        <v>59</v>
      </c>
      <c r="C607" s="127">
        <v>10825</v>
      </c>
      <c r="D607" s="145">
        <v>101404</v>
      </c>
      <c r="E607" s="146" t="s">
        <v>4356</v>
      </c>
      <c r="F607" s="146" t="s">
        <v>4356</v>
      </c>
      <c r="G607" s="147">
        <v>39000</v>
      </c>
      <c r="H607" s="147">
        <v>4</v>
      </c>
      <c r="I607" s="146" t="s">
        <v>209</v>
      </c>
      <c r="J607" s="146" t="s">
        <v>4357</v>
      </c>
      <c r="K607" s="146" t="s">
        <v>4358</v>
      </c>
      <c r="L607" s="147">
        <v>4</v>
      </c>
      <c r="M607" s="147">
        <v>1</v>
      </c>
      <c r="N607" s="146" t="s">
        <v>1544</v>
      </c>
      <c r="O607" s="147">
        <v>90</v>
      </c>
      <c r="P607" s="147">
        <v>8</v>
      </c>
      <c r="Q607" s="147">
        <v>19</v>
      </c>
      <c r="R607" s="146" t="s">
        <v>654</v>
      </c>
      <c r="S607" s="146" t="s">
        <v>655</v>
      </c>
      <c r="T607" s="147">
        <v>244</v>
      </c>
      <c r="U607" s="146" t="s">
        <v>656</v>
      </c>
      <c r="V607" s="146" t="s">
        <v>657</v>
      </c>
      <c r="W607" s="147">
        <v>1</v>
      </c>
      <c r="X607" s="147">
        <v>2</v>
      </c>
      <c r="Y607" s="146" t="s">
        <v>194</v>
      </c>
      <c r="Z607" s="146" t="s">
        <v>195</v>
      </c>
      <c r="AA607" s="146" t="s">
        <v>196</v>
      </c>
      <c r="AB607" s="146" t="s">
        <v>187</v>
      </c>
      <c r="AC607" s="146" t="s">
        <v>187</v>
      </c>
      <c r="AD607" s="148"/>
      <c r="AE607" s="146" t="s">
        <v>209</v>
      </c>
      <c r="AF607" s="147">
        <v>-0.69928999999999997</v>
      </c>
      <c r="AG607" s="149">
        <v>135.50658999999999</v>
      </c>
      <c r="AM607" s="133" t="str" cm="1">
        <f t="array" ref="AM607">IF(ROWS($AN$2:$AN606)&lt;=$AN$2,INDEX($V$3:$V$3000,_xlfn.AGGREGATE(15,3,($B$3:$B$3000=$AM$2)/($B$3:$B$3000=$AM$2)*(ROW($B$3:$B$3000)-ROW($B$2)),ROWS($AN$2:$AN606))),"")</f>
        <v/>
      </c>
      <c r="AN607" s="134" t="str" cm="1">
        <f t="array" ref="AN607">IF(ROWS($AN$2:$AN606)&lt;=$AN$2,INDEX($F$3:$F$3000,_xlfn.AGGREGATE(15,3,($B$3:$B$3000=$AM$2)/($B$3:$B$3000=$AM$2)*(ROW($B$3:$B$3000)-ROW($B$2)),ROWS($AN$2:$AN606))),"")</f>
        <v/>
      </c>
      <c r="AO607" s="135" t="str" cm="1">
        <f t="array" ref="AO607">IF(ROWS($AN$2:$AN606)&lt;=$AN$2,INDEX($G$3:$G$3000,_xlfn.AGGREGATE(15,3,($B$3:$B$3000=$AM$2)/($B$3:$B$3000=$AM$2)*(ROW($B$3:$B$3000)-ROW($B$2)),ROWS($AN$2:$AN606))),"")</f>
        <v/>
      </c>
      <c r="AP607" s="121"/>
      <c r="AT607" s="111"/>
      <c r="AW607" s="134"/>
      <c r="AX607" s="136"/>
      <c r="AY607" s="134"/>
    </row>
    <row r="608" spans="1:51" s="110" customFormat="1" ht="20" customHeight="1">
      <c r="A608" s="125" t="s">
        <v>185</v>
      </c>
      <c r="B608" s="126" t="s">
        <v>59</v>
      </c>
      <c r="C608" s="127">
        <v>13790</v>
      </c>
      <c r="D608" s="145">
        <v>106760</v>
      </c>
      <c r="E608" s="146" t="s">
        <v>4215</v>
      </c>
      <c r="F608" s="146" t="s">
        <v>4216</v>
      </c>
      <c r="G608" s="147">
        <v>30000</v>
      </c>
      <c r="H608" s="147">
        <v>4</v>
      </c>
      <c r="I608" s="146" t="s">
        <v>209</v>
      </c>
      <c r="J608" s="146" t="s">
        <v>4217</v>
      </c>
      <c r="K608" s="146" t="s">
        <v>4215</v>
      </c>
      <c r="L608" s="147">
        <v>4</v>
      </c>
      <c r="M608" s="147">
        <v>1</v>
      </c>
      <c r="N608" s="146" t="s">
        <v>1544</v>
      </c>
      <c r="O608" s="147">
        <v>85</v>
      </c>
      <c r="P608" s="147">
        <v>6</v>
      </c>
      <c r="Q608" s="147">
        <v>19</v>
      </c>
      <c r="R608" s="146" t="s">
        <v>654</v>
      </c>
      <c r="S608" s="146" t="s">
        <v>655</v>
      </c>
      <c r="T608" s="147">
        <v>244</v>
      </c>
      <c r="U608" s="146" t="s">
        <v>656</v>
      </c>
      <c r="V608" s="146" t="s">
        <v>657</v>
      </c>
      <c r="W608" s="147">
        <v>1</v>
      </c>
      <c r="X608" s="147">
        <v>2</v>
      </c>
      <c r="Y608" s="146" t="s">
        <v>194</v>
      </c>
      <c r="Z608" s="146" t="s">
        <v>195</v>
      </c>
      <c r="AA608" s="146" t="s">
        <v>196</v>
      </c>
      <c r="AB608" s="146" t="s">
        <v>187</v>
      </c>
      <c r="AC608" s="146" t="s">
        <v>187</v>
      </c>
      <c r="AD608" s="148"/>
      <c r="AE608" s="146" t="s">
        <v>209</v>
      </c>
      <c r="AF608" s="147">
        <v>-3.6345800000000001</v>
      </c>
      <c r="AG608" s="149">
        <v>136.97980000000001</v>
      </c>
      <c r="AM608" s="133" t="str" cm="1">
        <f t="array" ref="AM608">IF(ROWS($AN$2:$AN607)&lt;=$AN$2,INDEX($V$3:$V$3000,_xlfn.AGGREGATE(15,3,($B$3:$B$3000=$AM$2)/($B$3:$B$3000=$AM$2)*(ROW($B$3:$B$3000)-ROW($B$2)),ROWS($AN$2:$AN607))),"")</f>
        <v/>
      </c>
      <c r="AN608" s="134" t="str" cm="1">
        <f t="array" ref="AN608">IF(ROWS($AN$2:$AN607)&lt;=$AN$2,INDEX($F$3:$F$3000,_xlfn.AGGREGATE(15,3,($B$3:$B$3000=$AM$2)/($B$3:$B$3000=$AM$2)*(ROW($B$3:$B$3000)-ROW($B$2)),ROWS($AN$2:$AN607))),"")</f>
        <v/>
      </c>
      <c r="AO608" s="135" t="str" cm="1">
        <f t="array" ref="AO608">IF(ROWS($AN$2:$AN607)&lt;=$AN$2,INDEX($G$3:$G$3000,_xlfn.AGGREGATE(15,3,($B$3:$B$3000=$AM$2)/($B$3:$B$3000=$AM$2)*(ROW($B$3:$B$3000)-ROW($B$2)),ROWS($AN$2:$AN607))),"")</f>
        <v/>
      </c>
      <c r="AP608" s="121"/>
      <c r="AT608" s="111"/>
      <c r="AW608" s="134"/>
      <c r="AX608" s="136"/>
      <c r="AY608" s="134"/>
    </row>
    <row r="609" spans="1:51" s="110" customFormat="1" ht="20" customHeight="1">
      <c r="A609" s="125" t="s">
        <v>185</v>
      </c>
      <c r="B609" s="126" t="s">
        <v>59</v>
      </c>
      <c r="C609" s="127">
        <v>11494</v>
      </c>
      <c r="D609" s="145">
        <v>102437</v>
      </c>
      <c r="E609" s="146" t="s">
        <v>4184</v>
      </c>
      <c r="F609" s="146" t="s">
        <v>4184</v>
      </c>
      <c r="G609" s="147">
        <v>28000</v>
      </c>
      <c r="H609" s="147">
        <v>4</v>
      </c>
      <c r="I609" s="146" t="s">
        <v>209</v>
      </c>
      <c r="J609" s="146" t="s">
        <v>4185</v>
      </c>
      <c r="K609" s="146" t="s">
        <v>4184</v>
      </c>
      <c r="L609" s="147">
        <v>4</v>
      </c>
      <c r="M609" s="147">
        <v>1</v>
      </c>
      <c r="N609" s="146" t="s">
        <v>1544</v>
      </c>
      <c r="O609" s="147">
        <v>80</v>
      </c>
      <c r="P609" s="147">
        <v>7</v>
      </c>
      <c r="Q609" s="147">
        <v>19</v>
      </c>
      <c r="R609" s="146" t="s">
        <v>654</v>
      </c>
      <c r="S609" s="146" t="s">
        <v>655</v>
      </c>
      <c r="T609" s="147">
        <v>244</v>
      </c>
      <c r="U609" s="146" t="s">
        <v>656</v>
      </c>
      <c r="V609" s="146" t="s">
        <v>657</v>
      </c>
      <c r="W609" s="147">
        <v>1</v>
      </c>
      <c r="X609" s="147">
        <v>2</v>
      </c>
      <c r="Y609" s="146" t="s">
        <v>194</v>
      </c>
      <c r="Z609" s="146" t="s">
        <v>195</v>
      </c>
      <c r="AA609" s="146" t="s">
        <v>196</v>
      </c>
      <c r="AB609" s="146" t="s">
        <v>187</v>
      </c>
      <c r="AC609" s="146" t="s">
        <v>187</v>
      </c>
      <c r="AD609" s="148"/>
      <c r="AE609" s="146" t="s">
        <v>209</v>
      </c>
      <c r="AF609" s="147">
        <v>-3.94794</v>
      </c>
      <c r="AG609" s="149">
        <v>138.88981999999999</v>
      </c>
      <c r="AM609" s="133" t="str" cm="1">
        <f t="array" ref="AM609">IF(ROWS($AN$2:$AN608)&lt;=$AN$2,INDEX($V$3:$V$3000,_xlfn.AGGREGATE(15,3,($B$3:$B$3000=$AM$2)/($B$3:$B$3000=$AM$2)*(ROW($B$3:$B$3000)-ROW($B$2)),ROWS($AN$2:$AN608))),"")</f>
        <v/>
      </c>
      <c r="AN609" s="134" t="str" cm="1">
        <f t="array" ref="AN609">IF(ROWS($AN$2:$AN608)&lt;=$AN$2,INDEX($F$3:$F$3000,_xlfn.AGGREGATE(15,3,($B$3:$B$3000=$AM$2)/($B$3:$B$3000=$AM$2)*(ROW($B$3:$B$3000)-ROW($B$2)),ROWS($AN$2:$AN608))),"")</f>
        <v/>
      </c>
      <c r="AO609" s="135" t="str" cm="1">
        <f t="array" ref="AO609">IF(ROWS($AN$2:$AN608)&lt;=$AN$2,INDEX($G$3:$G$3000,_xlfn.AGGREGATE(15,3,($B$3:$B$3000=$AM$2)/($B$3:$B$3000=$AM$2)*(ROW($B$3:$B$3000)-ROW($B$2)),ROWS($AN$2:$AN608))),"")</f>
        <v/>
      </c>
      <c r="AP609" s="121"/>
      <c r="AT609" s="111"/>
      <c r="AW609" s="134"/>
      <c r="AX609" s="136"/>
      <c r="AY609" s="134"/>
    </row>
    <row r="610" spans="1:51" s="110" customFormat="1" ht="20" customHeight="1">
      <c r="A610" s="125" t="s">
        <v>185</v>
      </c>
      <c r="B610" s="126" t="s">
        <v>59</v>
      </c>
      <c r="C610" s="127">
        <v>13492</v>
      </c>
      <c r="D610" s="145">
        <v>106234</v>
      </c>
      <c r="E610" s="146" t="s">
        <v>4145</v>
      </c>
      <c r="F610" s="146" t="s">
        <v>4145</v>
      </c>
      <c r="G610" s="147">
        <v>25000</v>
      </c>
      <c r="H610" s="147">
        <v>4</v>
      </c>
      <c r="I610" s="146" t="s">
        <v>209</v>
      </c>
      <c r="J610" s="146" t="s">
        <v>4146</v>
      </c>
      <c r="K610" s="146" t="s">
        <v>4145</v>
      </c>
      <c r="L610" s="147">
        <v>1</v>
      </c>
      <c r="M610" s="147">
        <v>1</v>
      </c>
      <c r="N610" s="146" t="s">
        <v>1544</v>
      </c>
      <c r="O610" s="147">
        <v>65</v>
      </c>
      <c r="P610" s="147">
        <v>4</v>
      </c>
      <c r="Q610" s="147">
        <v>19</v>
      </c>
      <c r="R610" s="146" t="s">
        <v>654</v>
      </c>
      <c r="S610" s="146" t="s">
        <v>655</v>
      </c>
      <c r="T610" s="147">
        <v>244</v>
      </c>
      <c r="U610" s="146" t="s">
        <v>656</v>
      </c>
      <c r="V610" s="146" t="s">
        <v>657</v>
      </c>
      <c r="W610" s="147">
        <v>1</v>
      </c>
      <c r="X610" s="147">
        <v>2</v>
      </c>
      <c r="Y610" s="146" t="s">
        <v>194</v>
      </c>
      <c r="Z610" s="146" t="s">
        <v>195</v>
      </c>
      <c r="AA610" s="146" t="s">
        <v>196</v>
      </c>
      <c r="AB610" s="146" t="s">
        <v>187</v>
      </c>
      <c r="AC610" s="146" t="s">
        <v>187</v>
      </c>
      <c r="AD610" s="148"/>
      <c r="AE610" s="146" t="s">
        <v>209</v>
      </c>
      <c r="AF610" s="147">
        <v>-6.7913100000000002</v>
      </c>
      <c r="AG610" s="149">
        <v>140.58059</v>
      </c>
      <c r="AM610" s="133" t="str" cm="1">
        <f t="array" ref="AM610">IF(ROWS($AN$2:$AN609)&lt;=$AN$2,INDEX($V$3:$V$3000,_xlfn.AGGREGATE(15,3,($B$3:$B$3000=$AM$2)/($B$3:$B$3000=$AM$2)*(ROW($B$3:$B$3000)-ROW($B$2)),ROWS($AN$2:$AN609))),"")</f>
        <v/>
      </c>
      <c r="AN610" s="134" t="str" cm="1">
        <f t="array" ref="AN610">IF(ROWS($AN$2:$AN609)&lt;=$AN$2,INDEX($F$3:$F$3000,_xlfn.AGGREGATE(15,3,($B$3:$B$3000=$AM$2)/($B$3:$B$3000=$AM$2)*(ROW($B$3:$B$3000)-ROW($B$2)),ROWS($AN$2:$AN609))),"")</f>
        <v/>
      </c>
      <c r="AO610" s="135" t="str" cm="1">
        <f t="array" ref="AO610">IF(ROWS($AN$2:$AN609)&lt;=$AN$2,INDEX($G$3:$G$3000,_xlfn.AGGREGATE(15,3,($B$3:$B$3000=$AM$2)/($B$3:$B$3000=$AM$2)*(ROW($B$3:$B$3000)-ROW($B$2)),ROWS($AN$2:$AN609))),"")</f>
        <v/>
      </c>
      <c r="AP610" s="121"/>
      <c r="AT610" s="111"/>
      <c r="AW610" s="134"/>
      <c r="AX610" s="136"/>
      <c r="AY610" s="134"/>
    </row>
    <row r="611" spans="1:51" s="110" customFormat="1" ht="20" customHeight="1">
      <c r="A611" s="125" t="s">
        <v>185</v>
      </c>
      <c r="B611" s="126" t="s">
        <v>59</v>
      </c>
      <c r="C611" s="127">
        <v>15834</v>
      </c>
      <c r="D611" s="145">
        <v>110639</v>
      </c>
      <c r="E611" s="146" t="s">
        <v>4111</v>
      </c>
      <c r="F611" s="146" t="s">
        <v>4111</v>
      </c>
      <c r="G611" s="147">
        <v>23000</v>
      </c>
      <c r="H611" s="147">
        <v>4</v>
      </c>
      <c r="I611" s="146" t="s">
        <v>209</v>
      </c>
      <c r="J611" s="146" t="s">
        <v>4112</v>
      </c>
      <c r="K611" s="146" t="s">
        <v>4111</v>
      </c>
      <c r="L611" s="147">
        <v>3</v>
      </c>
      <c r="M611" s="147">
        <v>1</v>
      </c>
      <c r="N611" s="146" t="s">
        <v>1544</v>
      </c>
      <c r="O611" s="147">
        <v>60</v>
      </c>
      <c r="P611" s="147">
        <v>6</v>
      </c>
      <c r="Q611" s="147">
        <v>19</v>
      </c>
      <c r="R611" s="146" t="s">
        <v>654</v>
      </c>
      <c r="S611" s="146" t="s">
        <v>655</v>
      </c>
      <c r="T611" s="147">
        <v>244</v>
      </c>
      <c r="U611" s="146" t="s">
        <v>656</v>
      </c>
      <c r="V611" s="146" t="s">
        <v>657</v>
      </c>
      <c r="W611" s="147">
        <v>1</v>
      </c>
      <c r="X611" s="147">
        <v>2</v>
      </c>
      <c r="Y611" s="146" t="s">
        <v>194</v>
      </c>
      <c r="Z611" s="146" t="s">
        <v>195</v>
      </c>
      <c r="AA611" s="146" t="s">
        <v>196</v>
      </c>
      <c r="AB611" s="146" t="s">
        <v>187</v>
      </c>
      <c r="AC611" s="146" t="s">
        <v>187</v>
      </c>
      <c r="AD611" s="148"/>
      <c r="AE611" s="146" t="s">
        <v>209</v>
      </c>
      <c r="AF611" s="147">
        <v>-3.8311600000000001</v>
      </c>
      <c r="AG611" s="149">
        <v>138.82375999999999</v>
      </c>
      <c r="AM611" s="133" t="str" cm="1">
        <f t="array" ref="AM611">IF(ROWS($AN$2:$AN610)&lt;=$AN$2,INDEX($V$3:$V$3000,_xlfn.AGGREGATE(15,3,($B$3:$B$3000=$AM$2)/($B$3:$B$3000=$AM$2)*(ROW($B$3:$B$3000)-ROW($B$2)),ROWS($AN$2:$AN610))),"")</f>
        <v/>
      </c>
      <c r="AN611" s="134" t="str" cm="1">
        <f t="array" ref="AN611">IF(ROWS($AN$2:$AN610)&lt;=$AN$2,INDEX($F$3:$F$3000,_xlfn.AGGREGATE(15,3,($B$3:$B$3000=$AM$2)/($B$3:$B$3000=$AM$2)*(ROW($B$3:$B$3000)-ROW($B$2)),ROWS($AN$2:$AN610))),"")</f>
        <v/>
      </c>
      <c r="AO611" s="135" t="str" cm="1">
        <f t="array" ref="AO611">IF(ROWS($AN$2:$AN610)&lt;=$AN$2,INDEX($G$3:$G$3000,_xlfn.AGGREGATE(15,3,($B$3:$B$3000=$AM$2)/($B$3:$B$3000=$AM$2)*(ROW($B$3:$B$3000)-ROW($B$2)),ROWS($AN$2:$AN610))),"")</f>
        <v/>
      </c>
      <c r="AP611" s="121"/>
      <c r="AT611" s="111"/>
      <c r="AW611" s="134"/>
      <c r="AX611" s="136"/>
      <c r="AY611" s="134"/>
    </row>
    <row r="612" spans="1:51" s="110" customFormat="1" ht="20" customHeight="1">
      <c r="A612" s="125" t="s">
        <v>185</v>
      </c>
      <c r="B612" s="126" t="s">
        <v>59</v>
      </c>
      <c r="C612" s="127">
        <v>12069</v>
      </c>
      <c r="D612" s="145">
        <v>103731</v>
      </c>
      <c r="E612" s="146" t="s">
        <v>4074</v>
      </c>
      <c r="F612" s="146" t="s">
        <v>4074</v>
      </c>
      <c r="G612" s="147">
        <v>22000</v>
      </c>
      <c r="H612" s="147">
        <v>4</v>
      </c>
      <c r="I612" s="146" t="s">
        <v>209</v>
      </c>
      <c r="J612" s="146" t="s">
        <v>4075</v>
      </c>
      <c r="K612" s="146" t="s">
        <v>4076</v>
      </c>
      <c r="L612" s="147">
        <v>5</v>
      </c>
      <c r="M612" s="147">
        <v>1</v>
      </c>
      <c r="N612" s="146" t="s">
        <v>1544</v>
      </c>
      <c r="O612" s="147">
        <v>65</v>
      </c>
      <c r="P612" s="147">
        <v>5</v>
      </c>
      <c r="Q612" s="147">
        <v>19</v>
      </c>
      <c r="R612" s="146" t="s">
        <v>654</v>
      </c>
      <c r="S612" s="146" t="s">
        <v>655</v>
      </c>
      <c r="T612" s="147">
        <v>244</v>
      </c>
      <c r="U612" s="146" t="s">
        <v>656</v>
      </c>
      <c r="V612" s="146" t="s">
        <v>657</v>
      </c>
      <c r="W612" s="147">
        <v>1</v>
      </c>
      <c r="X612" s="147">
        <v>2</v>
      </c>
      <c r="Y612" s="146" t="s">
        <v>194</v>
      </c>
      <c r="Z612" s="146" t="s">
        <v>195</v>
      </c>
      <c r="AA612" s="146" t="s">
        <v>196</v>
      </c>
      <c r="AB612" s="146" t="s">
        <v>187</v>
      </c>
      <c r="AC612" s="146" t="s">
        <v>187</v>
      </c>
      <c r="AD612" s="148"/>
      <c r="AE612" s="146" t="s">
        <v>209</v>
      </c>
      <c r="AF612" s="147">
        <v>-1.13531000005645</v>
      </c>
      <c r="AG612" s="149">
        <v>134.03715000027199</v>
      </c>
      <c r="AM612" s="133" t="str" cm="1">
        <f t="array" ref="AM612">IF(ROWS($AN$2:$AN611)&lt;=$AN$2,INDEX($V$3:$V$3000,_xlfn.AGGREGATE(15,3,($B$3:$B$3000=$AM$2)/($B$3:$B$3000=$AM$2)*(ROW($B$3:$B$3000)-ROW($B$2)),ROWS($AN$2:$AN611))),"")</f>
        <v/>
      </c>
      <c r="AN612" s="134" t="str" cm="1">
        <f t="array" ref="AN612">IF(ROWS($AN$2:$AN611)&lt;=$AN$2,INDEX($F$3:$F$3000,_xlfn.AGGREGATE(15,3,($B$3:$B$3000=$AM$2)/($B$3:$B$3000=$AM$2)*(ROW($B$3:$B$3000)-ROW($B$2)),ROWS($AN$2:$AN611))),"")</f>
        <v/>
      </c>
      <c r="AO612" s="135" t="str" cm="1">
        <f t="array" ref="AO612">IF(ROWS($AN$2:$AN611)&lt;=$AN$2,INDEX($G$3:$G$3000,_xlfn.AGGREGATE(15,3,($B$3:$B$3000=$AM$2)/($B$3:$B$3000=$AM$2)*(ROW($B$3:$B$3000)-ROW($B$2)),ROWS($AN$2:$AN611))),"")</f>
        <v/>
      </c>
      <c r="AP612" s="121"/>
      <c r="AT612" s="111"/>
      <c r="AW612" s="134"/>
      <c r="AX612" s="136"/>
      <c r="AY612" s="134"/>
    </row>
    <row r="613" spans="1:51" s="110" customFormat="1" ht="20" customHeight="1">
      <c r="A613" s="125" t="s">
        <v>185</v>
      </c>
      <c r="B613" s="126" t="s">
        <v>59</v>
      </c>
      <c r="C613" s="127">
        <v>15964</v>
      </c>
      <c r="D613" s="145">
        <v>110946</v>
      </c>
      <c r="E613" s="146" t="s">
        <v>4082</v>
      </c>
      <c r="F613" s="146" t="s">
        <v>4082</v>
      </c>
      <c r="G613" s="147">
        <v>22000</v>
      </c>
      <c r="H613" s="147">
        <v>4</v>
      </c>
      <c r="I613" s="146" t="s">
        <v>209</v>
      </c>
      <c r="J613" s="146" t="s">
        <v>4083</v>
      </c>
      <c r="K613" s="146" t="s">
        <v>4082</v>
      </c>
      <c r="L613" s="147">
        <v>4</v>
      </c>
      <c r="M613" s="147">
        <v>1</v>
      </c>
      <c r="N613" s="146" t="s">
        <v>1544</v>
      </c>
      <c r="O613" s="147">
        <v>60</v>
      </c>
      <c r="P613" s="147">
        <v>5</v>
      </c>
      <c r="Q613" s="147">
        <v>19</v>
      </c>
      <c r="R613" s="146" t="s">
        <v>654</v>
      </c>
      <c r="S613" s="146" t="s">
        <v>655</v>
      </c>
      <c r="T613" s="147">
        <v>244</v>
      </c>
      <c r="U613" s="146" t="s">
        <v>656</v>
      </c>
      <c r="V613" s="146" t="s">
        <v>657</v>
      </c>
      <c r="W613" s="147">
        <v>1</v>
      </c>
      <c r="X613" s="147">
        <v>2</v>
      </c>
      <c r="Y613" s="146" t="s">
        <v>194</v>
      </c>
      <c r="Z613" s="146" t="s">
        <v>195</v>
      </c>
      <c r="AA613" s="146" t="s">
        <v>196</v>
      </c>
      <c r="AB613" s="146" t="s">
        <v>187</v>
      </c>
      <c r="AC613" s="146" t="s">
        <v>187</v>
      </c>
      <c r="AD613" s="148"/>
      <c r="AE613" s="146" t="s">
        <v>209</v>
      </c>
      <c r="AF613" s="147">
        <v>-3.9239000000000002</v>
      </c>
      <c r="AG613" s="149">
        <v>139.53398000000001</v>
      </c>
      <c r="AM613" s="133" t="str" cm="1">
        <f t="array" ref="AM613">IF(ROWS($AN$2:$AN612)&lt;=$AN$2,INDEX($V$3:$V$3000,_xlfn.AGGREGATE(15,3,($B$3:$B$3000=$AM$2)/($B$3:$B$3000=$AM$2)*(ROW($B$3:$B$3000)-ROW($B$2)),ROWS($AN$2:$AN612))),"")</f>
        <v/>
      </c>
      <c r="AN613" s="134" t="str" cm="1">
        <f t="array" ref="AN613">IF(ROWS($AN$2:$AN612)&lt;=$AN$2,INDEX($F$3:$F$3000,_xlfn.AGGREGATE(15,3,($B$3:$B$3000=$AM$2)/($B$3:$B$3000=$AM$2)*(ROW($B$3:$B$3000)-ROW($B$2)),ROWS($AN$2:$AN612))),"")</f>
        <v/>
      </c>
      <c r="AO613" s="135" t="str" cm="1">
        <f t="array" ref="AO613">IF(ROWS($AN$2:$AN612)&lt;=$AN$2,INDEX($G$3:$G$3000,_xlfn.AGGREGATE(15,3,($B$3:$B$3000=$AM$2)/($B$3:$B$3000=$AM$2)*(ROW($B$3:$B$3000)-ROW($B$2)),ROWS($AN$2:$AN612))),"")</f>
        <v/>
      </c>
      <c r="AP613" s="121"/>
      <c r="AT613" s="111"/>
      <c r="AW613" s="134"/>
      <c r="AX613" s="136"/>
      <c r="AY613" s="134"/>
    </row>
    <row r="614" spans="1:51" s="110" customFormat="1" ht="20" customHeight="1">
      <c r="A614" s="125" t="s">
        <v>185</v>
      </c>
      <c r="B614" s="126" t="s">
        <v>59</v>
      </c>
      <c r="C614" s="127">
        <v>11480</v>
      </c>
      <c r="D614" s="145">
        <v>102407</v>
      </c>
      <c r="E614" s="146" t="s">
        <v>4007</v>
      </c>
      <c r="F614" s="146" t="s">
        <v>4008</v>
      </c>
      <c r="G614" s="147">
        <v>19000</v>
      </c>
      <c r="H614" s="147">
        <v>4</v>
      </c>
      <c r="I614" s="146" t="s">
        <v>209</v>
      </c>
      <c r="J614" s="146" t="s">
        <v>4009</v>
      </c>
      <c r="K614" s="146" t="s">
        <v>4007</v>
      </c>
      <c r="L614" s="147">
        <v>4</v>
      </c>
      <c r="M614" s="147">
        <v>1</v>
      </c>
      <c r="N614" s="146" t="s">
        <v>1544</v>
      </c>
      <c r="O614" s="147">
        <v>98</v>
      </c>
      <c r="P614" s="147">
        <v>8</v>
      </c>
      <c r="Q614" s="147">
        <v>19</v>
      </c>
      <c r="R614" s="146" t="s">
        <v>654</v>
      </c>
      <c r="S614" s="146" t="s">
        <v>655</v>
      </c>
      <c r="T614" s="147">
        <v>244</v>
      </c>
      <c r="U614" s="146" t="s">
        <v>656</v>
      </c>
      <c r="V614" s="146" t="s">
        <v>657</v>
      </c>
      <c r="W614" s="147">
        <v>1</v>
      </c>
      <c r="X614" s="147">
        <v>2</v>
      </c>
      <c r="Y614" s="146" t="s">
        <v>194</v>
      </c>
      <c r="Z614" s="146" t="s">
        <v>195</v>
      </c>
      <c r="AA614" s="146" t="s">
        <v>196</v>
      </c>
      <c r="AB614" s="146" t="s">
        <v>187</v>
      </c>
      <c r="AC614" s="146" t="s">
        <v>187</v>
      </c>
      <c r="AD614" s="148"/>
      <c r="AE614" s="146" t="s">
        <v>209</v>
      </c>
      <c r="AF614" s="147">
        <v>-4.2999000000000001</v>
      </c>
      <c r="AG614" s="149">
        <v>137.46222</v>
      </c>
      <c r="AM614" s="133" t="str" cm="1">
        <f t="array" ref="AM614">IF(ROWS($AN$2:$AN613)&lt;=$AN$2,INDEX($V$3:$V$3000,_xlfn.AGGREGATE(15,3,($B$3:$B$3000=$AM$2)/($B$3:$B$3000=$AM$2)*(ROW($B$3:$B$3000)-ROW($B$2)),ROWS($AN$2:$AN613))),"")</f>
        <v/>
      </c>
      <c r="AN614" s="134" t="str" cm="1">
        <f t="array" ref="AN614">IF(ROWS($AN$2:$AN613)&lt;=$AN$2,INDEX($F$3:$F$3000,_xlfn.AGGREGATE(15,3,($B$3:$B$3000=$AM$2)/($B$3:$B$3000=$AM$2)*(ROW($B$3:$B$3000)-ROW($B$2)),ROWS($AN$2:$AN613))),"")</f>
        <v/>
      </c>
      <c r="AO614" s="135" t="str" cm="1">
        <f t="array" ref="AO614">IF(ROWS($AN$2:$AN613)&lt;=$AN$2,INDEX($G$3:$G$3000,_xlfn.AGGREGATE(15,3,($B$3:$B$3000=$AM$2)/($B$3:$B$3000=$AM$2)*(ROW($B$3:$B$3000)-ROW($B$2)),ROWS($AN$2:$AN613))),"")</f>
        <v/>
      </c>
      <c r="AP614" s="121"/>
      <c r="AT614" s="111"/>
      <c r="AW614" s="134"/>
      <c r="AX614" s="136"/>
      <c r="AY614" s="134"/>
    </row>
    <row r="615" spans="1:51" s="110" customFormat="1" ht="20" customHeight="1">
      <c r="A615" s="125" t="s">
        <v>185</v>
      </c>
      <c r="B615" s="126" t="s">
        <v>59</v>
      </c>
      <c r="C615" s="127">
        <v>13509</v>
      </c>
      <c r="D615" s="145">
        <v>106264</v>
      </c>
      <c r="E615" s="146" t="s">
        <v>4010</v>
      </c>
      <c r="F615" s="146" t="s">
        <v>4010</v>
      </c>
      <c r="G615" s="147">
        <v>19000</v>
      </c>
      <c r="H615" s="147">
        <v>4</v>
      </c>
      <c r="I615" s="146" t="s">
        <v>209</v>
      </c>
      <c r="J615" s="146" t="s">
        <v>4011</v>
      </c>
      <c r="K615" s="146" t="s">
        <v>4012</v>
      </c>
      <c r="L615" s="147">
        <v>4</v>
      </c>
      <c r="M615" s="147">
        <v>1</v>
      </c>
      <c r="N615" s="146" t="s">
        <v>1544</v>
      </c>
      <c r="O615" s="147">
        <v>85</v>
      </c>
      <c r="P615" s="147">
        <v>7</v>
      </c>
      <c r="Q615" s="147">
        <v>19</v>
      </c>
      <c r="R615" s="146" t="s">
        <v>654</v>
      </c>
      <c r="S615" s="146" t="s">
        <v>655</v>
      </c>
      <c r="T615" s="147">
        <v>244</v>
      </c>
      <c r="U615" s="146" t="s">
        <v>656</v>
      </c>
      <c r="V615" s="146" t="s">
        <v>657</v>
      </c>
      <c r="W615" s="147">
        <v>1</v>
      </c>
      <c r="X615" s="147">
        <v>2</v>
      </c>
      <c r="Y615" s="146" t="s">
        <v>194</v>
      </c>
      <c r="Z615" s="146" t="s">
        <v>195</v>
      </c>
      <c r="AA615" s="146" t="s">
        <v>196</v>
      </c>
      <c r="AB615" s="146" t="s">
        <v>187</v>
      </c>
      <c r="AC615" s="146" t="s">
        <v>187</v>
      </c>
      <c r="AD615" s="148"/>
      <c r="AE615" s="146" t="s">
        <v>209</v>
      </c>
      <c r="AF615" s="147">
        <v>-1.4879</v>
      </c>
      <c r="AG615" s="149">
        <v>133.94049999999999</v>
      </c>
      <c r="AM615" s="133" t="str" cm="1">
        <f t="array" ref="AM615">IF(ROWS($AN$2:$AN614)&lt;=$AN$2,INDEX($V$3:$V$3000,_xlfn.AGGREGATE(15,3,($B$3:$B$3000=$AM$2)/($B$3:$B$3000=$AM$2)*(ROW($B$3:$B$3000)-ROW($B$2)),ROWS($AN$2:$AN614))),"")</f>
        <v/>
      </c>
      <c r="AN615" s="134" t="str" cm="1">
        <f t="array" ref="AN615">IF(ROWS($AN$2:$AN614)&lt;=$AN$2,INDEX($F$3:$F$3000,_xlfn.AGGREGATE(15,3,($B$3:$B$3000=$AM$2)/($B$3:$B$3000=$AM$2)*(ROW($B$3:$B$3000)-ROW($B$2)),ROWS($AN$2:$AN614))),"")</f>
        <v/>
      </c>
      <c r="AO615" s="135" t="str" cm="1">
        <f t="array" ref="AO615">IF(ROWS($AN$2:$AN614)&lt;=$AN$2,INDEX($G$3:$G$3000,_xlfn.AGGREGATE(15,3,($B$3:$B$3000=$AM$2)/($B$3:$B$3000=$AM$2)*(ROW($B$3:$B$3000)-ROW($B$2)),ROWS($AN$2:$AN614))),"")</f>
        <v/>
      </c>
      <c r="AP615" s="121"/>
      <c r="AT615" s="111"/>
      <c r="AW615" s="134"/>
      <c r="AX615" s="136"/>
      <c r="AY615" s="134"/>
    </row>
    <row r="616" spans="1:51" s="110" customFormat="1" ht="20" customHeight="1">
      <c r="A616" s="125" t="s">
        <v>185</v>
      </c>
      <c r="B616" s="126" t="s">
        <v>59</v>
      </c>
      <c r="C616" s="127">
        <v>13647</v>
      </c>
      <c r="D616" s="145">
        <v>106501</v>
      </c>
      <c r="E616" s="146" t="s">
        <v>4013</v>
      </c>
      <c r="F616" s="146" t="s">
        <v>4013</v>
      </c>
      <c r="G616" s="147">
        <v>19000</v>
      </c>
      <c r="H616" s="147">
        <v>4</v>
      </c>
      <c r="I616" s="146" t="s">
        <v>209</v>
      </c>
      <c r="J616" s="146" t="s">
        <v>4014</v>
      </c>
      <c r="K616" s="146" t="s">
        <v>4015</v>
      </c>
      <c r="L616" s="147">
        <v>4</v>
      </c>
      <c r="M616" s="147">
        <v>1</v>
      </c>
      <c r="N616" s="146" t="s">
        <v>1544</v>
      </c>
      <c r="O616" s="147">
        <v>85</v>
      </c>
      <c r="P616" s="147">
        <v>6</v>
      </c>
      <c r="Q616" s="147">
        <v>19</v>
      </c>
      <c r="R616" s="146" t="s">
        <v>654</v>
      </c>
      <c r="S616" s="146" t="s">
        <v>655</v>
      </c>
      <c r="T616" s="147">
        <v>244</v>
      </c>
      <c r="U616" s="146" t="s">
        <v>656</v>
      </c>
      <c r="V616" s="146" t="s">
        <v>657</v>
      </c>
      <c r="W616" s="147">
        <v>1</v>
      </c>
      <c r="X616" s="147">
        <v>2</v>
      </c>
      <c r="Y616" s="146" t="s">
        <v>194</v>
      </c>
      <c r="Z616" s="146" t="s">
        <v>195</v>
      </c>
      <c r="AA616" s="146" t="s">
        <v>196</v>
      </c>
      <c r="AB616" s="146" t="s">
        <v>187</v>
      </c>
      <c r="AC616" s="146" t="s">
        <v>187</v>
      </c>
      <c r="AD616" s="148"/>
      <c r="AE616" s="146" t="s">
        <v>209</v>
      </c>
      <c r="AF616" s="147">
        <v>-1.11433</v>
      </c>
      <c r="AG616" s="149">
        <v>133.55100999999999</v>
      </c>
      <c r="AM616" s="133" t="str" cm="1">
        <f t="array" ref="AM616">IF(ROWS($AN$2:$AN615)&lt;=$AN$2,INDEX($V$3:$V$3000,_xlfn.AGGREGATE(15,3,($B$3:$B$3000=$AM$2)/($B$3:$B$3000=$AM$2)*(ROW($B$3:$B$3000)-ROW($B$2)),ROWS($AN$2:$AN615))),"")</f>
        <v/>
      </c>
      <c r="AN616" s="134" t="str" cm="1">
        <f t="array" ref="AN616">IF(ROWS($AN$2:$AN615)&lt;=$AN$2,INDEX($F$3:$F$3000,_xlfn.AGGREGATE(15,3,($B$3:$B$3000=$AM$2)/($B$3:$B$3000=$AM$2)*(ROW($B$3:$B$3000)-ROW($B$2)),ROWS($AN$2:$AN615))),"")</f>
        <v/>
      </c>
      <c r="AO616" s="135" t="str" cm="1">
        <f t="array" ref="AO616">IF(ROWS($AN$2:$AN615)&lt;=$AN$2,INDEX($G$3:$G$3000,_xlfn.AGGREGATE(15,3,($B$3:$B$3000=$AM$2)/($B$3:$B$3000=$AM$2)*(ROW($B$3:$B$3000)-ROW($B$2)),ROWS($AN$2:$AN615))),"")</f>
        <v/>
      </c>
      <c r="AP616" s="121"/>
      <c r="AT616" s="111"/>
      <c r="AW616" s="134"/>
      <c r="AX616" s="136"/>
      <c r="AY616" s="134"/>
    </row>
    <row r="617" spans="1:51" s="110" customFormat="1" ht="20" customHeight="1">
      <c r="A617" s="125" t="s">
        <v>185</v>
      </c>
      <c r="B617" s="126" t="s">
        <v>59</v>
      </c>
      <c r="C617" s="127">
        <v>13294</v>
      </c>
      <c r="D617" s="145">
        <v>107174</v>
      </c>
      <c r="E617" s="146" t="s">
        <v>3949</v>
      </c>
      <c r="F617" s="146" t="s">
        <v>3950</v>
      </c>
      <c r="G617" s="147">
        <v>17000</v>
      </c>
      <c r="H617" s="147">
        <v>4</v>
      </c>
      <c r="I617" s="146" t="s">
        <v>209</v>
      </c>
      <c r="J617" s="146" t="s">
        <v>3951</v>
      </c>
      <c r="K617" s="146" t="s">
        <v>3949</v>
      </c>
      <c r="L617" s="147">
        <v>4</v>
      </c>
      <c r="M617" s="147">
        <v>1</v>
      </c>
      <c r="N617" s="146" t="s">
        <v>1544</v>
      </c>
      <c r="O617" s="147">
        <v>85</v>
      </c>
      <c r="P617" s="147">
        <v>5</v>
      </c>
      <c r="Q617" s="147">
        <v>19</v>
      </c>
      <c r="R617" s="146" t="s">
        <v>654</v>
      </c>
      <c r="S617" s="146" t="s">
        <v>655</v>
      </c>
      <c r="T617" s="147">
        <v>244</v>
      </c>
      <c r="U617" s="146" t="s">
        <v>656</v>
      </c>
      <c r="V617" s="146" t="s">
        <v>657</v>
      </c>
      <c r="W617" s="147">
        <v>1</v>
      </c>
      <c r="X617" s="147">
        <v>2</v>
      </c>
      <c r="Y617" s="146" t="s">
        <v>194</v>
      </c>
      <c r="Z617" s="146" t="s">
        <v>195</v>
      </c>
      <c r="AA617" s="146" t="s">
        <v>196</v>
      </c>
      <c r="AB617" s="146" t="s">
        <v>187</v>
      </c>
      <c r="AC617" s="146" t="s">
        <v>187</v>
      </c>
      <c r="AD617" s="148"/>
      <c r="AE617" s="146" t="s">
        <v>209</v>
      </c>
      <c r="AF617" s="147">
        <v>-4.2815099999999999</v>
      </c>
      <c r="AG617" s="149">
        <v>138.33192</v>
      </c>
      <c r="AM617" s="133" t="str" cm="1">
        <f t="array" ref="AM617">IF(ROWS($AN$2:$AN616)&lt;=$AN$2,INDEX($V$3:$V$3000,_xlfn.AGGREGATE(15,3,($B$3:$B$3000=$AM$2)/($B$3:$B$3000=$AM$2)*(ROW($B$3:$B$3000)-ROW($B$2)),ROWS($AN$2:$AN616))),"")</f>
        <v/>
      </c>
      <c r="AN617" s="134" t="str" cm="1">
        <f t="array" ref="AN617">IF(ROWS($AN$2:$AN616)&lt;=$AN$2,INDEX($F$3:$F$3000,_xlfn.AGGREGATE(15,3,($B$3:$B$3000=$AM$2)/($B$3:$B$3000=$AM$2)*(ROW($B$3:$B$3000)-ROW($B$2)),ROWS($AN$2:$AN616))),"")</f>
        <v/>
      </c>
      <c r="AO617" s="135" t="str" cm="1">
        <f t="array" ref="AO617">IF(ROWS($AN$2:$AN616)&lt;=$AN$2,INDEX($G$3:$G$3000,_xlfn.AGGREGATE(15,3,($B$3:$B$3000=$AM$2)/($B$3:$B$3000=$AM$2)*(ROW($B$3:$B$3000)-ROW($B$2)),ROWS($AN$2:$AN616))),"")</f>
        <v/>
      </c>
      <c r="AP617" s="121"/>
      <c r="AT617" s="111"/>
      <c r="AW617" s="134"/>
      <c r="AX617" s="136"/>
      <c r="AY617" s="134"/>
    </row>
    <row r="618" spans="1:51" s="110" customFormat="1" ht="20" customHeight="1">
      <c r="A618" s="125" t="s">
        <v>185</v>
      </c>
      <c r="B618" s="126" t="s">
        <v>59</v>
      </c>
      <c r="C618" s="127">
        <v>13334</v>
      </c>
      <c r="D618" s="145">
        <v>107235</v>
      </c>
      <c r="E618" s="146" t="s">
        <v>3918</v>
      </c>
      <c r="F618" s="146" t="s">
        <v>3919</v>
      </c>
      <c r="G618" s="147">
        <v>16000</v>
      </c>
      <c r="H618" s="147">
        <v>4</v>
      </c>
      <c r="I618" s="146" t="s">
        <v>209</v>
      </c>
      <c r="J618" s="146" t="s">
        <v>3920</v>
      </c>
      <c r="K618" s="146" t="s">
        <v>3918</v>
      </c>
      <c r="L618" s="147">
        <v>4</v>
      </c>
      <c r="M618" s="147">
        <v>1</v>
      </c>
      <c r="N618" s="146" t="s">
        <v>1544</v>
      </c>
      <c r="O618" s="147">
        <v>65</v>
      </c>
      <c r="P618" s="147">
        <v>7</v>
      </c>
      <c r="Q618" s="147">
        <v>19</v>
      </c>
      <c r="R618" s="146" t="s">
        <v>654</v>
      </c>
      <c r="S618" s="146" t="s">
        <v>655</v>
      </c>
      <c r="T618" s="147">
        <v>244</v>
      </c>
      <c r="U618" s="146" t="s">
        <v>656</v>
      </c>
      <c r="V618" s="146" t="s">
        <v>657</v>
      </c>
      <c r="W618" s="147">
        <v>2</v>
      </c>
      <c r="X618" s="147">
        <v>2</v>
      </c>
      <c r="Y618" s="146" t="s">
        <v>194</v>
      </c>
      <c r="Z618" s="146" t="s">
        <v>195</v>
      </c>
      <c r="AA618" s="146" t="s">
        <v>196</v>
      </c>
      <c r="AB618" s="146" t="s">
        <v>187</v>
      </c>
      <c r="AC618" s="146" t="s">
        <v>187</v>
      </c>
      <c r="AD618" s="148"/>
      <c r="AE618" s="146" t="s">
        <v>209</v>
      </c>
      <c r="AF618" s="147">
        <v>-4.86477</v>
      </c>
      <c r="AG618" s="149">
        <v>140.62929</v>
      </c>
      <c r="AM618" s="133" t="str" cm="1">
        <f t="array" ref="AM618">IF(ROWS($AN$2:$AN617)&lt;=$AN$2,INDEX($V$3:$V$3000,_xlfn.AGGREGATE(15,3,($B$3:$B$3000=$AM$2)/($B$3:$B$3000=$AM$2)*(ROW($B$3:$B$3000)-ROW($B$2)),ROWS($AN$2:$AN617))),"")</f>
        <v/>
      </c>
      <c r="AN618" s="134" t="str" cm="1">
        <f t="array" ref="AN618">IF(ROWS($AN$2:$AN617)&lt;=$AN$2,INDEX($F$3:$F$3000,_xlfn.AGGREGATE(15,3,($B$3:$B$3000=$AM$2)/($B$3:$B$3000=$AM$2)*(ROW($B$3:$B$3000)-ROW($B$2)),ROWS($AN$2:$AN617))),"")</f>
        <v/>
      </c>
      <c r="AO618" s="135" t="str" cm="1">
        <f t="array" ref="AO618">IF(ROWS($AN$2:$AN617)&lt;=$AN$2,INDEX($G$3:$G$3000,_xlfn.AGGREGATE(15,3,($B$3:$B$3000=$AM$2)/($B$3:$B$3000=$AM$2)*(ROW($B$3:$B$3000)-ROW($B$2)),ROWS($AN$2:$AN617))),"")</f>
        <v/>
      </c>
      <c r="AP618" s="121"/>
      <c r="AT618" s="111"/>
      <c r="AW618" s="134"/>
      <c r="AX618" s="136"/>
      <c r="AY618" s="134"/>
    </row>
    <row r="619" spans="1:51" s="110" customFormat="1" ht="20" customHeight="1">
      <c r="A619" s="125" t="s">
        <v>185</v>
      </c>
      <c r="B619" s="126" t="s">
        <v>59</v>
      </c>
      <c r="C619" s="127">
        <v>15991</v>
      </c>
      <c r="D619" s="145">
        <v>110983</v>
      </c>
      <c r="E619" s="146" t="s">
        <v>3923</v>
      </c>
      <c r="F619" s="146" t="s">
        <v>3924</v>
      </c>
      <c r="G619" s="147">
        <v>16000</v>
      </c>
      <c r="H619" s="147">
        <v>4</v>
      </c>
      <c r="I619" s="146" t="s">
        <v>209</v>
      </c>
      <c r="J619" s="146" t="s">
        <v>3925</v>
      </c>
      <c r="K619" s="146" t="s">
        <v>3923</v>
      </c>
      <c r="L619" s="147">
        <v>1</v>
      </c>
      <c r="M619" s="147">
        <v>1</v>
      </c>
      <c r="N619" s="146" t="s">
        <v>1544</v>
      </c>
      <c r="O619" s="147">
        <v>60</v>
      </c>
      <c r="P619" s="147">
        <v>5</v>
      </c>
      <c r="Q619" s="147">
        <v>19</v>
      </c>
      <c r="R619" s="146" t="s">
        <v>654</v>
      </c>
      <c r="S619" s="146" t="s">
        <v>655</v>
      </c>
      <c r="T619" s="147">
        <v>244</v>
      </c>
      <c r="U619" s="146" t="s">
        <v>656</v>
      </c>
      <c r="V619" s="146" t="s">
        <v>657</v>
      </c>
      <c r="W619" s="147">
        <v>1</v>
      </c>
      <c r="X619" s="147">
        <v>2</v>
      </c>
      <c r="Y619" s="146" t="s">
        <v>194</v>
      </c>
      <c r="Z619" s="146" t="s">
        <v>195</v>
      </c>
      <c r="AA619" s="146" t="s">
        <v>196</v>
      </c>
      <c r="AB619" s="146" t="s">
        <v>187</v>
      </c>
      <c r="AC619" s="146" t="s">
        <v>187</v>
      </c>
      <c r="AD619" s="148"/>
      <c r="AE619" s="146" t="s">
        <v>209</v>
      </c>
      <c r="AF619" s="147">
        <v>-6.6464100000000004</v>
      </c>
      <c r="AG619" s="149">
        <v>139.29810000000001</v>
      </c>
      <c r="AM619" s="133" t="str" cm="1">
        <f t="array" ref="AM619">IF(ROWS($AN$2:$AN618)&lt;=$AN$2,INDEX($V$3:$V$3000,_xlfn.AGGREGATE(15,3,($B$3:$B$3000=$AM$2)/($B$3:$B$3000=$AM$2)*(ROW($B$3:$B$3000)-ROW($B$2)),ROWS($AN$2:$AN618))),"")</f>
        <v/>
      </c>
      <c r="AN619" s="134" t="str" cm="1">
        <f t="array" ref="AN619">IF(ROWS($AN$2:$AN618)&lt;=$AN$2,INDEX($F$3:$F$3000,_xlfn.AGGREGATE(15,3,($B$3:$B$3000=$AM$2)/($B$3:$B$3000=$AM$2)*(ROW($B$3:$B$3000)-ROW($B$2)),ROWS($AN$2:$AN618))),"")</f>
        <v/>
      </c>
      <c r="AO619" s="135" t="str" cm="1">
        <f t="array" ref="AO619">IF(ROWS($AN$2:$AN618)&lt;=$AN$2,INDEX($G$3:$G$3000,_xlfn.AGGREGATE(15,3,($B$3:$B$3000=$AM$2)/($B$3:$B$3000=$AM$2)*(ROW($B$3:$B$3000)-ROW($B$2)),ROWS($AN$2:$AN618))),"")</f>
        <v/>
      </c>
      <c r="AP619" s="121"/>
      <c r="AT619" s="111"/>
      <c r="AW619" s="134"/>
      <c r="AX619" s="136"/>
      <c r="AY619" s="134"/>
    </row>
    <row r="620" spans="1:51" s="110" customFormat="1" ht="20" customHeight="1">
      <c r="A620" s="125" t="s">
        <v>185</v>
      </c>
      <c r="B620" s="126" t="s">
        <v>59</v>
      </c>
      <c r="C620" s="127">
        <v>10458</v>
      </c>
      <c r="D620" s="145">
        <v>100563</v>
      </c>
      <c r="E620" s="146" t="s">
        <v>3878</v>
      </c>
      <c r="F620" s="146" t="s">
        <v>3878</v>
      </c>
      <c r="G620" s="147">
        <v>15000</v>
      </c>
      <c r="H620" s="147">
        <v>4</v>
      </c>
      <c r="I620" s="146" t="s">
        <v>209</v>
      </c>
      <c r="J620" s="146" t="s">
        <v>3879</v>
      </c>
      <c r="K620" s="146" t="s">
        <v>3878</v>
      </c>
      <c r="L620" s="147">
        <v>4</v>
      </c>
      <c r="M620" s="147">
        <v>1</v>
      </c>
      <c r="N620" s="146" t="s">
        <v>1544</v>
      </c>
      <c r="O620" s="147">
        <v>80</v>
      </c>
      <c r="P620" s="147">
        <v>8</v>
      </c>
      <c r="Q620" s="147">
        <v>19</v>
      </c>
      <c r="R620" s="146" t="s">
        <v>654</v>
      </c>
      <c r="S620" s="146" t="s">
        <v>655</v>
      </c>
      <c r="T620" s="147">
        <v>244</v>
      </c>
      <c r="U620" s="146" t="s">
        <v>656</v>
      </c>
      <c r="V620" s="146" t="s">
        <v>657</v>
      </c>
      <c r="W620" s="147">
        <v>1</v>
      </c>
      <c r="X620" s="147">
        <v>2</v>
      </c>
      <c r="Y620" s="146" t="s">
        <v>194</v>
      </c>
      <c r="Z620" s="146" t="s">
        <v>195</v>
      </c>
      <c r="AA620" s="146" t="s">
        <v>196</v>
      </c>
      <c r="AB620" s="146" t="s">
        <v>187</v>
      </c>
      <c r="AC620" s="146" t="s">
        <v>187</v>
      </c>
      <c r="AD620" s="148"/>
      <c r="AE620" s="146" t="s">
        <v>209</v>
      </c>
      <c r="AF620" s="147">
        <v>-5.3674900000000001</v>
      </c>
      <c r="AG620" s="149">
        <v>138.56800000000001</v>
      </c>
      <c r="AM620" s="133" t="str" cm="1">
        <f t="array" ref="AM620">IF(ROWS($AN$2:$AN619)&lt;=$AN$2,INDEX($V$3:$V$3000,_xlfn.AGGREGATE(15,3,($B$3:$B$3000=$AM$2)/($B$3:$B$3000=$AM$2)*(ROW($B$3:$B$3000)-ROW($B$2)),ROWS($AN$2:$AN619))),"")</f>
        <v/>
      </c>
      <c r="AN620" s="134" t="str" cm="1">
        <f t="array" ref="AN620">IF(ROWS($AN$2:$AN619)&lt;=$AN$2,INDEX($F$3:$F$3000,_xlfn.AGGREGATE(15,3,($B$3:$B$3000=$AM$2)/($B$3:$B$3000=$AM$2)*(ROW($B$3:$B$3000)-ROW($B$2)),ROWS($AN$2:$AN619))),"")</f>
        <v/>
      </c>
      <c r="AO620" s="135" t="str" cm="1">
        <f t="array" ref="AO620">IF(ROWS($AN$2:$AN619)&lt;=$AN$2,INDEX($G$3:$G$3000,_xlfn.AGGREGATE(15,3,($B$3:$B$3000=$AM$2)/($B$3:$B$3000=$AM$2)*(ROW($B$3:$B$3000)-ROW($B$2)),ROWS($AN$2:$AN619))),"")</f>
        <v/>
      </c>
      <c r="AP620" s="121"/>
      <c r="AT620" s="111"/>
      <c r="AW620" s="134"/>
      <c r="AX620" s="136"/>
      <c r="AY620" s="134"/>
    </row>
    <row r="621" spans="1:51" s="110" customFormat="1" ht="20" customHeight="1">
      <c r="A621" s="125" t="s">
        <v>185</v>
      </c>
      <c r="B621" s="126" t="s">
        <v>59</v>
      </c>
      <c r="C621" s="127">
        <v>10274</v>
      </c>
      <c r="D621" s="145">
        <v>100262</v>
      </c>
      <c r="E621" s="146" t="s">
        <v>3785</v>
      </c>
      <c r="F621" s="146" t="s">
        <v>3785</v>
      </c>
      <c r="G621" s="147">
        <v>13000</v>
      </c>
      <c r="H621" s="147">
        <v>4</v>
      </c>
      <c r="I621" s="146" t="s">
        <v>209</v>
      </c>
      <c r="J621" s="146" t="s">
        <v>3786</v>
      </c>
      <c r="K621" s="146" t="s">
        <v>3785</v>
      </c>
      <c r="L621" s="147">
        <v>4</v>
      </c>
      <c r="M621" s="147">
        <v>1</v>
      </c>
      <c r="N621" s="146" t="s">
        <v>1544</v>
      </c>
      <c r="O621" s="147">
        <v>70</v>
      </c>
      <c r="P621" s="147">
        <v>4</v>
      </c>
      <c r="Q621" s="147">
        <v>19</v>
      </c>
      <c r="R621" s="146" t="s">
        <v>654</v>
      </c>
      <c r="S621" s="146" t="s">
        <v>655</v>
      </c>
      <c r="T621" s="147">
        <v>244</v>
      </c>
      <c r="U621" s="146" t="s">
        <v>656</v>
      </c>
      <c r="V621" s="146" t="s">
        <v>657</v>
      </c>
      <c r="W621" s="147">
        <v>1</v>
      </c>
      <c r="X621" s="147">
        <v>2</v>
      </c>
      <c r="Y621" s="146" t="s">
        <v>194</v>
      </c>
      <c r="Z621" s="146" t="s">
        <v>195</v>
      </c>
      <c r="AA621" s="146" t="s">
        <v>196</v>
      </c>
      <c r="AB621" s="146" t="s">
        <v>187</v>
      </c>
      <c r="AC621" s="146" t="s">
        <v>187</v>
      </c>
      <c r="AD621" s="148"/>
      <c r="AE621" s="146" t="s">
        <v>209</v>
      </c>
      <c r="AF621" s="147">
        <v>-1.8395600000000001</v>
      </c>
      <c r="AG621" s="149">
        <v>136.51213999999999</v>
      </c>
      <c r="AM621" s="133" t="str" cm="1">
        <f t="array" ref="AM621">IF(ROWS($AN$2:$AN620)&lt;=$AN$2,INDEX($V$3:$V$3000,_xlfn.AGGREGATE(15,3,($B$3:$B$3000=$AM$2)/($B$3:$B$3000=$AM$2)*(ROW($B$3:$B$3000)-ROW($B$2)),ROWS($AN$2:$AN620))),"")</f>
        <v/>
      </c>
      <c r="AN621" s="134" t="str" cm="1">
        <f t="array" ref="AN621">IF(ROWS($AN$2:$AN620)&lt;=$AN$2,INDEX($F$3:$F$3000,_xlfn.AGGREGATE(15,3,($B$3:$B$3000=$AM$2)/($B$3:$B$3000=$AM$2)*(ROW($B$3:$B$3000)-ROW($B$2)),ROWS($AN$2:$AN620))),"")</f>
        <v/>
      </c>
      <c r="AO621" s="135" t="str" cm="1">
        <f t="array" ref="AO621">IF(ROWS($AN$2:$AN620)&lt;=$AN$2,INDEX($G$3:$G$3000,_xlfn.AGGREGATE(15,3,($B$3:$B$3000=$AM$2)/($B$3:$B$3000=$AM$2)*(ROW($B$3:$B$3000)-ROW($B$2)),ROWS($AN$2:$AN620))),"")</f>
        <v/>
      </c>
      <c r="AP621" s="121"/>
      <c r="AT621" s="111"/>
      <c r="AW621" s="134"/>
      <c r="AX621" s="136"/>
      <c r="AY621" s="134"/>
    </row>
    <row r="622" spans="1:51" s="110" customFormat="1" ht="20" customHeight="1">
      <c r="A622" s="125" t="s">
        <v>185</v>
      </c>
      <c r="B622" s="126" t="s">
        <v>59</v>
      </c>
      <c r="C622" s="127">
        <v>10457</v>
      </c>
      <c r="D622" s="145">
        <v>100562</v>
      </c>
      <c r="E622" s="146" t="s">
        <v>3787</v>
      </c>
      <c r="F622" s="146" t="s">
        <v>3787</v>
      </c>
      <c r="G622" s="147">
        <v>13000</v>
      </c>
      <c r="H622" s="147">
        <v>4</v>
      </c>
      <c r="I622" s="146" t="s">
        <v>209</v>
      </c>
      <c r="J622" s="146" t="s">
        <v>3788</v>
      </c>
      <c r="K622" s="146" t="s">
        <v>3787</v>
      </c>
      <c r="L622" s="147">
        <v>1</v>
      </c>
      <c r="M622" s="147">
        <v>1</v>
      </c>
      <c r="N622" s="146" t="s">
        <v>1544</v>
      </c>
      <c r="O622" s="147">
        <v>60</v>
      </c>
      <c r="P622" s="147">
        <v>4</v>
      </c>
      <c r="Q622" s="147">
        <v>19</v>
      </c>
      <c r="R622" s="146" t="s">
        <v>654</v>
      </c>
      <c r="S622" s="146" t="s">
        <v>655</v>
      </c>
      <c r="T622" s="147">
        <v>244</v>
      </c>
      <c r="U622" s="146" t="s">
        <v>656</v>
      </c>
      <c r="V622" s="146" t="s">
        <v>657</v>
      </c>
      <c r="W622" s="147">
        <v>1</v>
      </c>
      <c r="X622" s="147">
        <v>2</v>
      </c>
      <c r="Y622" s="146" t="s">
        <v>194</v>
      </c>
      <c r="Z622" s="146" t="s">
        <v>195</v>
      </c>
      <c r="AA622" s="146" t="s">
        <v>196</v>
      </c>
      <c r="AB622" s="146" t="s">
        <v>187</v>
      </c>
      <c r="AC622" s="146" t="s">
        <v>187</v>
      </c>
      <c r="AD622" s="148"/>
      <c r="AE622" s="146" t="s">
        <v>209</v>
      </c>
      <c r="AF622" s="147">
        <v>-6.2858999999999998</v>
      </c>
      <c r="AG622" s="149">
        <v>138.50703999999999</v>
      </c>
      <c r="AM622" s="133" t="str" cm="1">
        <f t="array" ref="AM622">IF(ROWS($AN$2:$AN621)&lt;=$AN$2,INDEX($V$3:$V$3000,_xlfn.AGGREGATE(15,3,($B$3:$B$3000=$AM$2)/($B$3:$B$3000=$AM$2)*(ROW($B$3:$B$3000)-ROW($B$2)),ROWS($AN$2:$AN621))),"")</f>
        <v/>
      </c>
      <c r="AN622" s="134" t="str" cm="1">
        <f t="array" ref="AN622">IF(ROWS($AN$2:$AN621)&lt;=$AN$2,INDEX($F$3:$F$3000,_xlfn.AGGREGATE(15,3,($B$3:$B$3000=$AM$2)/($B$3:$B$3000=$AM$2)*(ROW($B$3:$B$3000)-ROW($B$2)),ROWS($AN$2:$AN621))),"")</f>
        <v/>
      </c>
      <c r="AO622" s="135" t="str" cm="1">
        <f t="array" ref="AO622">IF(ROWS($AN$2:$AN621)&lt;=$AN$2,INDEX($G$3:$G$3000,_xlfn.AGGREGATE(15,3,($B$3:$B$3000=$AM$2)/($B$3:$B$3000=$AM$2)*(ROW($B$3:$B$3000)-ROW($B$2)),ROWS($AN$2:$AN621))),"")</f>
        <v/>
      </c>
      <c r="AP622" s="121"/>
      <c r="AT622" s="111"/>
      <c r="AW622" s="134"/>
      <c r="AX622" s="136"/>
      <c r="AY622" s="134"/>
    </row>
    <row r="623" spans="1:51" s="110" customFormat="1" ht="20" customHeight="1">
      <c r="A623" s="125" t="s">
        <v>185</v>
      </c>
      <c r="B623" s="126" t="s">
        <v>59</v>
      </c>
      <c r="C623" s="127">
        <v>11390</v>
      </c>
      <c r="D623" s="145">
        <v>102236</v>
      </c>
      <c r="E623" s="146" t="s">
        <v>3789</v>
      </c>
      <c r="F623" s="146" t="s">
        <v>3789</v>
      </c>
      <c r="G623" s="147">
        <v>13000</v>
      </c>
      <c r="H623" s="147">
        <v>4</v>
      </c>
      <c r="I623" s="146" t="s">
        <v>209</v>
      </c>
      <c r="J623" s="146" t="s">
        <v>3790</v>
      </c>
      <c r="K623" s="146" t="s">
        <v>3791</v>
      </c>
      <c r="L623" s="147">
        <v>4</v>
      </c>
      <c r="M623" s="147">
        <v>1</v>
      </c>
      <c r="N623" s="146" t="s">
        <v>1544</v>
      </c>
      <c r="O623" s="147">
        <v>60</v>
      </c>
      <c r="P623" s="147">
        <v>4</v>
      </c>
      <c r="Q623" s="147">
        <v>19</v>
      </c>
      <c r="R623" s="146" t="s">
        <v>654</v>
      </c>
      <c r="S623" s="146" t="s">
        <v>655</v>
      </c>
      <c r="T623" s="147">
        <v>244</v>
      </c>
      <c r="U623" s="146" t="s">
        <v>656</v>
      </c>
      <c r="V623" s="146" t="s">
        <v>657</v>
      </c>
      <c r="W623" s="147">
        <v>1</v>
      </c>
      <c r="X623" s="147">
        <v>2</v>
      </c>
      <c r="Y623" s="146" t="s">
        <v>194</v>
      </c>
      <c r="Z623" s="146" t="s">
        <v>195</v>
      </c>
      <c r="AA623" s="146" t="s">
        <v>196</v>
      </c>
      <c r="AB623" s="146" t="s">
        <v>187</v>
      </c>
      <c r="AC623" s="146" t="s">
        <v>187</v>
      </c>
      <c r="AD623" s="148"/>
      <c r="AE623" s="146" t="s">
        <v>209</v>
      </c>
      <c r="AF623" s="147">
        <v>-5.5746000000000002</v>
      </c>
      <c r="AG623" s="149">
        <v>139.47612000000001</v>
      </c>
      <c r="AM623" s="133" t="str" cm="1">
        <f t="array" ref="AM623">IF(ROWS($AN$2:$AN622)&lt;=$AN$2,INDEX($V$3:$V$3000,_xlfn.AGGREGATE(15,3,($B$3:$B$3000=$AM$2)/($B$3:$B$3000=$AM$2)*(ROW($B$3:$B$3000)-ROW($B$2)),ROWS($AN$2:$AN622))),"")</f>
        <v/>
      </c>
      <c r="AN623" s="134" t="str" cm="1">
        <f t="array" ref="AN623">IF(ROWS($AN$2:$AN622)&lt;=$AN$2,INDEX($F$3:$F$3000,_xlfn.AGGREGATE(15,3,($B$3:$B$3000=$AM$2)/($B$3:$B$3000=$AM$2)*(ROW($B$3:$B$3000)-ROW($B$2)),ROWS($AN$2:$AN622))),"")</f>
        <v/>
      </c>
      <c r="AO623" s="135" t="str" cm="1">
        <f t="array" ref="AO623">IF(ROWS($AN$2:$AN622)&lt;=$AN$2,INDEX($G$3:$G$3000,_xlfn.AGGREGATE(15,3,($B$3:$B$3000=$AM$2)/($B$3:$B$3000=$AM$2)*(ROW($B$3:$B$3000)-ROW($B$2)),ROWS($AN$2:$AN622))),"")</f>
        <v/>
      </c>
      <c r="AP623" s="121"/>
      <c r="AT623" s="111"/>
      <c r="AW623" s="134"/>
      <c r="AX623" s="136"/>
      <c r="AY623" s="134"/>
    </row>
    <row r="624" spans="1:51" s="110" customFormat="1" ht="20" customHeight="1">
      <c r="A624" s="125" t="s">
        <v>185</v>
      </c>
      <c r="B624" s="126" t="s">
        <v>59</v>
      </c>
      <c r="C624" s="127">
        <v>12477</v>
      </c>
      <c r="D624" s="145">
        <v>104536</v>
      </c>
      <c r="E624" s="146" t="s">
        <v>3792</v>
      </c>
      <c r="F624" s="146" t="s">
        <v>3792</v>
      </c>
      <c r="G624" s="147">
        <v>13000</v>
      </c>
      <c r="H624" s="147">
        <v>4</v>
      </c>
      <c r="I624" s="146" t="s">
        <v>209</v>
      </c>
      <c r="J624" s="146" t="s">
        <v>3793</v>
      </c>
      <c r="K624" s="146" t="s">
        <v>3792</v>
      </c>
      <c r="L624" s="147">
        <v>1</v>
      </c>
      <c r="M624" s="147">
        <v>1</v>
      </c>
      <c r="N624" s="146" t="s">
        <v>1544</v>
      </c>
      <c r="O624" s="147">
        <v>65</v>
      </c>
      <c r="P624" s="147">
        <v>4</v>
      </c>
      <c r="Q624" s="147">
        <v>19</v>
      </c>
      <c r="R624" s="146" t="s">
        <v>654</v>
      </c>
      <c r="S624" s="146" t="s">
        <v>655</v>
      </c>
      <c r="T624" s="147">
        <v>244</v>
      </c>
      <c r="U624" s="146" t="s">
        <v>656</v>
      </c>
      <c r="V624" s="146" t="s">
        <v>657</v>
      </c>
      <c r="W624" s="147">
        <v>1</v>
      </c>
      <c r="X624" s="147">
        <v>2</v>
      </c>
      <c r="Y624" s="146" t="s">
        <v>194</v>
      </c>
      <c r="Z624" s="146" t="s">
        <v>195</v>
      </c>
      <c r="AA624" s="146" t="s">
        <v>196</v>
      </c>
      <c r="AB624" s="146" t="s">
        <v>187</v>
      </c>
      <c r="AC624" s="146" t="s">
        <v>187</v>
      </c>
      <c r="AD624" s="148"/>
      <c r="AE624" s="146" t="s">
        <v>209</v>
      </c>
      <c r="AF624" s="147">
        <v>-4.3712499999999999</v>
      </c>
      <c r="AG624" s="149">
        <v>135.9067</v>
      </c>
      <c r="AM624" s="133" t="str" cm="1">
        <f t="array" ref="AM624">IF(ROWS($AN$2:$AN623)&lt;=$AN$2,INDEX($V$3:$V$3000,_xlfn.AGGREGATE(15,3,($B$3:$B$3000=$AM$2)/($B$3:$B$3000=$AM$2)*(ROW($B$3:$B$3000)-ROW($B$2)),ROWS($AN$2:$AN623))),"")</f>
        <v/>
      </c>
      <c r="AN624" s="134" t="str" cm="1">
        <f t="array" ref="AN624">IF(ROWS($AN$2:$AN623)&lt;=$AN$2,INDEX($F$3:$F$3000,_xlfn.AGGREGATE(15,3,($B$3:$B$3000=$AM$2)/($B$3:$B$3000=$AM$2)*(ROW($B$3:$B$3000)-ROW($B$2)),ROWS($AN$2:$AN623))),"")</f>
        <v/>
      </c>
      <c r="AO624" s="135" t="str" cm="1">
        <f t="array" ref="AO624">IF(ROWS($AN$2:$AN623)&lt;=$AN$2,INDEX($G$3:$G$3000,_xlfn.AGGREGATE(15,3,($B$3:$B$3000=$AM$2)/($B$3:$B$3000=$AM$2)*(ROW($B$3:$B$3000)-ROW($B$2)),ROWS($AN$2:$AN623))),"")</f>
        <v/>
      </c>
      <c r="AP624" s="121"/>
      <c r="AT624" s="111"/>
      <c r="AW624" s="134"/>
      <c r="AX624" s="136"/>
      <c r="AY624" s="134"/>
    </row>
    <row r="625" spans="1:51" s="110" customFormat="1" ht="20" customHeight="1">
      <c r="A625" s="125" t="s">
        <v>185</v>
      </c>
      <c r="B625" s="126" t="s">
        <v>59</v>
      </c>
      <c r="C625" s="127">
        <v>12866</v>
      </c>
      <c r="D625" s="145">
        <v>105436</v>
      </c>
      <c r="E625" s="146" t="s">
        <v>3795</v>
      </c>
      <c r="F625" s="146" t="s">
        <v>3796</v>
      </c>
      <c r="G625" s="147">
        <v>13000</v>
      </c>
      <c r="H625" s="147">
        <v>4</v>
      </c>
      <c r="I625" s="146" t="s">
        <v>209</v>
      </c>
      <c r="J625" s="146" t="s">
        <v>3797</v>
      </c>
      <c r="K625" s="146" t="s">
        <v>3798</v>
      </c>
      <c r="L625" s="147">
        <v>4</v>
      </c>
      <c r="M625" s="147">
        <v>1</v>
      </c>
      <c r="N625" s="146" t="s">
        <v>1544</v>
      </c>
      <c r="O625" s="147">
        <v>65</v>
      </c>
      <c r="P625" s="147">
        <v>3</v>
      </c>
      <c r="Q625" s="147">
        <v>19</v>
      </c>
      <c r="R625" s="146" t="s">
        <v>654</v>
      </c>
      <c r="S625" s="146" t="s">
        <v>655</v>
      </c>
      <c r="T625" s="147">
        <v>244</v>
      </c>
      <c r="U625" s="146" t="s">
        <v>656</v>
      </c>
      <c r="V625" s="146" t="s">
        <v>657</v>
      </c>
      <c r="W625" s="147">
        <v>1</v>
      </c>
      <c r="X625" s="147">
        <v>2</v>
      </c>
      <c r="Y625" s="146" t="s">
        <v>194</v>
      </c>
      <c r="Z625" s="146" t="s">
        <v>195</v>
      </c>
      <c r="AA625" s="146" t="s">
        <v>196</v>
      </c>
      <c r="AB625" s="146" t="s">
        <v>187</v>
      </c>
      <c r="AC625" s="146" t="s">
        <v>187</v>
      </c>
      <c r="AD625" s="148"/>
      <c r="AE625" s="146" t="s">
        <v>209</v>
      </c>
      <c r="AF625" s="147">
        <v>-4.4166100000000004</v>
      </c>
      <c r="AG625" s="149">
        <v>140.40559999999999</v>
      </c>
      <c r="AM625" s="133" t="str" cm="1">
        <f t="array" ref="AM625">IF(ROWS($AN$2:$AN624)&lt;=$AN$2,INDEX($V$3:$V$3000,_xlfn.AGGREGATE(15,3,($B$3:$B$3000=$AM$2)/($B$3:$B$3000=$AM$2)*(ROW($B$3:$B$3000)-ROW($B$2)),ROWS($AN$2:$AN624))),"")</f>
        <v/>
      </c>
      <c r="AN625" s="134" t="str" cm="1">
        <f t="array" ref="AN625">IF(ROWS($AN$2:$AN624)&lt;=$AN$2,INDEX($F$3:$F$3000,_xlfn.AGGREGATE(15,3,($B$3:$B$3000=$AM$2)/($B$3:$B$3000=$AM$2)*(ROW($B$3:$B$3000)-ROW($B$2)),ROWS($AN$2:$AN624))),"")</f>
        <v/>
      </c>
      <c r="AO625" s="135" t="str" cm="1">
        <f t="array" ref="AO625">IF(ROWS($AN$2:$AN624)&lt;=$AN$2,INDEX($G$3:$G$3000,_xlfn.AGGREGATE(15,3,($B$3:$B$3000=$AM$2)/($B$3:$B$3000=$AM$2)*(ROW($B$3:$B$3000)-ROW($B$2)),ROWS($AN$2:$AN624))),"")</f>
        <v/>
      </c>
      <c r="AP625" s="121"/>
      <c r="AT625" s="111"/>
      <c r="AW625" s="134"/>
      <c r="AX625" s="136"/>
      <c r="AY625" s="134"/>
    </row>
    <row r="626" spans="1:51" s="110" customFormat="1" ht="20" customHeight="1">
      <c r="A626" s="125" t="s">
        <v>185</v>
      </c>
      <c r="B626" s="126" t="s">
        <v>59</v>
      </c>
      <c r="C626" s="127">
        <v>15318</v>
      </c>
      <c r="D626" s="145">
        <v>109919</v>
      </c>
      <c r="E626" s="146" t="s">
        <v>3808</v>
      </c>
      <c r="F626" s="146" t="s">
        <v>3808</v>
      </c>
      <c r="G626" s="147">
        <v>13000</v>
      </c>
      <c r="H626" s="147">
        <v>4</v>
      </c>
      <c r="I626" s="146" t="s">
        <v>209</v>
      </c>
      <c r="J626" s="146" t="s">
        <v>3809</v>
      </c>
      <c r="K626" s="146" t="s">
        <v>3808</v>
      </c>
      <c r="L626" s="147">
        <v>3</v>
      </c>
      <c r="M626" s="147">
        <v>1</v>
      </c>
      <c r="N626" s="146" t="s">
        <v>1544</v>
      </c>
      <c r="O626" s="147">
        <v>70</v>
      </c>
      <c r="P626" s="147">
        <v>4</v>
      </c>
      <c r="Q626" s="147">
        <v>19</v>
      </c>
      <c r="R626" s="146" t="s">
        <v>654</v>
      </c>
      <c r="S626" s="146" t="s">
        <v>655</v>
      </c>
      <c r="T626" s="147">
        <v>244</v>
      </c>
      <c r="U626" s="146" t="s">
        <v>656</v>
      </c>
      <c r="V626" s="146" t="s">
        <v>657</v>
      </c>
      <c r="W626" s="147">
        <v>1</v>
      </c>
      <c r="X626" s="147">
        <v>2</v>
      </c>
      <c r="Y626" s="146" t="s">
        <v>194</v>
      </c>
      <c r="Z626" s="146" t="s">
        <v>195</v>
      </c>
      <c r="AA626" s="146" t="s">
        <v>196</v>
      </c>
      <c r="AB626" s="146" t="s">
        <v>187</v>
      </c>
      <c r="AC626" s="146" t="s">
        <v>187</v>
      </c>
      <c r="AD626" s="148"/>
      <c r="AE626" s="146" t="s">
        <v>209</v>
      </c>
      <c r="AF626" s="147">
        <v>-1.3481300000000001</v>
      </c>
      <c r="AG626" s="149">
        <v>131.97475</v>
      </c>
      <c r="AM626" s="133" t="str" cm="1">
        <f t="array" ref="AM626">IF(ROWS($AN$2:$AN625)&lt;=$AN$2,INDEX($V$3:$V$3000,_xlfn.AGGREGATE(15,3,($B$3:$B$3000=$AM$2)/($B$3:$B$3000=$AM$2)*(ROW($B$3:$B$3000)-ROW($B$2)),ROWS($AN$2:$AN625))),"")</f>
        <v/>
      </c>
      <c r="AN626" s="134" t="str" cm="1">
        <f t="array" ref="AN626">IF(ROWS($AN$2:$AN625)&lt;=$AN$2,INDEX($F$3:$F$3000,_xlfn.AGGREGATE(15,3,($B$3:$B$3000=$AM$2)/($B$3:$B$3000=$AM$2)*(ROW($B$3:$B$3000)-ROW($B$2)),ROWS($AN$2:$AN625))),"")</f>
        <v/>
      </c>
      <c r="AO626" s="135" t="str" cm="1">
        <f t="array" ref="AO626">IF(ROWS($AN$2:$AN625)&lt;=$AN$2,INDEX($G$3:$G$3000,_xlfn.AGGREGATE(15,3,($B$3:$B$3000=$AM$2)/($B$3:$B$3000=$AM$2)*(ROW($B$3:$B$3000)-ROW($B$2)),ROWS($AN$2:$AN625))),"")</f>
        <v/>
      </c>
      <c r="AP626" s="121"/>
      <c r="AT626" s="111"/>
      <c r="AW626" s="134"/>
      <c r="AX626" s="136"/>
      <c r="AY626" s="134"/>
    </row>
    <row r="627" spans="1:51" s="110" customFormat="1" ht="20" customHeight="1">
      <c r="A627" s="125" t="s">
        <v>185</v>
      </c>
      <c r="B627" s="126" t="s">
        <v>59</v>
      </c>
      <c r="C627" s="127">
        <v>19492</v>
      </c>
      <c r="D627" s="145">
        <v>115245</v>
      </c>
      <c r="E627" s="146" t="s">
        <v>3739</v>
      </c>
      <c r="F627" s="146" t="s">
        <v>3739</v>
      </c>
      <c r="G627" s="147">
        <v>12000</v>
      </c>
      <c r="H627" s="147">
        <v>4</v>
      </c>
      <c r="I627" s="146" t="s">
        <v>209</v>
      </c>
      <c r="J627" s="146" t="s">
        <v>3740</v>
      </c>
      <c r="K627" s="146" t="s">
        <v>3739</v>
      </c>
      <c r="L627" s="147">
        <v>1</v>
      </c>
      <c r="M627" s="147">
        <v>1</v>
      </c>
      <c r="N627" s="146" t="s">
        <v>1544</v>
      </c>
      <c r="O627" s="147">
        <v>70</v>
      </c>
      <c r="P627" s="147">
        <v>4</v>
      </c>
      <c r="Q627" s="147">
        <v>19</v>
      </c>
      <c r="R627" s="146" t="s">
        <v>654</v>
      </c>
      <c r="S627" s="146" t="s">
        <v>655</v>
      </c>
      <c r="T627" s="147">
        <v>244</v>
      </c>
      <c r="U627" s="146" t="s">
        <v>656</v>
      </c>
      <c r="V627" s="146" t="s">
        <v>657</v>
      </c>
      <c r="W627" s="147">
        <v>1</v>
      </c>
      <c r="X627" s="147">
        <v>2</v>
      </c>
      <c r="Y627" s="146" t="s">
        <v>194</v>
      </c>
      <c r="Z627" s="146" t="s">
        <v>195</v>
      </c>
      <c r="AA627" s="146" t="s">
        <v>196</v>
      </c>
      <c r="AB627" s="146" t="s">
        <v>187</v>
      </c>
      <c r="AC627" s="146" t="s">
        <v>187</v>
      </c>
      <c r="AD627" s="148"/>
      <c r="AE627" s="146" t="s">
        <v>209</v>
      </c>
      <c r="AF627" s="147">
        <v>-7.1115599999999999</v>
      </c>
      <c r="AG627" s="149">
        <v>139.56904</v>
      </c>
      <c r="AM627" s="133" t="str" cm="1">
        <f t="array" ref="AM627">IF(ROWS($AN$2:$AN626)&lt;=$AN$2,INDEX($V$3:$V$3000,_xlfn.AGGREGATE(15,3,($B$3:$B$3000=$AM$2)/($B$3:$B$3000=$AM$2)*(ROW($B$3:$B$3000)-ROW($B$2)),ROWS($AN$2:$AN626))),"")</f>
        <v/>
      </c>
      <c r="AN627" s="134" t="str" cm="1">
        <f t="array" ref="AN627">IF(ROWS($AN$2:$AN626)&lt;=$AN$2,INDEX($F$3:$F$3000,_xlfn.AGGREGATE(15,3,($B$3:$B$3000=$AM$2)/($B$3:$B$3000=$AM$2)*(ROW($B$3:$B$3000)-ROW($B$2)),ROWS($AN$2:$AN626))),"")</f>
        <v/>
      </c>
      <c r="AO627" s="135" t="str" cm="1">
        <f t="array" ref="AO627">IF(ROWS($AN$2:$AN626)&lt;=$AN$2,INDEX($G$3:$G$3000,_xlfn.AGGREGATE(15,3,($B$3:$B$3000=$AM$2)/($B$3:$B$3000=$AM$2)*(ROW($B$3:$B$3000)-ROW($B$2)),ROWS($AN$2:$AN626))),"")</f>
        <v/>
      </c>
      <c r="AP627" s="121"/>
      <c r="AT627" s="111"/>
      <c r="AW627" s="134"/>
      <c r="AX627" s="136"/>
      <c r="AY627" s="134"/>
    </row>
    <row r="628" spans="1:51" s="110" customFormat="1" ht="20" customHeight="1">
      <c r="A628" s="125" t="s">
        <v>185</v>
      </c>
      <c r="B628" s="126" t="s">
        <v>59</v>
      </c>
      <c r="C628" s="127">
        <v>13544</v>
      </c>
      <c r="D628" s="145">
        <v>106337</v>
      </c>
      <c r="E628" s="146" t="s">
        <v>3670</v>
      </c>
      <c r="F628" s="146" t="s">
        <v>3670</v>
      </c>
      <c r="G628" s="147">
        <v>11000</v>
      </c>
      <c r="H628" s="147">
        <v>4</v>
      </c>
      <c r="I628" s="146" t="s">
        <v>209</v>
      </c>
      <c r="J628" s="146" t="s">
        <v>3671</v>
      </c>
      <c r="K628" s="146" t="s">
        <v>3672</v>
      </c>
      <c r="L628" s="147">
        <v>3</v>
      </c>
      <c r="M628" s="147">
        <v>1</v>
      </c>
      <c r="N628" s="146" t="s">
        <v>1544</v>
      </c>
      <c r="O628" s="147">
        <v>65</v>
      </c>
      <c r="P628" s="147">
        <v>4</v>
      </c>
      <c r="Q628" s="147">
        <v>19</v>
      </c>
      <c r="R628" s="146" t="s">
        <v>654</v>
      </c>
      <c r="S628" s="146" t="s">
        <v>655</v>
      </c>
      <c r="T628" s="147">
        <v>244</v>
      </c>
      <c r="U628" s="146" t="s">
        <v>656</v>
      </c>
      <c r="V628" s="146" t="s">
        <v>657</v>
      </c>
      <c r="W628" s="147">
        <v>1</v>
      </c>
      <c r="X628" s="147">
        <v>2</v>
      </c>
      <c r="Y628" s="146" t="s">
        <v>194</v>
      </c>
      <c r="Z628" s="146" t="s">
        <v>195</v>
      </c>
      <c r="AA628" s="146" t="s">
        <v>196</v>
      </c>
      <c r="AB628" s="146" t="s">
        <v>187</v>
      </c>
      <c r="AC628" s="146" t="s">
        <v>187</v>
      </c>
      <c r="AD628" s="148"/>
      <c r="AE628" s="146" t="s">
        <v>209</v>
      </c>
      <c r="AF628" s="147">
        <v>-7.9465500000000002</v>
      </c>
      <c r="AG628" s="149">
        <v>140.38300000000001</v>
      </c>
      <c r="AM628" s="133" t="str" cm="1">
        <f t="array" ref="AM628">IF(ROWS($AN$2:$AN627)&lt;=$AN$2,INDEX($V$3:$V$3000,_xlfn.AGGREGATE(15,3,($B$3:$B$3000=$AM$2)/($B$3:$B$3000=$AM$2)*(ROW($B$3:$B$3000)-ROW($B$2)),ROWS($AN$2:$AN627))),"")</f>
        <v/>
      </c>
      <c r="AN628" s="134" t="str" cm="1">
        <f t="array" ref="AN628">IF(ROWS($AN$2:$AN627)&lt;=$AN$2,INDEX($F$3:$F$3000,_xlfn.AGGREGATE(15,3,($B$3:$B$3000=$AM$2)/($B$3:$B$3000=$AM$2)*(ROW($B$3:$B$3000)-ROW($B$2)),ROWS($AN$2:$AN627))),"")</f>
        <v/>
      </c>
      <c r="AO628" s="135" t="str" cm="1">
        <f t="array" ref="AO628">IF(ROWS($AN$2:$AN627)&lt;=$AN$2,INDEX($G$3:$G$3000,_xlfn.AGGREGATE(15,3,($B$3:$B$3000=$AM$2)/($B$3:$B$3000=$AM$2)*(ROW($B$3:$B$3000)-ROW($B$2)),ROWS($AN$2:$AN627))),"")</f>
        <v/>
      </c>
      <c r="AP628" s="121"/>
      <c r="AT628" s="111"/>
      <c r="AW628" s="134"/>
      <c r="AX628" s="136"/>
      <c r="AY628" s="134"/>
    </row>
    <row r="629" spans="1:51" s="110" customFormat="1" ht="20" customHeight="1">
      <c r="A629" s="125" t="s">
        <v>185</v>
      </c>
      <c r="B629" s="126" t="s">
        <v>59</v>
      </c>
      <c r="C629" s="127">
        <v>13675</v>
      </c>
      <c r="D629" s="145">
        <v>106546</v>
      </c>
      <c r="E629" s="146" t="s">
        <v>3673</v>
      </c>
      <c r="F629" s="146" t="s">
        <v>3673</v>
      </c>
      <c r="G629" s="147">
        <v>11000</v>
      </c>
      <c r="H629" s="147">
        <v>4</v>
      </c>
      <c r="I629" s="146" t="s">
        <v>209</v>
      </c>
      <c r="J629" s="146" t="s">
        <v>3674</v>
      </c>
      <c r="K629" s="146" t="s">
        <v>3675</v>
      </c>
      <c r="L629" s="147">
        <v>4</v>
      </c>
      <c r="M629" s="147">
        <v>1</v>
      </c>
      <c r="N629" s="146" t="s">
        <v>1544</v>
      </c>
      <c r="O629" s="147">
        <v>75</v>
      </c>
      <c r="P629" s="147">
        <v>4</v>
      </c>
      <c r="Q629" s="147">
        <v>19</v>
      </c>
      <c r="R629" s="146" t="s">
        <v>654</v>
      </c>
      <c r="S629" s="146" t="s">
        <v>655</v>
      </c>
      <c r="T629" s="147">
        <v>244</v>
      </c>
      <c r="U629" s="146" t="s">
        <v>656</v>
      </c>
      <c r="V629" s="146" t="s">
        <v>657</v>
      </c>
      <c r="W629" s="147">
        <v>1</v>
      </c>
      <c r="X629" s="147">
        <v>2</v>
      </c>
      <c r="Y629" s="146" t="s">
        <v>194</v>
      </c>
      <c r="Z629" s="146" t="s">
        <v>195</v>
      </c>
      <c r="AA629" s="146" t="s">
        <v>196</v>
      </c>
      <c r="AB629" s="146" t="s">
        <v>187</v>
      </c>
      <c r="AC629" s="146" t="s">
        <v>187</v>
      </c>
      <c r="AD629" s="148"/>
      <c r="AE629" s="146" t="s">
        <v>209</v>
      </c>
      <c r="AF629" s="147">
        <v>-1.6580900000000001</v>
      </c>
      <c r="AG629" s="149">
        <v>133.10643999999999</v>
      </c>
      <c r="AM629" s="133" t="str" cm="1">
        <f t="array" ref="AM629">IF(ROWS($AN$2:$AN628)&lt;=$AN$2,INDEX($V$3:$V$3000,_xlfn.AGGREGATE(15,3,($B$3:$B$3000=$AM$2)/($B$3:$B$3000=$AM$2)*(ROW($B$3:$B$3000)-ROW($B$2)),ROWS($AN$2:$AN628))),"")</f>
        <v/>
      </c>
      <c r="AN629" s="134" t="str" cm="1">
        <f t="array" ref="AN629">IF(ROWS($AN$2:$AN628)&lt;=$AN$2,INDEX($F$3:$F$3000,_xlfn.AGGREGATE(15,3,($B$3:$B$3000=$AM$2)/($B$3:$B$3000=$AM$2)*(ROW($B$3:$B$3000)-ROW($B$2)),ROWS($AN$2:$AN628))),"")</f>
        <v/>
      </c>
      <c r="AO629" s="135" t="str" cm="1">
        <f t="array" ref="AO629">IF(ROWS($AN$2:$AN628)&lt;=$AN$2,INDEX($G$3:$G$3000,_xlfn.AGGREGATE(15,3,($B$3:$B$3000=$AM$2)/($B$3:$B$3000=$AM$2)*(ROW($B$3:$B$3000)-ROW($B$2)),ROWS($AN$2:$AN628))),"")</f>
        <v/>
      </c>
      <c r="AP629" s="121"/>
      <c r="AT629" s="111"/>
      <c r="AW629" s="134"/>
      <c r="AX629" s="136"/>
      <c r="AY629" s="134"/>
    </row>
    <row r="630" spans="1:51" s="110" customFormat="1" ht="20" customHeight="1">
      <c r="A630" s="125" t="s">
        <v>185</v>
      </c>
      <c r="B630" s="126" t="s">
        <v>59</v>
      </c>
      <c r="C630" s="127">
        <v>16009</v>
      </c>
      <c r="D630" s="145">
        <v>111008</v>
      </c>
      <c r="E630" s="146" t="s">
        <v>3680</v>
      </c>
      <c r="F630" s="146" t="s">
        <v>3681</v>
      </c>
      <c r="G630" s="147">
        <v>11000</v>
      </c>
      <c r="H630" s="147">
        <v>4</v>
      </c>
      <c r="I630" s="146" t="s">
        <v>209</v>
      </c>
      <c r="J630" s="146" t="s">
        <v>3682</v>
      </c>
      <c r="K630" s="146" t="s">
        <v>3683</v>
      </c>
      <c r="L630" s="147">
        <v>4</v>
      </c>
      <c r="M630" s="147">
        <v>1</v>
      </c>
      <c r="N630" s="146" t="s">
        <v>1544</v>
      </c>
      <c r="O630" s="147">
        <v>65</v>
      </c>
      <c r="P630" s="147">
        <v>4</v>
      </c>
      <c r="Q630" s="147">
        <v>19</v>
      </c>
      <c r="R630" s="146" t="s">
        <v>654</v>
      </c>
      <c r="S630" s="146" t="s">
        <v>655</v>
      </c>
      <c r="T630" s="147">
        <v>244</v>
      </c>
      <c r="U630" s="146" t="s">
        <v>656</v>
      </c>
      <c r="V630" s="146" t="s">
        <v>657</v>
      </c>
      <c r="W630" s="147">
        <v>1</v>
      </c>
      <c r="X630" s="147">
        <v>2</v>
      </c>
      <c r="Y630" s="146" t="s">
        <v>194</v>
      </c>
      <c r="Z630" s="146" t="s">
        <v>195</v>
      </c>
      <c r="AA630" s="146" t="s">
        <v>196</v>
      </c>
      <c r="AB630" s="146" t="s">
        <v>187</v>
      </c>
      <c r="AC630" s="146" t="s">
        <v>187</v>
      </c>
      <c r="AD630" s="148"/>
      <c r="AE630" s="146" t="s">
        <v>209</v>
      </c>
      <c r="AF630" s="147">
        <v>-1.7685500000000001</v>
      </c>
      <c r="AG630" s="149">
        <v>136.26463000000001</v>
      </c>
      <c r="AM630" s="133" t="str" cm="1">
        <f t="array" ref="AM630">IF(ROWS($AN$2:$AN629)&lt;=$AN$2,INDEX($V$3:$V$3000,_xlfn.AGGREGATE(15,3,($B$3:$B$3000=$AM$2)/($B$3:$B$3000=$AM$2)*(ROW($B$3:$B$3000)-ROW($B$2)),ROWS($AN$2:$AN629))),"")</f>
        <v/>
      </c>
      <c r="AN630" s="134" t="str" cm="1">
        <f t="array" ref="AN630">IF(ROWS($AN$2:$AN629)&lt;=$AN$2,INDEX($F$3:$F$3000,_xlfn.AGGREGATE(15,3,($B$3:$B$3000=$AM$2)/($B$3:$B$3000=$AM$2)*(ROW($B$3:$B$3000)-ROW($B$2)),ROWS($AN$2:$AN629))),"")</f>
        <v/>
      </c>
      <c r="AO630" s="135" t="str" cm="1">
        <f t="array" ref="AO630">IF(ROWS($AN$2:$AN629)&lt;=$AN$2,INDEX($G$3:$G$3000,_xlfn.AGGREGATE(15,3,($B$3:$B$3000=$AM$2)/($B$3:$B$3000=$AM$2)*(ROW($B$3:$B$3000)-ROW($B$2)),ROWS($AN$2:$AN629))),"")</f>
        <v/>
      </c>
      <c r="AP630" s="121"/>
      <c r="AT630" s="111"/>
      <c r="AW630" s="134"/>
      <c r="AX630" s="136"/>
      <c r="AY630" s="134"/>
    </row>
    <row r="631" spans="1:51" s="110" customFormat="1" ht="20" customHeight="1">
      <c r="A631" s="125" t="s">
        <v>185</v>
      </c>
      <c r="B631" s="126" t="s">
        <v>59</v>
      </c>
      <c r="C631" s="127">
        <v>10281</v>
      </c>
      <c r="D631" s="145">
        <v>100271</v>
      </c>
      <c r="E631" s="146" t="s">
        <v>3613</v>
      </c>
      <c r="F631" s="146" t="s">
        <v>3614</v>
      </c>
      <c r="G631" s="147">
        <v>10000</v>
      </c>
      <c r="H631" s="147">
        <v>4</v>
      </c>
      <c r="I631" s="146" t="s">
        <v>209</v>
      </c>
      <c r="J631" s="146" t="s">
        <v>3615</v>
      </c>
      <c r="K631" s="146" t="s">
        <v>3616</v>
      </c>
      <c r="L631" s="147">
        <v>3</v>
      </c>
      <c r="M631" s="147">
        <v>1</v>
      </c>
      <c r="N631" s="146" t="s">
        <v>1544</v>
      </c>
      <c r="O631" s="147">
        <v>70</v>
      </c>
      <c r="P631" s="147">
        <v>5</v>
      </c>
      <c r="Q631" s="147">
        <v>19</v>
      </c>
      <c r="R631" s="146" t="s">
        <v>654</v>
      </c>
      <c r="S631" s="146" t="s">
        <v>655</v>
      </c>
      <c r="T631" s="147">
        <v>244</v>
      </c>
      <c r="U631" s="146" t="s">
        <v>656</v>
      </c>
      <c r="V631" s="146" t="s">
        <v>657</v>
      </c>
      <c r="W631" s="147">
        <v>1</v>
      </c>
      <c r="X631" s="147">
        <v>2</v>
      </c>
      <c r="Y631" s="146" t="s">
        <v>194</v>
      </c>
      <c r="Z631" s="146" t="s">
        <v>195</v>
      </c>
      <c r="AA631" s="146" t="s">
        <v>196</v>
      </c>
      <c r="AB631" s="146" t="s">
        <v>187</v>
      </c>
      <c r="AC631" s="146" t="s">
        <v>187</v>
      </c>
      <c r="AD631" s="148"/>
      <c r="AE631" s="146" t="s">
        <v>209</v>
      </c>
      <c r="AF631" s="147">
        <v>-0.76649</v>
      </c>
      <c r="AG631" s="149">
        <v>133.12903</v>
      </c>
      <c r="AM631" s="133" t="str" cm="1">
        <f t="array" ref="AM631">IF(ROWS($AN$2:$AN630)&lt;=$AN$2,INDEX($V$3:$V$3000,_xlfn.AGGREGATE(15,3,($B$3:$B$3000=$AM$2)/($B$3:$B$3000=$AM$2)*(ROW($B$3:$B$3000)-ROW($B$2)),ROWS($AN$2:$AN630))),"")</f>
        <v/>
      </c>
      <c r="AN631" s="134" t="str" cm="1">
        <f t="array" ref="AN631">IF(ROWS($AN$2:$AN630)&lt;=$AN$2,INDEX($F$3:$F$3000,_xlfn.AGGREGATE(15,3,($B$3:$B$3000=$AM$2)/($B$3:$B$3000=$AM$2)*(ROW($B$3:$B$3000)-ROW($B$2)),ROWS($AN$2:$AN630))),"")</f>
        <v/>
      </c>
      <c r="AO631" s="135" t="str" cm="1">
        <f t="array" ref="AO631">IF(ROWS($AN$2:$AN630)&lt;=$AN$2,INDEX($G$3:$G$3000,_xlfn.AGGREGATE(15,3,($B$3:$B$3000=$AM$2)/($B$3:$B$3000=$AM$2)*(ROW($B$3:$B$3000)-ROW($B$2)),ROWS($AN$2:$AN630))),"")</f>
        <v/>
      </c>
      <c r="AP631" s="121"/>
      <c r="AT631" s="111"/>
      <c r="AW631" s="134"/>
      <c r="AX631" s="136"/>
      <c r="AY631" s="134"/>
    </row>
    <row r="632" spans="1:51" s="110" customFormat="1" ht="20" customHeight="1">
      <c r="A632" s="125" t="s">
        <v>185</v>
      </c>
      <c r="B632" s="126" t="s">
        <v>59</v>
      </c>
      <c r="C632" s="127">
        <v>19540</v>
      </c>
      <c r="D632" s="145">
        <v>115201</v>
      </c>
      <c r="E632" s="146" t="s">
        <v>3623</v>
      </c>
      <c r="F632" s="146" t="s">
        <v>3623</v>
      </c>
      <c r="G632" s="147">
        <v>10000</v>
      </c>
      <c r="H632" s="147">
        <v>4</v>
      </c>
      <c r="I632" s="146" t="s">
        <v>209</v>
      </c>
      <c r="J632" s="146" t="s">
        <v>3624</v>
      </c>
      <c r="K632" s="146" t="s">
        <v>3623</v>
      </c>
      <c r="L632" s="147">
        <v>4</v>
      </c>
      <c r="M632" s="147">
        <v>1</v>
      </c>
      <c r="N632" s="146" t="s">
        <v>1544</v>
      </c>
      <c r="O632" s="147">
        <v>65</v>
      </c>
      <c r="P632" s="147">
        <v>6</v>
      </c>
      <c r="Q632" s="147">
        <v>19</v>
      </c>
      <c r="R632" s="146" t="s">
        <v>654</v>
      </c>
      <c r="S632" s="146" t="s">
        <v>655</v>
      </c>
      <c r="T632" s="147">
        <v>244</v>
      </c>
      <c r="U632" s="146" t="s">
        <v>656</v>
      </c>
      <c r="V632" s="146" t="s">
        <v>657</v>
      </c>
      <c r="W632" s="147">
        <v>1</v>
      </c>
      <c r="X632" s="147">
        <v>2</v>
      </c>
      <c r="Y632" s="146" t="s">
        <v>194</v>
      </c>
      <c r="Z632" s="146" t="s">
        <v>195</v>
      </c>
      <c r="AA632" s="146" t="s">
        <v>196</v>
      </c>
      <c r="AB632" s="146" t="s">
        <v>187</v>
      </c>
      <c r="AC632" s="146" t="s">
        <v>187</v>
      </c>
      <c r="AD632" s="148"/>
      <c r="AE632" s="146" t="s">
        <v>209</v>
      </c>
      <c r="AF632" s="147">
        <v>-5.4566600000000003</v>
      </c>
      <c r="AG632" s="149">
        <v>140.83903000000001</v>
      </c>
      <c r="AM632" s="133" t="str" cm="1">
        <f t="array" ref="AM632">IF(ROWS($AN$2:$AN631)&lt;=$AN$2,INDEX($V$3:$V$3000,_xlfn.AGGREGATE(15,3,($B$3:$B$3000=$AM$2)/($B$3:$B$3000=$AM$2)*(ROW($B$3:$B$3000)-ROW($B$2)),ROWS($AN$2:$AN631))),"")</f>
        <v/>
      </c>
      <c r="AN632" s="134" t="str" cm="1">
        <f t="array" ref="AN632">IF(ROWS($AN$2:$AN631)&lt;=$AN$2,INDEX($F$3:$F$3000,_xlfn.AGGREGATE(15,3,($B$3:$B$3000=$AM$2)/($B$3:$B$3000=$AM$2)*(ROW($B$3:$B$3000)-ROW($B$2)),ROWS($AN$2:$AN631))),"")</f>
        <v/>
      </c>
      <c r="AO632" s="135" t="str" cm="1">
        <f t="array" ref="AO632">IF(ROWS($AN$2:$AN631)&lt;=$AN$2,INDEX($G$3:$G$3000,_xlfn.AGGREGATE(15,3,($B$3:$B$3000=$AM$2)/($B$3:$B$3000=$AM$2)*(ROW($B$3:$B$3000)-ROW($B$2)),ROWS($AN$2:$AN631))),"")</f>
        <v/>
      </c>
      <c r="AP632" s="121"/>
      <c r="AT632" s="111"/>
      <c r="AW632" s="134"/>
      <c r="AX632" s="136"/>
      <c r="AY632" s="134"/>
    </row>
    <row r="633" spans="1:51" s="110" customFormat="1" ht="20" customHeight="1">
      <c r="A633" s="125" t="s">
        <v>185</v>
      </c>
      <c r="B633" s="126" t="s">
        <v>59</v>
      </c>
      <c r="C633" s="127">
        <v>15874</v>
      </c>
      <c r="D633" s="145">
        <v>110700</v>
      </c>
      <c r="E633" s="146" t="s">
        <v>3600</v>
      </c>
      <c r="F633" s="146" t="s">
        <v>3601</v>
      </c>
      <c r="G633" s="147">
        <v>9700</v>
      </c>
      <c r="H633" s="147">
        <v>4</v>
      </c>
      <c r="I633" s="146" t="s">
        <v>209</v>
      </c>
      <c r="J633" s="146" t="s">
        <v>3602</v>
      </c>
      <c r="K633" s="146" t="s">
        <v>3600</v>
      </c>
      <c r="L633" s="147">
        <v>3</v>
      </c>
      <c r="M633" s="147">
        <v>1</v>
      </c>
      <c r="N633" s="146" t="s">
        <v>1544</v>
      </c>
      <c r="O633" s="147">
        <v>90</v>
      </c>
      <c r="P633" s="147">
        <v>5</v>
      </c>
      <c r="Q633" s="147">
        <v>19</v>
      </c>
      <c r="R633" s="146" t="s">
        <v>654</v>
      </c>
      <c r="S633" s="146" t="s">
        <v>655</v>
      </c>
      <c r="T633" s="147">
        <v>244</v>
      </c>
      <c r="U633" s="146" t="s">
        <v>656</v>
      </c>
      <c r="V633" s="146" t="s">
        <v>657</v>
      </c>
      <c r="W633" s="147">
        <v>1</v>
      </c>
      <c r="X633" s="147">
        <v>2</v>
      </c>
      <c r="Y633" s="146" t="s">
        <v>194</v>
      </c>
      <c r="Z633" s="146" t="s">
        <v>195</v>
      </c>
      <c r="AA633" s="146" t="s">
        <v>196</v>
      </c>
      <c r="AB633" s="146" t="s">
        <v>187</v>
      </c>
      <c r="AC633" s="146" t="s">
        <v>187</v>
      </c>
      <c r="AD633" s="148"/>
      <c r="AE633" s="146" t="s">
        <v>209</v>
      </c>
      <c r="AF633" s="147">
        <v>-2.14195</v>
      </c>
      <c r="AG633" s="149">
        <v>137.23278999999999</v>
      </c>
      <c r="AM633" s="133" t="str" cm="1">
        <f t="array" ref="AM633">IF(ROWS($AN$2:$AN632)&lt;=$AN$2,INDEX($V$3:$V$3000,_xlfn.AGGREGATE(15,3,($B$3:$B$3000=$AM$2)/($B$3:$B$3000=$AM$2)*(ROW($B$3:$B$3000)-ROW($B$2)),ROWS($AN$2:$AN632))),"")</f>
        <v/>
      </c>
      <c r="AN633" s="134" t="str" cm="1">
        <f t="array" ref="AN633">IF(ROWS($AN$2:$AN632)&lt;=$AN$2,INDEX($F$3:$F$3000,_xlfn.AGGREGATE(15,3,($B$3:$B$3000=$AM$2)/($B$3:$B$3000=$AM$2)*(ROW($B$3:$B$3000)-ROW($B$2)),ROWS($AN$2:$AN632))),"")</f>
        <v/>
      </c>
      <c r="AO633" s="135" t="str" cm="1">
        <f t="array" ref="AO633">IF(ROWS($AN$2:$AN632)&lt;=$AN$2,INDEX($G$3:$G$3000,_xlfn.AGGREGATE(15,3,($B$3:$B$3000=$AM$2)/($B$3:$B$3000=$AM$2)*(ROW($B$3:$B$3000)-ROW($B$2)),ROWS($AN$2:$AN632))),"")</f>
        <v/>
      </c>
      <c r="AP633" s="121"/>
      <c r="AT633" s="111"/>
      <c r="AW633" s="134"/>
      <c r="AX633" s="136"/>
      <c r="AY633" s="134"/>
    </row>
    <row r="634" spans="1:51" s="110" customFormat="1" ht="20" customHeight="1">
      <c r="A634" s="125" t="s">
        <v>185</v>
      </c>
      <c r="B634" s="126" t="s">
        <v>59</v>
      </c>
      <c r="C634" s="127">
        <v>10514</v>
      </c>
      <c r="D634" s="145">
        <v>100656</v>
      </c>
      <c r="E634" s="146" t="s">
        <v>3595</v>
      </c>
      <c r="F634" s="146" t="s">
        <v>3595</v>
      </c>
      <c r="G634" s="147">
        <v>9600</v>
      </c>
      <c r="H634" s="147">
        <v>4</v>
      </c>
      <c r="I634" s="146" t="s">
        <v>209</v>
      </c>
      <c r="J634" s="146" t="s">
        <v>3596</v>
      </c>
      <c r="K634" s="146" t="s">
        <v>3597</v>
      </c>
      <c r="L634" s="147">
        <v>3</v>
      </c>
      <c r="M634" s="147">
        <v>1</v>
      </c>
      <c r="N634" s="146" t="s">
        <v>1544</v>
      </c>
      <c r="O634" s="147">
        <v>65</v>
      </c>
      <c r="P634" s="147">
        <v>9</v>
      </c>
      <c r="Q634" s="147">
        <v>19</v>
      </c>
      <c r="R634" s="146" t="s">
        <v>654</v>
      </c>
      <c r="S634" s="146" t="s">
        <v>655</v>
      </c>
      <c r="T634" s="147">
        <v>244</v>
      </c>
      <c r="U634" s="146" t="s">
        <v>656</v>
      </c>
      <c r="V634" s="146" t="s">
        <v>657</v>
      </c>
      <c r="W634" s="147">
        <v>1</v>
      </c>
      <c r="X634" s="147">
        <v>2</v>
      </c>
      <c r="Y634" s="146" t="s">
        <v>194</v>
      </c>
      <c r="Z634" s="146" t="s">
        <v>195</v>
      </c>
      <c r="AA634" s="146" t="s">
        <v>196</v>
      </c>
      <c r="AB634" s="146" t="s">
        <v>187</v>
      </c>
      <c r="AC634" s="146" t="s">
        <v>187</v>
      </c>
      <c r="AD634" s="148"/>
      <c r="AE634" s="146" t="s">
        <v>209</v>
      </c>
      <c r="AF634" s="147">
        <v>-6.2589100000000002</v>
      </c>
      <c r="AG634" s="149">
        <v>139.70576</v>
      </c>
      <c r="AM634" s="133" t="str" cm="1">
        <f t="array" ref="AM634">IF(ROWS($AN$2:$AN633)&lt;=$AN$2,INDEX($V$3:$V$3000,_xlfn.AGGREGATE(15,3,($B$3:$B$3000=$AM$2)/($B$3:$B$3000=$AM$2)*(ROW($B$3:$B$3000)-ROW($B$2)),ROWS($AN$2:$AN633))),"")</f>
        <v/>
      </c>
      <c r="AN634" s="134" t="str" cm="1">
        <f t="array" ref="AN634">IF(ROWS($AN$2:$AN633)&lt;=$AN$2,INDEX($F$3:$F$3000,_xlfn.AGGREGATE(15,3,($B$3:$B$3000=$AM$2)/($B$3:$B$3000=$AM$2)*(ROW($B$3:$B$3000)-ROW($B$2)),ROWS($AN$2:$AN633))),"")</f>
        <v/>
      </c>
      <c r="AO634" s="135" t="str" cm="1">
        <f t="array" ref="AO634">IF(ROWS($AN$2:$AN633)&lt;=$AN$2,INDEX($G$3:$G$3000,_xlfn.AGGREGATE(15,3,($B$3:$B$3000=$AM$2)/($B$3:$B$3000=$AM$2)*(ROW($B$3:$B$3000)-ROW($B$2)),ROWS($AN$2:$AN633))),"")</f>
        <v/>
      </c>
      <c r="AP634" s="121"/>
      <c r="AT634" s="111"/>
      <c r="AW634" s="134"/>
      <c r="AX634" s="136"/>
      <c r="AY634" s="134"/>
    </row>
    <row r="635" spans="1:51" s="110" customFormat="1" ht="20" customHeight="1">
      <c r="A635" s="125" t="s">
        <v>185</v>
      </c>
      <c r="B635" s="126" t="s">
        <v>59</v>
      </c>
      <c r="C635" s="127">
        <v>12195</v>
      </c>
      <c r="D635" s="145">
        <v>103970</v>
      </c>
      <c r="E635" s="146" t="s">
        <v>3527</v>
      </c>
      <c r="F635" s="146" t="s">
        <v>3528</v>
      </c>
      <c r="G635" s="147">
        <v>8800</v>
      </c>
      <c r="H635" s="147">
        <v>4</v>
      </c>
      <c r="I635" s="146" t="s">
        <v>209</v>
      </c>
      <c r="J635" s="146" t="s">
        <v>3529</v>
      </c>
      <c r="K635" s="146" t="s">
        <v>3527</v>
      </c>
      <c r="L635" s="147">
        <v>1</v>
      </c>
      <c r="M635" s="147">
        <v>1</v>
      </c>
      <c r="N635" s="146" t="s">
        <v>1544</v>
      </c>
      <c r="O635" s="147">
        <v>70</v>
      </c>
      <c r="P635" s="147">
        <v>3</v>
      </c>
      <c r="Q635" s="147">
        <v>19</v>
      </c>
      <c r="R635" s="146" t="s">
        <v>654</v>
      </c>
      <c r="S635" s="146" t="s">
        <v>655</v>
      </c>
      <c r="T635" s="147">
        <v>244</v>
      </c>
      <c r="U635" s="146" t="s">
        <v>656</v>
      </c>
      <c r="V635" s="146" t="s">
        <v>657</v>
      </c>
      <c r="W635" s="147">
        <v>1</v>
      </c>
      <c r="X635" s="147">
        <v>2</v>
      </c>
      <c r="Y635" s="146" t="s">
        <v>194</v>
      </c>
      <c r="Z635" s="146" t="s">
        <v>195</v>
      </c>
      <c r="AA635" s="146" t="s">
        <v>196</v>
      </c>
      <c r="AB635" s="146" t="s">
        <v>187</v>
      </c>
      <c r="AC635" s="146" t="s">
        <v>187</v>
      </c>
      <c r="AD635" s="148"/>
      <c r="AE635" s="146" t="s">
        <v>209</v>
      </c>
      <c r="AF635" s="147">
        <v>-2.8352400000000002</v>
      </c>
      <c r="AG635" s="149">
        <v>132.29336000000001</v>
      </c>
      <c r="AM635" s="133" t="str" cm="1">
        <f t="array" ref="AM635">IF(ROWS($AN$2:$AN634)&lt;=$AN$2,INDEX($V$3:$V$3000,_xlfn.AGGREGATE(15,3,($B$3:$B$3000=$AM$2)/($B$3:$B$3000=$AM$2)*(ROW($B$3:$B$3000)-ROW($B$2)),ROWS($AN$2:$AN634))),"")</f>
        <v/>
      </c>
      <c r="AN635" s="134" t="str" cm="1">
        <f t="array" ref="AN635">IF(ROWS($AN$2:$AN634)&lt;=$AN$2,INDEX($F$3:$F$3000,_xlfn.AGGREGATE(15,3,($B$3:$B$3000=$AM$2)/($B$3:$B$3000=$AM$2)*(ROW($B$3:$B$3000)-ROW($B$2)),ROWS($AN$2:$AN634))),"")</f>
        <v/>
      </c>
      <c r="AO635" s="135" t="str" cm="1">
        <f t="array" ref="AO635">IF(ROWS($AN$2:$AN634)&lt;=$AN$2,INDEX($G$3:$G$3000,_xlfn.AGGREGATE(15,3,($B$3:$B$3000=$AM$2)/($B$3:$B$3000=$AM$2)*(ROW($B$3:$B$3000)-ROW($B$2)),ROWS($AN$2:$AN634))),"")</f>
        <v/>
      </c>
      <c r="AP635" s="121"/>
      <c r="AT635" s="111"/>
      <c r="AW635" s="134"/>
      <c r="AX635" s="136"/>
      <c r="AY635" s="134"/>
    </row>
    <row r="636" spans="1:51" s="110" customFormat="1" ht="20" customHeight="1">
      <c r="A636" s="125" t="s">
        <v>185</v>
      </c>
      <c r="B636" s="126" t="s">
        <v>59</v>
      </c>
      <c r="C636" s="127">
        <v>14406</v>
      </c>
      <c r="D636" s="145">
        <v>108055</v>
      </c>
      <c r="E636" s="146" t="s">
        <v>3490</v>
      </c>
      <c r="F636" s="146" t="s">
        <v>3491</v>
      </c>
      <c r="G636" s="147">
        <v>8200</v>
      </c>
      <c r="H636" s="147">
        <v>4</v>
      </c>
      <c r="I636" s="146" t="s">
        <v>209</v>
      </c>
      <c r="J636" s="146" t="s">
        <v>3492</v>
      </c>
      <c r="K636" s="146" t="s">
        <v>3493</v>
      </c>
      <c r="L636" s="147">
        <v>3</v>
      </c>
      <c r="M636" s="147">
        <v>1</v>
      </c>
      <c r="N636" s="146" t="s">
        <v>1544</v>
      </c>
      <c r="O636" s="147">
        <v>65</v>
      </c>
      <c r="P636" s="147">
        <v>4</v>
      </c>
      <c r="Q636" s="147">
        <v>19</v>
      </c>
      <c r="R636" s="146" t="s">
        <v>654</v>
      </c>
      <c r="S636" s="146" t="s">
        <v>655</v>
      </c>
      <c r="T636" s="147">
        <v>244</v>
      </c>
      <c r="U636" s="146" t="s">
        <v>656</v>
      </c>
      <c r="V636" s="146" t="s">
        <v>657</v>
      </c>
      <c r="W636" s="147">
        <v>1</v>
      </c>
      <c r="X636" s="147">
        <v>2</v>
      </c>
      <c r="Y636" s="146" t="s">
        <v>194</v>
      </c>
      <c r="Z636" s="146" t="s">
        <v>195</v>
      </c>
      <c r="AA636" s="146" t="s">
        <v>196</v>
      </c>
      <c r="AB636" s="146" t="s">
        <v>187</v>
      </c>
      <c r="AC636" s="146" t="s">
        <v>187</v>
      </c>
      <c r="AD636" s="148"/>
      <c r="AE636" s="146" t="s">
        <v>209</v>
      </c>
      <c r="AF636" s="147">
        <v>-6.0018900000000004</v>
      </c>
      <c r="AG636" s="149">
        <v>139.14304999999999</v>
      </c>
      <c r="AM636" s="133" t="str" cm="1">
        <f t="array" ref="AM636">IF(ROWS($AN$2:$AN635)&lt;=$AN$2,INDEX($V$3:$V$3000,_xlfn.AGGREGATE(15,3,($B$3:$B$3000=$AM$2)/($B$3:$B$3000=$AM$2)*(ROW($B$3:$B$3000)-ROW($B$2)),ROWS($AN$2:$AN635))),"")</f>
        <v/>
      </c>
      <c r="AN636" s="134" t="str" cm="1">
        <f t="array" ref="AN636">IF(ROWS($AN$2:$AN635)&lt;=$AN$2,INDEX($F$3:$F$3000,_xlfn.AGGREGATE(15,3,($B$3:$B$3000=$AM$2)/($B$3:$B$3000=$AM$2)*(ROW($B$3:$B$3000)-ROW($B$2)),ROWS($AN$2:$AN635))),"")</f>
        <v/>
      </c>
      <c r="AO636" s="135" t="str" cm="1">
        <f t="array" ref="AO636">IF(ROWS($AN$2:$AN635)&lt;=$AN$2,INDEX($G$3:$G$3000,_xlfn.AGGREGATE(15,3,($B$3:$B$3000=$AM$2)/($B$3:$B$3000=$AM$2)*(ROW($B$3:$B$3000)-ROW($B$2)),ROWS($AN$2:$AN635))),"")</f>
        <v/>
      </c>
      <c r="AP636" s="121"/>
      <c r="AT636" s="111"/>
      <c r="AW636" s="134"/>
      <c r="AX636" s="136"/>
      <c r="AY636" s="134"/>
    </row>
    <row r="637" spans="1:51" s="110" customFormat="1" ht="20" customHeight="1">
      <c r="A637" s="125" t="s">
        <v>185</v>
      </c>
      <c r="B637" s="126" t="s">
        <v>59</v>
      </c>
      <c r="C637" s="127">
        <v>12550</v>
      </c>
      <c r="D637" s="145">
        <v>104691</v>
      </c>
      <c r="E637" s="146" t="s">
        <v>3460</v>
      </c>
      <c r="F637" s="146" t="s">
        <v>3461</v>
      </c>
      <c r="G637" s="147">
        <v>8000</v>
      </c>
      <c r="H637" s="147">
        <v>4</v>
      </c>
      <c r="I637" s="146" t="s">
        <v>209</v>
      </c>
      <c r="J637" s="146" t="s">
        <v>3462</v>
      </c>
      <c r="K637" s="146" t="s">
        <v>3460</v>
      </c>
      <c r="L637" s="147">
        <v>1</v>
      </c>
      <c r="M637" s="147">
        <v>1</v>
      </c>
      <c r="N637" s="146" t="s">
        <v>1544</v>
      </c>
      <c r="O637" s="147">
        <v>65</v>
      </c>
      <c r="P637" s="147">
        <v>4</v>
      </c>
      <c r="Q637" s="147">
        <v>19</v>
      </c>
      <c r="R637" s="146" t="s">
        <v>654</v>
      </c>
      <c r="S637" s="146" t="s">
        <v>655</v>
      </c>
      <c r="T637" s="147">
        <v>244</v>
      </c>
      <c r="U637" s="146" t="s">
        <v>656</v>
      </c>
      <c r="V637" s="146" t="s">
        <v>657</v>
      </c>
      <c r="W637" s="147">
        <v>1</v>
      </c>
      <c r="X637" s="147">
        <v>2</v>
      </c>
      <c r="Y637" s="146" t="s">
        <v>194</v>
      </c>
      <c r="Z637" s="146" t="s">
        <v>195</v>
      </c>
      <c r="AA637" s="146" t="s">
        <v>196</v>
      </c>
      <c r="AB637" s="146" t="s">
        <v>187</v>
      </c>
      <c r="AC637" s="146" t="s">
        <v>187</v>
      </c>
      <c r="AD637" s="148"/>
      <c r="AE637" s="146" t="s">
        <v>209</v>
      </c>
      <c r="AF637" s="147">
        <v>-0.79169999999999996</v>
      </c>
      <c r="AG637" s="149">
        <v>132.6704</v>
      </c>
      <c r="AM637" s="133" t="str" cm="1">
        <f t="array" ref="AM637">IF(ROWS($AN$2:$AN636)&lt;=$AN$2,INDEX($V$3:$V$3000,_xlfn.AGGREGATE(15,3,($B$3:$B$3000=$AM$2)/($B$3:$B$3000=$AM$2)*(ROW($B$3:$B$3000)-ROW($B$2)),ROWS($AN$2:$AN636))),"")</f>
        <v/>
      </c>
      <c r="AN637" s="134" t="str" cm="1">
        <f t="array" ref="AN637">IF(ROWS($AN$2:$AN636)&lt;=$AN$2,INDEX($F$3:$F$3000,_xlfn.AGGREGATE(15,3,($B$3:$B$3000=$AM$2)/($B$3:$B$3000=$AM$2)*(ROW($B$3:$B$3000)-ROW($B$2)),ROWS($AN$2:$AN636))),"")</f>
        <v/>
      </c>
      <c r="AO637" s="135" t="str" cm="1">
        <f t="array" ref="AO637">IF(ROWS($AN$2:$AN636)&lt;=$AN$2,INDEX($G$3:$G$3000,_xlfn.AGGREGATE(15,3,($B$3:$B$3000=$AM$2)/($B$3:$B$3000=$AM$2)*(ROW($B$3:$B$3000)-ROW($B$2)),ROWS($AN$2:$AN636))),"")</f>
        <v/>
      </c>
      <c r="AP637" s="121"/>
      <c r="AT637" s="111"/>
      <c r="AW637" s="134"/>
      <c r="AX637" s="136"/>
      <c r="AY637" s="134"/>
    </row>
    <row r="638" spans="1:51" s="110" customFormat="1" ht="20" customHeight="1">
      <c r="A638" s="125" t="s">
        <v>185</v>
      </c>
      <c r="B638" s="126" t="s">
        <v>59</v>
      </c>
      <c r="C638" s="127">
        <v>15968</v>
      </c>
      <c r="D638" s="145">
        <v>110951</v>
      </c>
      <c r="E638" s="146" t="s">
        <v>3449</v>
      </c>
      <c r="F638" s="146" t="s">
        <v>3449</v>
      </c>
      <c r="G638" s="147">
        <v>7800</v>
      </c>
      <c r="H638" s="147">
        <v>4</v>
      </c>
      <c r="I638" s="146" t="s">
        <v>209</v>
      </c>
      <c r="J638" s="146" t="s">
        <v>3450</v>
      </c>
      <c r="K638" s="146" t="s">
        <v>3449</v>
      </c>
      <c r="L638" s="147">
        <v>4</v>
      </c>
      <c r="M638" s="147">
        <v>1</v>
      </c>
      <c r="N638" s="146" t="s">
        <v>1544</v>
      </c>
      <c r="O638" s="147">
        <v>68</v>
      </c>
      <c r="P638" s="147">
        <v>5</v>
      </c>
      <c r="Q638" s="147">
        <v>19</v>
      </c>
      <c r="R638" s="146" t="s">
        <v>654</v>
      </c>
      <c r="S638" s="146" t="s">
        <v>655</v>
      </c>
      <c r="T638" s="147">
        <v>244</v>
      </c>
      <c r="U638" s="146" t="s">
        <v>656</v>
      </c>
      <c r="V638" s="146" t="s">
        <v>657</v>
      </c>
      <c r="W638" s="147">
        <v>1</v>
      </c>
      <c r="X638" s="147">
        <v>2</v>
      </c>
      <c r="Y638" s="146" t="s">
        <v>194</v>
      </c>
      <c r="Z638" s="146" t="s">
        <v>195</v>
      </c>
      <c r="AA638" s="146" t="s">
        <v>196</v>
      </c>
      <c r="AB638" s="146" t="s">
        <v>187</v>
      </c>
      <c r="AC638" s="146" t="s">
        <v>187</v>
      </c>
      <c r="AD638" s="148"/>
      <c r="AE638" s="146" t="s">
        <v>209</v>
      </c>
      <c r="AF638" s="147">
        <v>-3.7120899999999999</v>
      </c>
      <c r="AG638" s="149">
        <v>139.23965999999999</v>
      </c>
      <c r="AM638" s="133" t="str" cm="1">
        <f t="array" ref="AM638">IF(ROWS($AN$2:$AN637)&lt;=$AN$2,INDEX($V$3:$V$3000,_xlfn.AGGREGATE(15,3,($B$3:$B$3000=$AM$2)/($B$3:$B$3000=$AM$2)*(ROW($B$3:$B$3000)-ROW($B$2)),ROWS($AN$2:$AN637))),"")</f>
        <v/>
      </c>
      <c r="AN638" s="134" t="str" cm="1">
        <f t="array" ref="AN638">IF(ROWS($AN$2:$AN637)&lt;=$AN$2,INDEX($F$3:$F$3000,_xlfn.AGGREGATE(15,3,($B$3:$B$3000=$AM$2)/($B$3:$B$3000=$AM$2)*(ROW($B$3:$B$3000)-ROW($B$2)),ROWS($AN$2:$AN637))),"")</f>
        <v/>
      </c>
      <c r="AO638" s="135" t="str" cm="1">
        <f t="array" ref="AO638">IF(ROWS($AN$2:$AN637)&lt;=$AN$2,INDEX($G$3:$G$3000,_xlfn.AGGREGATE(15,3,($B$3:$B$3000=$AM$2)/($B$3:$B$3000=$AM$2)*(ROW($B$3:$B$3000)-ROW($B$2)),ROWS($AN$2:$AN637))),"")</f>
        <v/>
      </c>
      <c r="AP638" s="121"/>
      <c r="AT638" s="111"/>
      <c r="AW638" s="134"/>
      <c r="AX638" s="136"/>
      <c r="AY638" s="134"/>
    </row>
    <row r="639" spans="1:51" s="110" customFormat="1" ht="20" customHeight="1">
      <c r="A639" s="125" t="s">
        <v>185</v>
      </c>
      <c r="B639" s="126" t="s">
        <v>59</v>
      </c>
      <c r="C639" s="127">
        <v>10337</v>
      </c>
      <c r="D639" s="145">
        <v>100372</v>
      </c>
      <c r="E639" s="146" t="s">
        <v>3431</v>
      </c>
      <c r="F639" s="146" t="s">
        <v>3431</v>
      </c>
      <c r="G639" s="147">
        <v>7400</v>
      </c>
      <c r="H639" s="147">
        <v>4</v>
      </c>
      <c r="I639" s="146" t="s">
        <v>209</v>
      </c>
      <c r="J639" s="146" t="s">
        <v>3432</v>
      </c>
      <c r="K639" s="146" t="s">
        <v>3431</v>
      </c>
      <c r="L639" s="147">
        <v>3</v>
      </c>
      <c r="M639" s="147">
        <v>1</v>
      </c>
      <c r="N639" s="146" t="s">
        <v>1544</v>
      </c>
      <c r="O639" s="147">
        <v>90</v>
      </c>
      <c r="P639" s="147">
        <v>4</v>
      </c>
      <c r="Q639" s="147">
        <v>19</v>
      </c>
      <c r="R639" s="146" t="s">
        <v>654</v>
      </c>
      <c r="S639" s="146" t="s">
        <v>655</v>
      </c>
      <c r="T639" s="147">
        <v>244</v>
      </c>
      <c r="U639" s="146" t="s">
        <v>656</v>
      </c>
      <c r="V639" s="146" t="s">
        <v>657</v>
      </c>
      <c r="W639" s="147">
        <v>1</v>
      </c>
      <c r="X639" s="147">
        <v>2</v>
      </c>
      <c r="Y639" s="146" t="s">
        <v>194</v>
      </c>
      <c r="Z639" s="146" t="s">
        <v>195</v>
      </c>
      <c r="AA639" s="146" t="s">
        <v>196</v>
      </c>
      <c r="AB639" s="146" t="s">
        <v>187</v>
      </c>
      <c r="AC639" s="146" t="s">
        <v>187</v>
      </c>
      <c r="AD639" s="148"/>
      <c r="AE639" s="146" t="s">
        <v>209</v>
      </c>
      <c r="AF639" s="147">
        <v>-1.71194</v>
      </c>
      <c r="AG639" s="149">
        <v>135.78783999999999</v>
      </c>
      <c r="AM639" s="133" t="str" cm="1">
        <f t="array" ref="AM639">IF(ROWS($AN$2:$AN638)&lt;=$AN$2,INDEX($V$3:$V$3000,_xlfn.AGGREGATE(15,3,($B$3:$B$3000=$AM$2)/($B$3:$B$3000=$AM$2)*(ROW($B$3:$B$3000)-ROW($B$2)),ROWS($AN$2:$AN638))),"")</f>
        <v/>
      </c>
      <c r="AN639" s="134" t="str" cm="1">
        <f t="array" ref="AN639">IF(ROWS($AN$2:$AN638)&lt;=$AN$2,INDEX($F$3:$F$3000,_xlfn.AGGREGATE(15,3,($B$3:$B$3000=$AM$2)/($B$3:$B$3000=$AM$2)*(ROW($B$3:$B$3000)-ROW($B$2)),ROWS($AN$2:$AN638))),"")</f>
        <v/>
      </c>
      <c r="AO639" s="135" t="str" cm="1">
        <f t="array" ref="AO639">IF(ROWS($AN$2:$AN638)&lt;=$AN$2,INDEX($G$3:$G$3000,_xlfn.AGGREGATE(15,3,($B$3:$B$3000=$AM$2)/($B$3:$B$3000=$AM$2)*(ROW($B$3:$B$3000)-ROW($B$2)),ROWS($AN$2:$AN638))),"")</f>
        <v/>
      </c>
      <c r="AP639" s="121"/>
      <c r="AT639" s="111"/>
      <c r="AW639" s="134"/>
      <c r="AX639" s="136"/>
      <c r="AY639" s="134"/>
    </row>
    <row r="640" spans="1:51" s="110" customFormat="1" ht="20" customHeight="1">
      <c r="A640" s="125" t="s">
        <v>185</v>
      </c>
      <c r="B640" s="126" t="s">
        <v>59</v>
      </c>
      <c r="C640" s="127">
        <v>15853</v>
      </c>
      <c r="D640" s="145">
        <v>110665</v>
      </c>
      <c r="E640" s="146" t="s">
        <v>3414</v>
      </c>
      <c r="F640" s="146" t="s">
        <v>3415</v>
      </c>
      <c r="G640" s="147">
        <v>7200</v>
      </c>
      <c r="H640" s="147">
        <v>4</v>
      </c>
      <c r="I640" s="146" t="s">
        <v>209</v>
      </c>
      <c r="J640" s="146" t="s">
        <v>3416</v>
      </c>
      <c r="K640" s="146" t="s">
        <v>3414</v>
      </c>
      <c r="L640" s="147">
        <v>3</v>
      </c>
      <c r="M640" s="147">
        <v>1</v>
      </c>
      <c r="N640" s="146" t="s">
        <v>1544</v>
      </c>
      <c r="O640" s="147">
        <v>90</v>
      </c>
      <c r="P640" s="147">
        <v>4</v>
      </c>
      <c r="Q640" s="147">
        <v>19</v>
      </c>
      <c r="R640" s="146" t="s">
        <v>654</v>
      </c>
      <c r="S640" s="146" t="s">
        <v>655</v>
      </c>
      <c r="T640" s="147">
        <v>244</v>
      </c>
      <c r="U640" s="146" t="s">
        <v>656</v>
      </c>
      <c r="V640" s="146" t="s">
        <v>657</v>
      </c>
      <c r="W640" s="147">
        <v>1</v>
      </c>
      <c r="X640" s="147">
        <v>2</v>
      </c>
      <c r="Y640" s="146" t="s">
        <v>194</v>
      </c>
      <c r="Z640" s="146" t="s">
        <v>195</v>
      </c>
      <c r="AA640" s="146" t="s">
        <v>196</v>
      </c>
      <c r="AB640" s="146" t="s">
        <v>187</v>
      </c>
      <c r="AC640" s="146" t="s">
        <v>187</v>
      </c>
      <c r="AD640" s="148"/>
      <c r="AE640" s="146" t="s">
        <v>209</v>
      </c>
      <c r="AF640" s="147">
        <v>-2.1958299999999999</v>
      </c>
      <c r="AG640" s="149">
        <v>133.9598</v>
      </c>
      <c r="AM640" s="133" t="str" cm="1">
        <f t="array" ref="AM640">IF(ROWS($AN$2:$AN639)&lt;=$AN$2,INDEX($V$3:$V$3000,_xlfn.AGGREGATE(15,3,($B$3:$B$3000=$AM$2)/($B$3:$B$3000=$AM$2)*(ROW($B$3:$B$3000)-ROW($B$2)),ROWS($AN$2:$AN639))),"")</f>
        <v/>
      </c>
      <c r="AN640" s="134" t="str" cm="1">
        <f t="array" ref="AN640">IF(ROWS($AN$2:$AN639)&lt;=$AN$2,INDEX($F$3:$F$3000,_xlfn.AGGREGATE(15,3,($B$3:$B$3000=$AM$2)/($B$3:$B$3000=$AM$2)*(ROW($B$3:$B$3000)-ROW($B$2)),ROWS($AN$2:$AN639))),"")</f>
        <v/>
      </c>
      <c r="AO640" s="135" t="str" cm="1">
        <f t="array" ref="AO640">IF(ROWS($AN$2:$AN639)&lt;=$AN$2,INDEX($G$3:$G$3000,_xlfn.AGGREGATE(15,3,($B$3:$B$3000=$AM$2)/($B$3:$B$3000=$AM$2)*(ROW($B$3:$B$3000)-ROW($B$2)),ROWS($AN$2:$AN639))),"")</f>
        <v/>
      </c>
      <c r="AP640" s="121"/>
      <c r="AT640" s="111"/>
      <c r="AW640" s="134"/>
      <c r="AX640" s="136"/>
      <c r="AY640" s="134"/>
    </row>
    <row r="641" spans="1:51" s="110" customFormat="1" ht="20" customHeight="1">
      <c r="A641" s="125" t="s">
        <v>185</v>
      </c>
      <c r="B641" s="126" t="s">
        <v>59</v>
      </c>
      <c r="C641" s="127">
        <v>15250</v>
      </c>
      <c r="D641" s="145">
        <v>109817</v>
      </c>
      <c r="E641" s="146" t="s">
        <v>3391</v>
      </c>
      <c r="F641" s="146" t="s">
        <v>3391</v>
      </c>
      <c r="G641" s="147">
        <v>6800</v>
      </c>
      <c r="H641" s="147">
        <v>4</v>
      </c>
      <c r="I641" s="146" t="s">
        <v>209</v>
      </c>
      <c r="J641" s="146" t="s">
        <v>3392</v>
      </c>
      <c r="K641" s="146" t="s">
        <v>3393</v>
      </c>
      <c r="L641" s="147">
        <v>1</v>
      </c>
      <c r="M641" s="147">
        <v>1</v>
      </c>
      <c r="N641" s="146" t="s">
        <v>1544</v>
      </c>
      <c r="O641" s="147">
        <v>55</v>
      </c>
      <c r="P641" s="147">
        <v>8</v>
      </c>
      <c r="Q641" s="147">
        <v>19</v>
      </c>
      <c r="R641" s="146" t="s">
        <v>654</v>
      </c>
      <c r="S641" s="146" t="s">
        <v>655</v>
      </c>
      <c r="T641" s="147">
        <v>244</v>
      </c>
      <c r="U641" s="146" t="s">
        <v>656</v>
      </c>
      <c r="V641" s="146" t="s">
        <v>657</v>
      </c>
      <c r="W641" s="147">
        <v>1</v>
      </c>
      <c r="X641" s="147">
        <v>2</v>
      </c>
      <c r="Y641" s="146" t="s">
        <v>194</v>
      </c>
      <c r="Z641" s="146" t="s">
        <v>195</v>
      </c>
      <c r="AA641" s="146" t="s">
        <v>196</v>
      </c>
      <c r="AB641" s="146" t="s">
        <v>187</v>
      </c>
      <c r="AC641" s="146" t="s">
        <v>187</v>
      </c>
      <c r="AD641" s="148"/>
      <c r="AE641" s="146" t="s">
        <v>209</v>
      </c>
      <c r="AF641" s="147">
        <v>-8.2315000000000005</v>
      </c>
      <c r="AG641" s="149">
        <v>124.99451000000001</v>
      </c>
      <c r="AM641" s="133" t="str" cm="1">
        <f t="array" ref="AM641">IF(ROWS($AN$2:$AN640)&lt;=$AN$2,INDEX($V$3:$V$3000,_xlfn.AGGREGATE(15,3,($B$3:$B$3000=$AM$2)/($B$3:$B$3000=$AM$2)*(ROW($B$3:$B$3000)-ROW($B$2)),ROWS($AN$2:$AN640))),"")</f>
        <v/>
      </c>
      <c r="AN641" s="134" t="str" cm="1">
        <f t="array" ref="AN641">IF(ROWS($AN$2:$AN640)&lt;=$AN$2,INDEX($F$3:$F$3000,_xlfn.AGGREGATE(15,3,($B$3:$B$3000=$AM$2)/($B$3:$B$3000=$AM$2)*(ROW($B$3:$B$3000)-ROW($B$2)),ROWS($AN$2:$AN640))),"")</f>
        <v/>
      </c>
      <c r="AO641" s="135" t="str" cm="1">
        <f t="array" ref="AO641">IF(ROWS($AN$2:$AN640)&lt;=$AN$2,INDEX($G$3:$G$3000,_xlfn.AGGREGATE(15,3,($B$3:$B$3000=$AM$2)/($B$3:$B$3000=$AM$2)*(ROW($B$3:$B$3000)-ROW($B$2)),ROWS($AN$2:$AN640))),"")</f>
        <v/>
      </c>
      <c r="AP641" s="121"/>
      <c r="AT641" s="111"/>
      <c r="AW641" s="134"/>
      <c r="AX641" s="136"/>
      <c r="AY641" s="134"/>
    </row>
    <row r="642" spans="1:51" s="110" customFormat="1" ht="20" customHeight="1">
      <c r="A642" s="125" t="s">
        <v>185</v>
      </c>
      <c r="B642" s="126" t="s">
        <v>59</v>
      </c>
      <c r="C642" s="127">
        <v>19079</v>
      </c>
      <c r="D642" s="145">
        <v>115331</v>
      </c>
      <c r="E642" s="146" t="s">
        <v>3375</v>
      </c>
      <c r="F642" s="146" t="s">
        <v>3375</v>
      </c>
      <c r="G642" s="147">
        <v>6600</v>
      </c>
      <c r="H642" s="147">
        <v>4</v>
      </c>
      <c r="I642" s="146" t="s">
        <v>209</v>
      </c>
      <c r="J642" s="146" t="s">
        <v>3376</v>
      </c>
      <c r="K642" s="146" t="s">
        <v>3377</v>
      </c>
      <c r="L642" s="147">
        <v>1</v>
      </c>
      <c r="M642" s="147">
        <v>1</v>
      </c>
      <c r="N642" s="146" t="s">
        <v>1544</v>
      </c>
      <c r="O642" s="147">
        <v>70</v>
      </c>
      <c r="P642" s="147">
        <v>4</v>
      </c>
      <c r="Q642" s="147">
        <v>19</v>
      </c>
      <c r="R642" s="146" t="s">
        <v>654</v>
      </c>
      <c r="S642" s="146" t="s">
        <v>655</v>
      </c>
      <c r="T642" s="147">
        <v>244</v>
      </c>
      <c r="U642" s="146" t="s">
        <v>656</v>
      </c>
      <c r="V642" s="146" t="s">
        <v>657</v>
      </c>
      <c r="W642" s="147">
        <v>1</v>
      </c>
      <c r="X642" s="147">
        <v>2</v>
      </c>
      <c r="Y642" s="146" t="s">
        <v>194</v>
      </c>
      <c r="Z642" s="146" t="s">
        <v>195</v>
      </c>
      <c r="AA642" s="146" t="s">
        <v>196</v>
      </c>
      <c r="AB642" s="146" t="s">
        <v>187</v>
      </c>
      <c r="AC642" s="146" t="s">
        <v>187</v>
      </c>
      <c r="AD642" s="148"/>
      <c r="AE642" s="146" t="s">
        <v>209</v>
      </c>
      <c r="AF642" s="147">
        <v>-0.96987999999999996</v>
      </c>
      <c r="AG642" s="149">
        <v>131.44576000000001</v>
      </c>
      <c r="AM642" s="133" t="str" cm="1">
        <f t="array" ref="AM642">IF(ROWS($AN$2:$AN641)&lt;=$AN$2,INDEX($V$3:$V$3000,_xlfn.AGGREGATE(15,3,($B$3:$B$3000=$AM$2)/($B$3:$B$3000=$AM$2)*(ROW($B$3:$B$3000)-ROW($B$2)),ROWS($AN$2:$AN641))),"")</f>
        <v/>
      </c>
      <c r="AN642" s="134" t="str" cm="1">
        <f t="array" ref="AN642">IF(ROWS($AN$2:$AN641)&lt;=$AN$2,INDEX($F$3:$F$3000,_xlfn.AGGREGATE(15,3,($B$3:$B$3000=$AM$2)/($B$3:$B$3000=$AM$2)*(ROW($B$3:$B$3000)-ROW($B$2)),ROWS($AN$2:$AN641))),"")</f>
        <v/>
      </c>
      <c r="AO642" s="135" t="str" cm="1">
        <f t="array" ref="AO642">IF(ROWS($AN$2:$AN641)&lt;=$AN$2,INDEX($G$3:$G$3000,_xlfn.AGGREGATE(15,3,($B$3:$B$3000=$AM$2)/($B$3:$B$3000=$AM$2)*(ROW($B$3:$B$3000)-ROW($B$2)),ROWS($AN$2:$AN641))),"")</f>
        <v/>
      </c>
      <c r="AP642" s="121"/>
      <c r="AT642" s="111"/>
      <c r="AW642" s="134"/>
      <c r="AX642" s="136"/>
      <c r="AY642" s="134"/>
    </row>
    <row r="643" spans="1:51" s="110" customFormat="1" ht="20" customHeight="1">
      <c r="A643" s="125" t="s">
        <v>185</v>
      </c>
      <c r="B643" s="126" t="s">
        <v>59</v>
      </c>
      <c r="C643" s="127">
        <v>12299</v>
      </c>
      <c r="D643" s="145">
        <v>104128</v>
      </c>
      <c r="E643" s="146" t="s">
        <v>3353</v>
      </c>
      <c r="F643" s="146" t="s">
        <v>3353</v>
      </c>
      <c r="G643" s="147">
        <v>6400</v>
      </c>
      <c r="H643" s="147">
        <v>4</v>
      </c>
      <c r="I643" s="146" t="s">
        <v>209</v>
      </c>
      <c r="J643" s="146" t="s">
        <v>3354</v>
      </c>
      <c r="K643" s="146" t="s">
        <v>3355</v>
      </c>
      <c r="L643" s="147">
        <v>1</v>
      </c>
      <c r="M643" s="147">
        <v>1</v>
      </c>
      <c r="N643" s="146" t="s">
        <v>1544</v>
      </c>
      <c r="O643" s="147">
        <v>85</v>
      </c>
      <c r="P643" s="147">
        <v>10</v>
      </c>
      <c r="Q643" s="147">
        <v>19</v>
      </c>
      <c r="R643" s="146" t="s">
        <v>654</v>
      </c>
      <c r="S643" s="146" t="s">
        <v>655</v>
      </c>
      <c r="T643" s="147">
        <v>244</v>
      </c>
      <c r="U643" s="146" t="s">
        <v>656</v>
      </c>
      <c r="V643" s="146" t="s">
        <v>657</v>
      </c>
      <c r="W643" s="147">
        <v>1</v>
      </c>
      <c r="X643" s="147">
        <v>2</v>
      </c>
      <c r="Y643" s="146" t="s">
        <v>194</v>
      </c>
      <c r="Z643" s="146" t="s">
        <v>195</v>
      </c>
      <c r="AA643" s="146" t="s">
        <v>196</v>
      </c>
      <c r="AB643" s="146" t="s">
        <v>187</v>
      </c>
      <c r="AC643" s="146" t="s">
        <v>187</v>
      </c>
      <c r="AD643" s="148"/>
      <c r="AE643" s="146" t="s">
        <v>209</v>
      </c>
      <c r="AF643" s="147">
        <v>-5.0890000000000004</v>
      </c>
      <c r="AG643" s="149">
        <v>140.84997000000001</v>
      </c>
      <c r="AM643" s="133" t="str" cm="1">
        <f t="array" ref="AM643">IF(ROWS($AN$2:$AN642)&lt;=$AN$2,INDEX($V$3:$V$3000,_xlfn.AGGREGATE(15,3,($B$3:$B$3000=$AM$2)/($B$3:$B$3000=$AM$2)*(ROW($B$3:$B$3000)-ROW($B$2)),ROWS($AN$2:$AN642))),"")</f>
        <v/>
      </c>
      <c r="AN643" s="134" t="str" cm="1">
        <f t="array" ref="AN643">IF(ROWS($AN$2:$AN642)&lt;=$AN$2,INDEX($F$3:$F$3000,_xlfn.AGGREGATE(15,3,($B$3:$B$3000=$AM$2)/($B$3:$B$3000=$AM$2)*(ROW($B$3:$B$3000)-ROW($B$2)),ROWS($AN$2:$AN642))),"")</f>
        <v/>
      </c>
      <c r="AO643" s="135" t="str" cm="1">
        <f t="array" ref="AO643">IF(ROWS($AN$2:$AN642)&lt;=$AN$2,INDEX($G$3:$G$3000,_xlfn.AGGREGATE(15,3,($B$3:$B$3000=$AM$2)/($B$3:$B$3000=$AM$2)*(ROW($B$3:$B$3000)-ROW($B$2)),ROWS($AN$2:$AN642))),"")</f>
        <v/>
      </c>
      <c r="AP643" s="121"/>
      <c r="AT643" s="111"/>
      <c r="AW643" s="134"/>
      <c r="AX643" s="136"/>
      <c r="AY643" s="134"/>
    </row>
    <row r="644" spans="1:51" s="110" customFormat="1" ht="20" customHeight="1">
      <c r="A644" s="125" t="s">
        <v>185</v>
      </c>
      <c r="B644" s="126" t="s">
        <v>59</v>
      </c>
      <c r="C644" s="127">
        <v>11922</v>
      </c>
      <c r="D644" s="145">
        <v>103425</v>
      </c>
      <c r="E644" s="146" t="s">
        <v>3296</v>
      </c>
      <c r="F644" s="146" t="s">
        <v>3297</v>
      </c>
      <c r="G644" s="147">
        <v>6000</v>
      </c>
      <c r="H644" s="147">
        <v>4</v>
      </c>
      <c r="I644" s="146" t="s">
        <v>209</v>
      </c>
      <c r="J644" s="146" t="s">
        <v>3298</v>
      </c>
      <c r="K644" s="146" t="s">
        <v>3299</v>
      </c>
      <c r="L644" s="147">
        <v>4</v>
      </c>
      <c r="M644" s="147">
        <v>1</v>
      </c>
      <c r="N644" s="146" t="s">
        <v>1544</v>
      </c>
      <c r="O644" s="147">
        <v>68</v>
      </c>
      <c r="P644" s="147">
        <v>5</v>
      </c>
      <c r="Q644" s="147">
        <v>19</v>
      </c>
      <c r="R644" s="146" t="s">
        <v>654</v>
      </c>
      <c r="S644" s="146" t="s">
        <v>655</v>
      </c>
      <c r="T644" s="147">
        <v>244</v>
      </c>
      <c r="U644" s="146" t="s">
        <v>656</v>
      </c>
      <c r="V644" s="146" t="s">
        <v>657</v>
      </c>
      <c r="W644" s="147">
        <v>1</v>
      </c>
      <c r="X644" s="147">
        <v>2</v>
      </c>
      <c r="Y644" s="146" t="s">
        <v>194</v>
      </c>
      <c r="Z644" s="146" t="s">
        <v>195</v>
      </c>
      <c r="AA644" s="146" t="s">
        <v>196</v>
      </c>
      <c r="AB644" s="146" t="s">
        <v>187</v>
      </c>
      <c r="AC644" s="146" t="s">
        <v>187</v>
      </c>
      <c r="AD644" s="148"/>
      <c r="AE644" s="146" t="s">
        <v>209</v>
      </c>
      <c r="AF644" s="147">
        <v>-4.6894900000000002</v>
      </c>
      <c r="AG644" s="149">
        <v>140.05982</v>
      </c>
      <c r="AM644" s="133" t="str" cm="1">
        <f t="array" ref="AM644">IF(ROWS($AN$2:$AN643)&lt;=$AN$2,INDEX($V$3:$V$3000,_xlfn.AGGREGATE(15,3,($B$3:$B$3000=$AM$2)/($B$3:$B$3000=$AM$2)*(ROW($B$3:$B$3000)-ROW($B$2)),ROWS($AN$2:$AN643))),"")</f>
        <v/>
      </c>
      <c r="AN644" s="134" t="str" cm="1">
        <f t="array" ref="AN644">IF(ROWS($AN$2:$AN643)&lt;=$AN$2,INDEX($F$3:$F$3000,_xlfn.AGGREGATE(15,3,($B$3:$B$3000=$AM$2)/($B$3:$B$3000=$AM$2)*(ROW($B$3:$B$3000)-ROW($B$2)),ROWS($AN$2:$AN643))),"")</f>
        <v/>
      </c>
      <c r="AO644" s="135" t="str" cm="1">
        <f t="array" ref="AO644">IF(ROWS($AN$2:$AN643)&lt;=$AN$2,INDEX($G$3:$G$3000,_xlfn.AGGREGATE(15,3,($B$3:$B$3000=$AM$2)/($B$3:$B$3000=$AM$2)*(ROW($B$3:$B$3000)-ROW($B$2)),ROWS($AN$2:$AN643))),"")</f>
        <v/>
      </c>
      <c r="AP644" s="121"/>
      <c r="AT644" s="111"/>
      <c r="AW644" s="134"/>
      <c r="AX644" s="136"/>
      <c r="AY644" s="134"/>
    </row>
    <row r="645" spans="1:51" s="110" customFormat="1" ht="20" customHeight="1">
      <c r="A645" s="125" t="s">
        <v>185</v>
      </c>
      <c r="B645" s="126" t="s">
        <v>59</v>
      </c>
      <c r="C645" s="127">
        <v>12759</v>
      </c>
      <c r="D645" s="145">
        <v>105147</v>
      </c>
      <c r="E645" s="146" t="s">
        <v>3300</v>
      </c>
      <c r="F645" s="146" t="s">
        <v>3300</v>
      </c>
      <c r="G645" s="147">
        <v>6000</v>
      </c>
      <c r="H645" s="147">
        <v>4</v>
      </c>
      <c r="I645" s="146" t="s">
        <v>209</v>
      </c>
      <c r="J645" s="146" t="s">
        <v>3301</v>
      </c>
      <c r="K645" s="146" t="s">
        <v>3300</v>
      </c>
      <c r="L645" s="147">
        <v>2</v>
      </c>
      <c r="M645" s="147">
        <v>1</v>
      </c>
      <c r="N645" s="146" t="s">
        <v>1544</v>
      </c>
      <c r="O645" s="147">
        <v>60</v>
      </c>
      <c r="P645" s="147">
        <v>3</v>
      </c>
      <c r="Q645" s="147">
        <v>19</v>
      </c>
      <c r="R645" s="146" t="s">
        <v>654</v>
      </c>
      <c r="S645" s="146" t="s">
        <v>655</v>
      </c>
      <c r="T645" s="147">
        <v>244</v>
      </c>
      <c r="U645" s="146" t="s">
        <v>656</v>
      </c>
      <c r="V645" s="146" t="s">
        <v>657</v>
      </c>
      <c r="W645" s="147">
        <v>1</v>
      </c>
      <c r="X645" s="147">
        <v>2</v>
      </c>
      <c r="Y645" s="146" t="s">
        <v>194</v>
      </c>
      <c r="Z645" s="146" t="s">
        <v>195</v>
      </c>
      <c r="AA645" s="146" t="s">
        <v>196</v>
      </c>
      <c r="AB645" s="146" t="s">
        <v>187</v>
      </c>
      <c r="AC645" s="146" t="s">
        <v>187</v>
      </c>
      <c r="AD645" s="148"/>
      <c r="AE645" s="146" t="s">
        <v>209</v>
      </c>
      <c r="AF645" s="147">
        <v>-5.5945099999999996</v>
      </c>
      <c r="AG645" s="149">
        <v>139.88584</v>
      </c>
      <c r="AM645" s="133" t="str" cm="1">
        <f t="array" ref="AM645">IF(ROWS($AN$2:$AN644)&lt;=$AN$2,INDEX($V$3:$V$3000,_xlfn.AGGREGATE(15,3,($B$3:$B$3000=$AM$2)/($B$3:$B$3000=$AM$2)*(ROW($B$3:$B$3000)-ROW($B$2)),ROWS($AN$2:$AN644))),"")</f>
        <v/>
      </c>
      <c r="AN645" s="134" t="str" cm="1">
        <f t="array" ref="AN645">IF(ROWS($AN$2:$AN644)&lt;=$AN$2,INDEX($F$3:$F$3000,_xlfn.AGGREGATE(15,3,($B$3:$B$3000=$AM$2)/($B$3:$B$3000=$AM$2)*(ROW($B$3:$B$3000)-ROW($B$2)),ROWS($AN$2:$AN644))),"")</f>
        <v/>
      </c>
      <c r="AO645" s="135" t="str" cm="1">
        <f t="array" ref="AO645">IF(ROWS($AN$2:$AN644)&lt;=$AN$2,INDEX($G$3:$G$3000,_xlfn.AGGREGATE(15,3,($B$3:$B$3000=$AM$2)/($B$3:$B$3000=$AM$2)*(ROW($B$3:$B$3000)-ROW($B$2)),ROWS($AN$2:$AN644))),"")</f>
        <v/>
      </c>
      <c r="AP645" s="121"/>
      <c r="AT645" s="111"/>
      <c r="AW645" s="134"/>
      <c r="AX645" s="136"/>
      <c r="AY645" s="134"/>
    </row>
    <row r="646" spans="1:51" s="110" customFormat="1" ht="20" customHeight="1">
      <c r="A646" s="125" t="s">
        <v>185</v>
      </c>
      <c r="B646" s="126" t="s">
        <v>59</v>
      </c>
      <c r="C646" s="127">
        <v>15222</v>
      </c>
      <c r="D646" s="145">
        <v>109771</v>
      </c>
      <c r="E646" s="146" t="s">
        <v>3266</v>
      </c>
      <c r="F646" s="146" t="s">
        <v>3267</v>
      </c>
      <c r="G646" s="147">
        <v>5600</v>
      </c>
      <c r="H646" s="147">
        <v>4</v>
      </c>
      <c r="I646" s="146" t="s">
        <v>209</v>
      </c>
      <c r="J646" s="146" t="s">
        <v>3268</v>
      </c>
      <c r="K646" s="146" t="s">
        <v>3266</v>
      </c>
      <c r="L646" s="147">
        <v>1</v>
      </c>
      <c r="M646" s="147">
        <v>1</v>
      </c>
      <c r="N646" s="146" t="s">
        <v>1544</v>
      </c>
      <c r="O646" s="147">
        <v>75</v>
      </c>
      <c r="P646" s="147">
        <v>6</v>
      </c>
      <c r="Q646" s="147">
        <v>19</v>
      </c>
      <c r="R646" s="146" t="s">
        <v>654</v>
      </c>
      <c r="S646" s="146" t="s">
        <v>655</v>
      </c>
      <c r="T646" s="147">
        <v>244</v>
      </c>
      <c r="U646" s="146" t="s">
        <v>656</v>
      </c>
      <c r="V646" s="146" t="s">
        <v>657</v>
      </c>
      <c r="W646" s="147">
        <v>1</v>
      </c>
      <c r="X646" s="147">
        <v>2</v>
      </c>
      <c r="Y646" s="146" t="s">
        <v>194</v>
      </c>
      <c r="Z646" s="146" t="s">
        <v>195</v>
      </c>
      <c r="AA646" s="146" t="s">
        <v>196</v>
      </c>
      <c r="AB646" s="146" t="s">
        <v>187</v>
      </c>
      <c r="AC646" s="146" t="s">
        <v>187</v>
      </c>
      <c r="AD646" s="148"/>
      <c r="AE646" s="146" t="s">
        <v>209</v>
      </c>
      <c r="AF646" s="147">
        <v>-6.52651</v>
      </c>
      <c r="AG646" s="149">
        <v>138.96495999999999</v>
      </c>
      <c r="AM646" s="133" t="str" cm="1">
        <f t="array" ref="AM646">IF(ROWS($AN$2:$AN645)&lt;=$AN$2,INDEX($V$3:$V$3000,_xlfn.AGGREGATE(15,3,($B$3:$B$3000=$AM$2)/($B$3:$B$3000=$AM$2)*(ROW($B$3:$B$3000)-ROW($B$2)),ROWS($AN$2:$AN645))),"")</f>
        <v/>
      </c>
      <c r="AN646" s="134" t="str" cm="1">
        <f t="array" ref="AN646">IF(ROWS($AN$2:$AN645)&lt;=$AN$2,INDEX($F$3:$F$3000,_xlfn.AGGREGATE(15,3,($B$3:$B$3000=$AM$2)/($B$3:$B$3000=$AM$2)*(ROW($B$3:$B$3000)-ROW($B$2)),ROWS($AN$2:$AN645))),"")</f>
        <v/>
      </c>
      <c r="AO646" s="135" t="str" cm="1">
        <f t="array" ref="AO646">IF(ROWS($AN$2:$AN645)&lt;=$AN$2,INDEX($G$3:$G$3000,_xlfn.AGGREGATE(15,3,($B$3:$B$3000=$AM$2)/($B$3:$B$3000=$AM$2)*(ROW($B$3:$B$3000)-ROW($B$2)),ROWS($AN$2:$AN645))),"")</f>
        <v/>
      </c>
      <c r="AP646" s="121"/>
      <c r="AT646" s="111"/>
      <c r="AW646" s="134"/>
      <c r="AX646" s="136"/>
      <c r="AY646" s="134"/>
    </row>
    <row r="647" spans="1:51" s="110" customFormat="1" ht="20" customHeight="1">
      <c r="A647" s="125" t="s">
        <v>185</v>
      </c>
      <c r="B647" s="126" t="s">
        <v>59</v>
      </c>
      <c r="C647" s="127">
        <v>15347</v>
      </c>
      <c r="D647" s="145">
        <v>109956</v>
      </c>
      <c r="E647" s="146" t="s">
        <v>3269</v>
      </c>
      <c r="F647" s="146" t="s">
        <v>3270</v>
      </c>
      <c r="G647" s="147">
        <v>5600</v>
      </c>
      <c r="H647" s="147">
        <v>4</v>
      </c>
      <c r="I647" s="146" t="s">
        <v>209</v>
      </c>
      <c r="J647" s="146" t="s">
        <v>3271</v>
      </c>
      <c r="K647" s="146" t="s">
        <v>3272</v>
      </c>
      <c r="L647" s="147">
        <v>3</v>
      </c>
      <c r="M647" s="147">
        <v>1</v>
      </c>
      <c r="N647" s="146" t="s">
        <v>1544</v>
      </c>
      <c r="O647" s="147">
        <v>65</v>
      </c>
      <c r="P647" s="147">
        <v>3</v>
      </c>
      <c r="Q647" s="147">
        <v>19</v>
      </c>
      <c r="R647" s="146" t="s">
        <v>654</v>
      </c>
      <c r="S647" s="146" t="s">
        <v>655</v>
      </c>
      <c r="T647" s="147">
        <v>244</v>
      </c>
      <c r="U647" s="146" t="s">
        <v>656</v>
      </c>
      <c r="V647" s="146" t="s">
        <v>657</v>
      </c>
      <c r="W647" s="147">
        <v>1</v>
      </c>
      <c r="X647" s="147">
        <v>2</v>
      </c>
      <c r="Y647" s="146" t="s">
        <v>194</v>
      </c>
      <c r="Z647" s="146" t="s">
        <v>195</v>
      </c>
      <c r="AA647" s="146" t="s">
        <v>196</v>
      </c>
      <c r="AB647" s="146" t="s">
        <v>187</v>
      </c>
      <c r="AC647" s="146" t="s">
        <v>187</v>
      </c>
      <c r="AD647" s="148"/>
      <c r="AE647" s="146" t="s">
        <v>209</v>
      </c>
      <c r="AF647" s="147">
        <v>-2.4532400000000001</v>
      </c>
      <c r="AG647" s="149">
        <v>140.41247999999999</v>
      </c>
      <c r="AM647" s="133" t="str" cm="1">
        <f t="array" ref="AM647">IF(ROWS($AN$2:$AN646)&lt;=$AN$2,INDEX($V$3:$V$3000,_xlfn.AGGREGATE(15,3,($B$3:$B$3000=$AM$2)/($B$3:$B$3000=$AM$2)*(ROW($B$3:$B$3000)-ROW($B$2)),ROWS($AN$2:$AN646))),"")</f>
        <v/>
      </c>
      <c r="AN647" s="134" t="str" cm="1">
        <f t="array" ref="AN647">IF(ROWS($AN$2:$AN646)&lt;=$AN$2,INDEX($F$3:$F$3000,_xlfn.AGGREGATE(15,3,($B$3:$B$3000=$AM$2)/($B$3:$B$3000=$AM$2)*(ROW($B$3:$B$3000)-ROW($B$2)),ROWS($AN$2:$AN646))),"")</f>
        <v/>
      </c>
      <c r="AO647" s="135" t="str" cm="1">
        <f t="array" ref="AO647">IF(ROWS($AN$2:$AN646)&lt;=$AN$2,INDEX($G$3:$G$3000,_xlfn.AGGREGATE(15,3,($B$3:$B$3000=$AM$2)/($B$3:$B$3000=$AM$2)*(ROW($B$3:$B$3000)-ROW($B$2)),ROWS($AN$2:$AN646))),"")</f>
        <v/>
      </c>
      <c r="AP647" s="121"/>
      <c r="AT647" s="111"/>
      <c r="AW647" s="134"/>
      <c r="AX647" s="136"/>
      <c r="AY647" s="134"/>
    </row>
    <row r="648" spans="1:51" s="110" customFormat="1" ht="20" customHeight="1">
      <c r="A648" s="125" t="s">
        <v>185</v>
      </c>
      <c r="B648" s="126" t="s">
        <v>59</v>
      </c>
      <c r="C648" s="127">
        <v>12747</v>
      </c>
      <c r="D648" s="145">
        <v>105106</v>
      </c>
      <c r="E648" s="146" t="s">
        <v>3253</v>
      </c>
      <c r="F648" s="146" t="s">
        <v>3254</v>
      </c>
      <c r="G648" s="147">
        <v>5500</v>
      </c>
      <c r="H648" s="147">
        <v>4</v>
      </c>
      <c r="I648" s="146" t="s">
        <v>209</v>
      </c>
      <c r="J648" s="146" t="s">
        <v>3255</v>
      </c>
      <c r="K648" s="146" t="s">
        <v>3253</v>
      </c>
      <c r="L648" s="147">
        <v>1</v>
      </c>
      <c r="M648" s="147">
        <v>1</v>
      </c>
      <c r="N648" s="146" t="s">
        <v>1544</v>
      </c>
      <c r="O648" s="147">
        <v>65</v>
      </c>
      <c r="P648" s="147">
        <v>5</v>
      </c>
      <c r="Q648" s="147">
        <v>19</v>
      </c>
      <c r="R648" s="146" t="s">
        <v>654</v>
      </c>
      <c r="S648" s="146" t="s">
        <v>655</v>
      </c>
      <c r="T648" s="147">
        <v>244</v>
      </c>
      <c r="U648" s="146" t="s">
        <v>656</v>
      </c>
      <c r="V648" s="146" t="s">
        <v>657</v>
      </c>
      <c r="W648" s="147">
        <v>1</v>
      </c>
      <c r="X648" s="147">
        <v>2</v>
      </c>
      <c r="Y648" s="146" t="s">
        <v>194</v>
      </c>
      <c r="Z648" s="146" t="s">
        <v>195</v>
      </c>
      <c r="AA648" s="146" t="s">
        <v>196</v>
      </c>
      <c r="AB648" s="146" t="s">
        <v>187</v>
      </c>
      <c r="AC648" s="146" t="s">
        <v>187</v>
      </c>
      <c r="AD648" s="148"/>
      <c r="AE648" s="146" t="s">
        <v>209</v>
      </c>
      <c r="AF648" s="147">
        <v>-2.13734</v>
      </c>
      <c r="AG648" s="149">
        <v>132.45308</v>
      </c>
      <c r="AM648" s="133" t="str" cm="1">
        <f t="array" ref="AM648">IF(ROWS($AN$2:$AN647)&lt;=$AN$2,INDEX($V$3:$V$3000,_xlfn.AGGREGATE(15,3,($B$3:$B$3000=$AM$2)/($B$3:$B$3000=$AM$2)*(ROW($B$3:$B$3000)-ROW($B$2)),ROWS($AN$2:$AN647))),"")</f>
        <v/>
      </c>
      <c r="AN648" s="134" t="str" cm="1">
        <f t="array" ref="AN648">IF(ROWS($AN$2:$AN647)&lt;=$AN$2,INDEX($F$3:$F$3000,_xlfn.AGGREGATE(15,3,($B$3:$B$3000=$AM$2)/($B$3:$B$3000=$AM$2)*(ROW($B$3:$B$3000)-ROW($B$2)),ROWS($AN$2:$AN647))),"")</f>
        <v/>
      </c>
      <c r="AO648" s="135" t="str" cm="1">
        <f t="array" ref="AO648">IF(ROWS($AN$2:$AN647)&lt;=$AN$2,INDEX($G$3:$G$3000,_xlfn.AGGREGATE(15,3,($B$3:$B$3000=$AM$2)/($B$3:$B$3000=$AM$2)*(ROW($B$3:$B$3000)-ROW($B$2)),ROWS($AN$2:$AN647))),"")</f>
        <v/>
      </c>
      <c r="AP648" s="121"/>
      <c r="AT648" s="111"/>
      <c r="AW648" s="134"/>
      <c r="AX648" s="136"/>
      <c r="AY648" s="134"/>
    </row>
    <row r="649" spans="1:51" s="110" customFormat="1" ht="20" customHeight="1">
      <c r="A649" s="125" t="s">
        <v>185</v>
      </c>
      <c r="B649" s="126" t="s">
        <v>59</v>
      </c>
      <c r="C649" s="127">
        <v>13353</v>
      </c>
      <c r="D649" s="145">
        <v>107263</v>
      </c>
      <c r="E649" s="146" t="s">
        <v>3256</v>
      </c>
      <c r="F649" s="146" t="s">
        <v>3256</v>
      </c>
      <c r="G649" s="147">
        <v>5500</v>
      </c>
      <c r="H649" s="147">
        <v>4</v>
      </c>
      <c r="I649" s="146" t="s">
        <v>209</v>
      </c>
      <c r="J649" s="146" t="s">
        <v>3257</v>
      </c>
      <c r="K649" s="146" t="s">
        <v>3256</v>
      </c>
      <c r="L649" s="147">
        <v>4</v>
      </c>
      <c r="M649" s="147">
        <v>1</v>
      </c>
      <c r="N649" s="146" t="s">
        <v>1544</v>
      </c>
      <c r="O649" s="147">
        <v>70</v>
      </c>
      <c r="P649" s="147">
        <v>5</v>
      </c>
      <c r="Q649" s="147">
        <v>19</v>
      </c>
      <c r="R649" s="146" t="s">
        <v>654</v>
      </c>
      <c r="S649" s="146" t="s">
        <v>655</v>
      </c>
      <c r="T649" s="147">
        <v>244</v>
      </c>
      <c r="U649" s="146" t="s">
        <v>656</v>
      </c>
      <c r="V649" s="146" t="s">
        <v>657</v>
      </c>
      <c r="W649" s="147">
        <v>1</v>
      </c>
      <c r="X649" s="147">
        <v>2</v>
      </c>
      <c r="Y649" s="146" t="s">
        <v>194</v>
      </c>
      <c r="Z649" s="146" t="s">
        <v>195</v>
      </c>
      <c r="AA649" s="146" t="s">
        <v>196</v>
      </c>
      <c r="AB649" s="146" t="s">
        <v>187</v>
      </c>
      <c r="AC649" s="146" t="s">
        <v>187</v>
      </c>
      <c r="AD649" s="148"/>
      <c r="AE649" s="146" t="s">
        <v>209</v>
      </c>
      <c r="AF649" s="147">
        <v>-3.6059899999999998</v>
      </c>
      <c r="AG649" s="149">
        <v>138.9528</v>
      </c>
      <c r="AM649" s="133" t="str" cm="1">
        <f t="array" ref="AM649">IF(ROWS($AN$2:$AN648)&lt;=$AN$2,INDEX($V$3:$V$3000,_xlfn.AGGREGATE(15,3,($B$3:$B$3000=$AM$2)/($B$3:$B$3000=$AM$2)*(ROW($B$3:$B$3000)-ROW($B$2)),ROWS($AN$2:$AN648))),"")</f>
        <v/>
      </c>
      <c r="AN649" s="134" t="str" cm="1">
        <f t="array" ref="AN649">IF(ROWS($AN$2:$AN648)&lt;=$AN$2,INDEX($F$3:$F$3000,_xlfn.AGGREGATE(15,3,($B$3:$B$3000=$AM$2)/($B$3:$B$3000=$AM$2)*(ROW($B$3:$B$3000)-ROW($B$2)),ROWS($AN$2:$AN648))),"")</f>
        <v/>
      </c>
      <c r="AO649" s="135" t="str" cm="1">
        <f t="array" ref="AO649">IF(ROWS($AN$2:$AN648)&lt;=$AN$2,INDEX($G$3:$G$3000,_xlfn.AGGREGATE(15,3,($B$3:$B$3000=$AM$2)/($B$3:$B$3000=$AM$2)*(ROW($B$3:$B$3000)-ROW($B$2)),ROWS($AN$2:$AN648))),"")</f>
        <v/>
      </c>
      <c r="AP649" s="121"/>
      <c r="AT649" s="111"/>
      <c r="AW649" s="134"/>
      <c r="AX649" s="136"/>
      <c r="AY649" s="134"/>
    </row>
    <row r="650" spans="1:51" s="110" customFormat="1" ht="20" customHeight="1">
      <c r="A650" s="125" t="s">
        <v>185</v>
      </c>
      <c r="B650" s="126" t="s">
        <v>59</v>
      </c>
      <c r="C650" s="127">
        <v>12159</v>
      </c>
      <c r="D650" s="145">
        <v>103923</v>
      </c>
      <c r="E650" s="146" t="s">
        <v>3234</v>
      </c>
      <c r="F650" s="146" t="s">
        <v>3234</v>
      </c>
      <c r="G650" s="147">
        <v>5300</v>
      </c>
      <c r="H650" s="147">
        <v>4</v>
      </c>
      <c r="I650" s="146" t="s">
        <v>209</v>
      </c>
      <c r="J650" s="146" t="s">
        <v>3235</v>
      </c>
      <c r="K650" s="146" t="s">
        <v>3234</v>
      </c>
      <c r="L650" s="147">
        <v>5</v>
      </c>
      <c r="M650" s="147">
        <v>1</v>
      </c>
      <c r="N650" s="146" t="s">
        <v>1544</v>
      </c>
      <c r="O650" s="147">
        <v>68</v>
      </c>
      <c r="P650" s="147">
        <v>4</v>
      </c>
      <c r="Q650" s="147">
        <v>19</v>
      </c>
      <c r="R650" s="146" t="s">
        <v>654</v>
      </c>
      <c r="S650" s="146" t="s">
        <v>655</v>
      </c>
      <c r="T650" s="147">
        <v>244</v>
      </c>
      <c r="U650" s="146" t="s">
        <v>656</v>
      </c>
      <c r="V650" s="146" t="s">
        <v>657</v>
      </c>
      <c r="W650" s="147">
        <v>1</v>
      </c>
      <c r="X650" s="147">
        <v>2</v>
      </c>
      <c r="Y650" s="146" t="s">
        <v>194</v>
      </c>
      <c r="Z650" s="146" t="s">
        <v>195</v>
      </c>
      <c r="AA650" s="146" t="s">
        <v>196</v>
      </c>
      <c r="AB650" s="146" t="s">
        <v>187</v>
      </c>
      <c r="AC650" s="146" t="s">
        <v>187</v>
      </c>
      <c r="AD650" s="148"/>
      <c r="AE650" s="146" t="s">
        <v>209</v>
      </c>
      <c r="AF650" s="147">
        <v>-4.3641800000000002</v>
      </c>
      <c r="AG650" s="149">
        <v>139.16293999999999</v>
      </c>
      <c r="AM650" s="133" t="str" cm="1">
        <f t="array" ref="AM650">IF(ROWS($AN$2:$AN649)&lt;=$AN$2,INDEX($V$3:$V$3000,_xlfn.AGGREGATE(15,3,($B$3:$B$3000=$AM$2)/($B$3:$B$3000=$AM$2)*(ROW($B$3:$B$3000)-ROW($B$2)),ROWS($AN$2:$AN649))),"")</f>
        <v/>
      </c>
      <c r="AN650" s="134" t="str" cm="1">
        <f t="array" ref="AN650">IF(ROWS($AN$2:$AN649)&lt;=$AN$2,INDEX($F$3:$F$3000,_xlfn.AGGREGATE(15,3,($B$3:$B$3000=$AM$2)/($B$3:$B$3000=$AM$2)*(ROW($B$3:$B$3000)-ROW($B$2)),ROWS($AN$2:$AN649))),"")</f>
        <v/>
      </c>
      <c r="AO650" s="135" t="str" cm="1">
        <f t="array" ref="AO650">IF(ROWS($AN$2:$AN649)&lt;=$AN$2,INDEX($G$3:$G$3000,_xlfn.AGGREGATE(15,3,($B$3:$B$3000=$AM$2)/($B$3:$B$3000=$AM$2)*(ROW($B$3:$B$3000)-ROW($B$2)),ROWS($AN$2:$AN649))),"")</f>
        <v/>
      </c>
      <c r="AP650" s="121"/>
      <c r="AT650" s="111"/>
      <c r="AW650" s="134"/>
      <c r="AX650" s="136"/>
      <c r="AY650" s="134"/>
    </row>
    <row r="651" spans="1:51" s="110" customFormat="1" ht="20" customHeight="1">
      <c r="A651" s="125" t="s">
        <v>185</v>
      </c>
      <c r="B651" s="126" t="s">
        <v>59</v>
      </c>
      <c r="C651" s="127">
        <v>13602</v>
      </c>
      <c r="D651" s="145">
        <v>106437</v>
      </c>
      <c r="E651" s="146" t="s">
        <v>3216</v>
      </c>
      <c r="F651" s="146" t="s">
        <v>3217</v>
      </c>
      <c r="G651" s="147">
        <v>5200</v>
      </c>
      <c r="H651" s="147">
        <v>4</v>
      </c>
      <c r="I651" s="146" t="s">
        <v>209</v>
      </c>
      <c r="J651" s="146" t="s">
        <v>3218</v>
      </c>
      <c r="K651" s="146" t="s">
        <v>3216</v>
      </c>
      <c r="L651" s="147">
        <v>1</v>
      </c>
      <c r="M651" s="147">
        <v>1</v>
      </c>
      <c r="N651" s="146" t="s">
        <v>1544</v>
      </c>
      <c r="O651" s="147">
        <v>85</v>
      </c>
      <c r="P651" s="147">
        <v>7</v>
      </c>
      <c r="Q651" s="147">
        <v>19</v>
      </c>
      <c r="R651" s="146" t="s">
        <v>654</v>
      </c>
      <c r="S651" s="146" t="s">
        <v>655</v>
      </c>
      <c r="T651" s="147">
        <v>244</v>
      </c>
      <c r="U651" s="146" t="s">
        <v>656</v>
      </c>
      <c r="V651" s="146" t="s">
        <v>657</v>
      </c>
      <c r="W651" s="147">
        <v>1</v>
      </c>
      <c r="X651" s="147">
        <v>2</v>
      </c>
      <c r="Y651" s="146" t="s">
        <v>194</v>
      </c>
      <c r="Z651" s="146" t="s">
        <v>195</v>
      </c>
      <c r="AA651" s="146" t="s">
        <v>196</v>
      </c>
      <c r="AB651" s="146" t="s">
        <v>187</v>
      </c>
      <c r="AC651" s="146" t="s">
        <v>187</v>
      </c>
      <c r="AD651" s="148"/>
      <c r="AE651" s="146" t="s">
        <v>209</v>
      </c>
      <c r="AF651" s="147">
        <v>-1.1272500000000001</v>
      </c>
      <c r="AG651" s="149">
        <v>130.90079</v>
      </c>
      <c r="AM651" s="133" t="str" cm="1">
        <f t="array" ref="AM651">IF(ROWS($AN$2:$AN650)&lt;=$AN$2,INDEX($V$3:$V$3000,_xlfn.AGGREGATE(15,3,($B$3:$B$3000=$AM$2)/($B$3:$B$3000=$AM$2)*(ROW($B$3:$B$3000)-ROW($B$2)),ROWS($AN$2:$AN650))),"")</f>
        <v/>
      </c>
      <c r="AN651" s="134" t="str" cm="1">
        <f t="array" ref="AN651">IF(ROWS($AN$2:$AN650)&lt;=$AN$2,INDEX($F$3:$F$3000,_xlfn.AGGREGATE(15,3,($B$3:$B$3000=$AM$2)/($B$3:$B$3000=$AM$2)*(ROW($B$3:$B$3000)-ROW($B$2)),ROWS($AN$2:$AN650))),"")</f>
        <v/>
      </c>
      <c r="AO651" s="135" t="str" cm="1">
        <f t="array" ref="AO651">IF(ROWS($AN$2:$AN650)&lt;=$AN$2,INDEX($G$3:$G$3000,_xlfn.AGGREGATE(15,3,($B$3:$B$3000=$AM$2)/($B$3:$B$3000=$AM$2)*(ROW($B$3:$B$3000)-ROW($B$2)),ROWS($AN$2:$AN650))),"")</f>
        <v/>
      </c>
      <c r="AP651" s="121"/>
      <c r="AT651" s="111"/>
      <c r="AW651" s="134"/>
      <c r="AX651" s="136"/>
      <c r="AY651" s="134"/>
    </row>
    <row r="652" spans="1:51" s="110" customFormat="1" ht="20" customHeight="1">
      <c r="A652" s="125" t="s">
        <v>185</v>
      </c>
      <c r="B652" s="126" t="s">
        <v>59</v>
      </c>
      <c r="C652" s="127">
        <v>19543</v>
      </c>
      <c r="D652" s="145">
        <v>115202</v>
      </c>
      <c r="E652" s="146" t="s">
        <v>3211</v>
      </c>
      <c r="F652" s="146" t="s">
        <v>3211</v>
      </c>
      <c r="G652" s="147">
        <v>5100</v>
      </c>
      <c r="H652" s="147">
        <v>4</v>
      </c>
      <c r="I652" s="146" t="s">
        <v>209</v>
      </c>
      <c r="J652" s="146" t="s">
        <v>3212</v>
      </c>
      <c r="K652" s="146" t="s">
        <v>3211</v>
      </c>
      <c r="L652" s="147">
        <v>2</v>
      </c>
      <c r="M652" s="147">
        <v>1</v>
      </c>
      <c r="N652" s="146" t="s">
        <v>1544</v>
      </c>
      <c r="O652" s="147">
        <v>60</v>
      </c>
      <c r="P652" s="147">
        <v>4</v>
      </c>
      <c r="Q652" s="147">
        <v>19</v>
      </c>
      <c r="R652" s="146" t="s">
        <v>654</v>
      </c>
      <c r="S652" s="146" t="s">
        <v>655</v>
      </c>
      <c r="T652" s="147">
        <v>244</v>
      </c>
      <c r="U652" s="146" t="s">
        <v>656</v>
      </c>
      <c r="V652" s="146" t="s">
        <v>657</v>
      </c>
      <c r="W652" s="147">
        <v>1</v>
      </c>
      <c r="X652" s="147">
        <v>2</v>
      </c>
      <c r="Y652" s="146" t="s">
        <v>194</v>
      </c>
      <c r="Z652" s="146" t="s">
        <v>195</v>
      </c>
      <c r="AA652" s="146" t="s">
        <v>196</v>
      </c>
      <c r="AB652" s="146" t="s">
        <v>187</v>
      </c>
      <c r="AC652" s="146" t="s">
        <v>187</v>
      </c>
      <c r="AD652" s="148"/>
      <c r="AE652" s="146" t="s">
        <v>209</v>
      </c>
      <c r="AF652" s="147">
        <v>-6.0184100000000003</v>
      </c>
      <c r="AG652" s="149">
        <v>140.85042000000001</v>
      </c>
      <c r="AM652" s="133" t="str" cm="1">
        <f t="array" ref="AM652">IF(ROWS($AN$2:$AN651)&lt;=$AN$2,INDEX($V$3:$V$3000,_xlfn.AGGREGATE(15,3,($B$3:$B$3000=$AM$2)/($B$3:$B$3000=$AM$2)*(ROW($B$3:$B$3000)-ROW($B$2)),ROWS($AN$2:$AN651))),"")</f>
        <v/>
      </c>
      <c r="AN652" s="134" t="str" cm="1">
        <f t="array" ref="AN652">IF(ROWS($AN$2:$AN651)&lt;=$AN$2,INDEX($F$3:$F$3000,_xlfn.AGGREGATE(15,3,($B$3:$B$3000=$AM$2)/($B$3:$B$3000=$AM$2)*(ROW($B$3:$B$3000)-ROW($B$2)),ROWS($AN$2:$AN651))),"")</f>
        <v/>
      </c>
      <c r="AO652" s="135" t="str" cm="1">
        <f t="array" ref="AO652">IF(ROWS($AN$2:$AN651)&lt;=$AN$2,INDEX($G$3:$G$3000,_xlfn.AGGREGATE(15,3,($B$3:$B$3000=$AM$2)/($B$3:$B$3000=$AM$2)*(ROW($B$3:$B$3000)-ROW($B$2)),ROWS($AN$2:$AN651))),"")</f>
        <v/>
      </c>
      <c r="AP652" s="121"/>
      <c r="AT652" s="111"/>
      <c r="AW652" s="134"/>
      <c r="AX652" s="136"/>
      <c r="AY652" s="134"/>
    </row>
    <row r="653" spans="1:51" s="110" customFormat="1" ht="20" customHeight="1">
      <c r="A653" s="125" t="s">
        <v>185</v>
      </c>
      <c r="B653" s="126" t="s">
        <v>59</v>
      </c>
      <c r="C653" s="127">
        <v>18881</v>
      </c>
      <c r="D653" s="145">
        <v>114804</v>
      </c>
      <c r="E653" s="146" t="s">
        <v>3190</v>
      </c>
      <c r="F653" s="146" t="s">
        <v>3190</v>
      </c>
      <c r="G653" s="147">
        <v>5000</v>
      </c>
      <c r="H653" s="147">
        <v>4</v>
      </c>
      <c r="I653" s="146" t="s">
        <v>209</v>
      </c>
      <c r="J653" s="146" t="s">
        <v>3191</v>
      </c>
      <c r="K653" s="146" t="s">
        <v>3192</v>
      </c>
      <c r="L653" s="147">
        <v>4</v>
      </c>
      <c r="M653" s="147">
        <v>1</v>
      </c>
      <c r="N653" s="146" t="s">
        <v>1544</v>
      </c>
      <c r="O653" s="147">
        <v>85</v>
      </c>
      <c r="P653" s="147">
        <v>5</v>
      </c>
      <c r="Q653" s="147">
        <v>19</v>
      </c>
      <c r="R653" s="146" t="s">
        <v>654</v>
      </c>
      <c r="S653" s="146" t="s">
        <v>655</v>
      </c>
      <c r="T653" s="147">
        <v>244</v>
      </c>
      <c r="U653" s="146" t="s">
        <v>656</v>
      </c>
      <c r="V653" s="146" t="s">
        <v>657</v>
      </c>
      <c r="W653" s="147">
        <v>1</v>
      </c>
      <c r="X653" s="147">
        <v>2</v>
      </c>
      <c r="Y653" s="146" t="s">
        <v>194</v>
      </c>
      <c r="Z653" s="146" t="s">
        <v>195</v>
      </c>
      <c r="AA653" s="146" t="s">
        <v>196</v>
      </c>
      <c r="AB653" s="146" t="s">
        <v>187</v>
      </c>
      <c r="AC653" s="146" t="s">
        <v>187</v>
      </c>
      <c r="AD653" s="148"/>
      <c r="AE653" s="146" t="s">
        <v>209</v>
      </c>
      <c r="AF653" s="147">
        <v>-5.9901299999999997</v>
      </c>
      <c r="AG653" s="149">
        <v>138.66952000000001</v>
      </c>
      <c r="AM653" s="133" t="str" cm="1">
        <f t="array" ref="AM653">IF(ROWS($AN$2:$AN652)&lt;=$AN$2,INDEX($V$3:$V$3000,_xlfn.AGGREGATE(15,3,($B$3:$B$3000=$AM$2)/($B$3:$B$3000=$AM$2)*(ROW($B$3:$B$3000)-ROW($B$2)),ROWS($AN$2:$AN652))),"")</f>
        <v/>
      </c>
      <c r="AN653" s="134" t="str" cm="1">
        <f t="array" ref="AN653">IF(ROWS($AN$2:$AN652)&lt;=$AN$2,INDEX($F$3:$F$3000,_xlfn.AGGREGATE(15,3,($B$3:$B$3000=$AM$2)/($B$3:$B$3000=$AM$2)*(ROW($B$3:$B$3000)-ROW($B$2)),ROWS($AN$2:$AN652))),"")</f>
        <v/>
      </c>
      <c r="AO653" s="135" t="str" cm="1">
        <f t="array" ref="AO653">IF(ROWS($AN$2:$AN652)&lt;=$AN$2,INDEX($G$3:$G$3000,_xlfn.AGGREGATE(15,3,($B$3:$B$3000=$AM$2)/($B$3:$B$3000=$AM$2)*(ROW($B$3:$B$3000)-ROW($B$2)),ROWS($AN$2:$AN652))),"")</f>
        <v/>
      </c>
      <c r="AP653" s="121"/>
      <c r="AT653" s="111"/>
      <c r="AW653" s="134"/>
      <c r="AX653" s="136"/>
      <c r="AY653" s="134"/>
    </row>
    <row r="654" spans="1:51" s="110" customFormat="1" ht="20" customHeight="1">
      <c r="A654" s="125" t="s">
        <v>185</v>
      </c>
      <c r="B654" s="126" t="s">
        <v>59</v>
      </c>
      <c r="C654" s="127">
        <v>11725</v>
      </c>
      <c r="D654" s="145">
        <v>102884</v>
      </c>
      <c r="E654" s="146" t="s">
        <v>3152</v>
      </c>
      <c r="F654" s="146" t="s">
        <v>3152</v>
      </c>
      <c r="G654" s="147">
        <v>4800</v>
      </c>
      <c r="H654" s="147">
        <v>4</v>
      </c>
      <c r="I654" s="146" t="s">
        <v>209</v>
      </c>
      <c r="J654" s="146" t="s">
        <v>3153</v>
      </c>
      <c r="K654" s="146" t="s">
        <v>3154</v>
      </c>
      <c r="L654" s="147">
        <v>4</v>
      </c>
      <c r="M654" s="147">
        <v>1</v>
      </c>
      <c r="N654" s="146" t="s">
        <v>1544</v>
      </c>
      <c r="O654" s="147">
        <v>65</v>
      </c>
      <c r="P654" s="147">
        <v>5</v>
      </c>
      <c r="Q654" s="147">
        <v>19</v>
      </c>
      <c r="R654" s="146" t="s">
        <v>654</v>
      </c>
      <c r="S654" s="146" t="s">
        <v>655</v>
      </c>
      <c r="T654" s="147">
        <v>244</v>
      </c>
      <c r="U654" s="146" t="s">
        <v>656</v>
      </c>
      <c r="V654" s="146" t="s">
        <v>657</v>
      </c>
      <c r="W654" s="147">
        <v>1</v>
      </c>
      <c r="X654" s="147">
        <v>2</v>
      </c>
      <c r="Y654" s="146" t="s">
        <v>194</v>
      </c>
      <c r="Z654" s="146" t="s">
        <v>195</v>
      </c>
      <c r="AA654" s="146" t="s">
        <v>196</v>
      </c>
      <c r="AB654" s="146" t="s">
        <v>187</v>
      </c>
      <c r="AC654" s="146" t="s">
        <v>187</v>
      </c>
      <c r="AD654" s="148"/>
      <c r="AE654" s="146" t="s">
        <v>209</v>
      </c>
      <c r="AF654" s="147">
        <v>-4.3588399999999998</v>
      </c>
      <c r="AG654" s="149">
        <v>140.06088</v>
      </c>
      <c r="AM654" s="133" t="str" cm="1">
        <f t="array" ref="AM654">IF(ROWS($AN$2:$AN653)&lt;=$AN$2,INDEX($V$3:$V$3000,_xlfn.AGGREGATE(15,3,($B$3:$B$3000=$AM$2)/($B$3:$B$3000=$AM$2)*(ROW($B$3:$B$3000)-ROW($B$2)),ROWS($AN$2:$AN653))),"")</f>
        <v/>
      </c>
      <c r="AN654" s="134" t="str" cm="1">
        <f t="array" ref="AN654">IF(ROWS($AN$2:$AN653)&lt;=$AN$2,INDEX($F$3:$F$3000,_xlfn.AGGREGATE(15,3,($B$3:$B$3000=$AM$2)/($B$3:$B$3000=$AM$2)*(ROW($B$3:$B$3000)-ROW($B$2)),ROWS($AN$2:$AN653))),"")</f>
        <v/>
      </c>
      <c r="AO654" s="135" t="str" cm="1">
        <f t="array" ref="AO654">IF(ROWS($AN$2:$AN653)&lt;=$AN$2,INDEX($G$3:$G$3000,_xlfn.AGGREGATE(15,3,($B$3:$B$3000=$AM$2)/($B$3:$B$3000=$AM$2)*(ROW($B$3:$B$3000)-ROW($B$2)),ROWS($AN$2:$AN653))),"")</f>
        <v/>
      </c>
      <c r="AP654" s="121"/>
      <c r="AT654" s="111"/>
      <c r="AW654" s="134"/>
      <c r="AX654" s="136"/>
      <c r="AY654" s="134"/>
    </row>
    <row r="655" spans="1:51" s="110" customFormat="1" ht="20" customHeight="1">
      <c r="A655" s="125" t="s">
        <v>185</v>
      </c>
      <c r="B655" s="126" t="s">
        <v>59</v>
      </c>
      <c r="C655" s="127">
        <v>12689</v>
      </c>
      <c r="D655" s="145">
        <v>105006</v>
      </c>
      <c r="E655" s="146" t="s">
        <v>3155</v>
      </c>
      <c r="F655" s="146" t="s">
        <v>3155</v>
      </c>
      <c r="G655" s="147">
        <v>4800</v>
      </c>
      <c r="H655" s="147">
        <v>4</v>
      </c>
      <c r="I655" s="146" t="s">
        <v>209</v>
      </c>
      <c r="J655" s="146" t="s">
        <v>3156</v>
      </c>
      <c r="K655" s="146" t="s">
        <v>3155</v>
      </c>
      <c r="L655" s="147">
        <v>1</v>
      </c>
      <c r="M655" s="147">
        <v>1</v>
      </c>
      <c r="N655" s="146" t="s">
        <v>1544</v>
      </c>
      <c r="O655" s="147">
        <v>65</v>
      </c>
      <c r="P655" s="147">
        <v>4</v>
      </c>
      <c r="Q655" s="147">
        <v>19</v>
      </c>
      <c r="R655" s="146" t="s">
        <v>654</v>
      </c>
      <c r="S655" s="146" t="s">
        <v>655</v>
      </c>
      <c r="T655" s="147">
        <v>244</v>
      </c>
      <c r="U655" s="146" t="s">
        <v>656</v>
      </c>
      <c r="V655" s="146" t="s">
        <v>657</v>
      </c>
      <c r="W655" s="147">
        <v>1</v>
      </c>
      <c r="X655" s="147">
        <v>2</v>
      </c>
      <c r="Y655" s="146" t="s">
        <v>194</v>
      </c>
      <c r="Z655" s="146" t="s">
        <v>195</v>
      </c>
      <c r="AA655" s="146" t="s">
        <v>196</v>
      </c>
      <c r="AB655" s="146" t="s">
        <v>187</v>
      </c>
      <c r="AC655" s="146" t="s">
        <v>187</v>
      </c>
      <c r="AD655" s="148"/>
      <c r="AE655" s="146" t="s">
        <v>209</v>
      </c>
      <c r="AF655" s="147">
        <v>-7.95174</v>
      </c>
      <c r="AG655" s="149">
        <v>138.44793999999999</v>
      </c>
      <c r="AM655" s="133" t="str" cm="1">
        <f t="array" ref="AM655">IF(ROWS($AN$2:$AN654)&lt;=$AN$2,INDEX($V$3:$V$3000,_xlfn.AGGREGATE(15,3,($B$3:$B$3000=$AM$2)/($B$3:$B$3000=$AM$2)*(ROW($B$3:$B$3000)-ROW($B$2)),ROWS($AN$2:$AN654))),"")</f>
        <v/>
      </c>
      <c r="AN655" s="134" t="str" cm="1">
        <f t="array" ref="AN655">IF(ROWS($AN$2:$AN654)&lt;=$AN$2,INDEX($F$3:$F$3000,_xlfn.AGGREGATE(15,3,($B$3:$B$3000=$AM$2)/($B$3:$B$3000=$AM$2)*(ROW($B$3:$B$3000)-ROW($B$2)),ROWS($AN$2:$AN654))),"")</f>
        <v/>
      </c>
      <c r="AO655" s="135" t="str" cm="1">
        <f t="array" ref="AO655">IF(ROWS($AN$2:$AN654)&lt;=$AN$2,INDEX($G$3:$G$3000,_xlfn.AGGREGATE(15,3,($B$3:$B$3000=$AM$2)/($B$3:$B$3000=$AM$2)*(ROW($B$3:$B$3000)-ROW($B$2)),ROWS($AN$2:$AN654))),"")</f>
        <v/>
      </c>
      <c r="AP655" s="121"/>
      <c r="AT655" s="111"/>
      <c r="AW655" s="134"/>
      <c r="AX655" s="136"/>
      <c r="AY655" s="134"/>
    </row>
    <row r="656" spans="1:51" s="110" customFormat="1" ht="20" customHeight="1">
      <c r="A656" s="125" t="s">
        <v>185</v>
      </c>
      <c r="B656" s="126" t="s">
        <v>59</v>
      </c>
      <c r="C656" s="127">
        <v>15845</v>
      </c>
      <c r="D656" s="145">
        <v>110654</v>
      </c>
      <c r="E656" s="146" t="s">
        <v>3163</v>
      </c>
      <c r="F656" s="146" t="s">
        <v>3163</v>
      </c>
      <c r="G656" s="147">
        <v>4800</v>
      </c>
      <c r="H656" s="147">
        <v>4</v>
      </c>
      <c r="I656" s="146" t="s">
        <v>209</v>
      </c>
      <c r="J656" s="146" t="s">
        <v>3164</v>
      </c>
      <c r="K656" s="146" t="s">
        <v>3163</v>
      </c>
      <c r="L656" s="147">
        <v>3</v>
      </c>
      <c r="M656" s="147">
        <v>1</v>
      </c>
      <c r="N656" s="146" t="s">
        <v>1544</v>
      </c>
      <c r="O656" s="147">
        <v>70</v>
      </c>
      <c r="P656" s="147">
        <v>5</v>
      </c>
      <c r="Q656" s="147">
        <v>19</v>
      </c>
      <c r="R656" s="146" t="s">
        <v>654</v>
      </c>
      <c r="S656" s="146" t="s">
        <v>655</v>
      </c>
      <c r="T656" s="147">
        <v>244</v>
      </c>
      <c r="U656" s="146" t="s">
        <v>656</v>
      </c>
      <c r="V656" s="146" t="s">
        <v>657</v>
      </c>
      <c r="W656" s="147">
        <v>1</v>
      </c>
      <c r="X656" s="147">
        <v>2</v>
      </c>
      <c r="Y656" s="146" t="s">
        <v>194</v>
      </c>
      <c r="Z656" s="146" t="s">
        <v>195</v>
      </c>
      <c r="AA656" s="146" t="s">
        <v>196</v>
      </c>
      <c r="AB656" s="146" t="s">
        <v>187</v>
      </c>
      <c r="AC656" s="146" t="s">
        <v>187</v>
      </c>
      <c r="AD656" s="148"/>
      <c r="AE656" s="146" t="s">
        <v>209</v>
      </c>
      <c r="AF656" s="147">
        <v>-5.47783</v>
      </c>
      <c r="AG656" s="149">
        <v>140.46051</v>
      </c>
      <c r="AM656" s="133" t="str" cm="1">
        <f t="array" ref="AM656">IF(ROWS($AN$2:$AN655)&lt;=$AN$2,INDEX($V$3:$V$3000,_xlfn.AGGREGATE(15,3,($B$3:$B$3000=$AM$2)/($B$3:$B$3000=$AM$2)*(ROW($B$3:$B$3000)-ROW($B$2)),ROWS($AN$2:$AN655))),"")</f>
        <v/>
      </c>
      <c r="AN656" s="134" t="str" cm="1">
        <f t="array" ref="AN656">IF(ROWS($AN$2:$AN655)&lt;=$AN$2,INDEX($F$3:$F$3000,_xlfn.AGGREGATE(15,3,($B$3:$B$3000=$AM$2)/($B$3:$B$3000=$AM$2)*(ROW($B$3:$B$3000)-ROW($B$2)),ROWS($AN$2:$AN655))),"")</f>
        <v/>
      </c>
      <c r="AO656" s="135" t="str" cm="1">
        <f t="array" ref="AO656">IF(ROWS($AN$2:$AN655)&lt;=$AN$2,INDEX($G$3:$G$3000,_xlfn.AGGREGATE(15,3,($B$3:$B$3000=$AM$2)/($B$3:$B$3000=$AM$2)*(ROW($B$3:$B$3000)-ROW($B$2)),ROWS($AN$2:$AN655))),"")</f>
        <v/>
      </c>
      <c r="AP656" s="121"/>
      <c r="AT656" s="111"/>
      <c r="AW656" s="134"/>
      <c r="AX656" s="136"/>
      <c r="AY656" s="134"/>
    </row>
    <row r="657" spans="1:51" s="110" customFormat="1" ht="20" customHeight="1">
      <c r="A657" s="125" t="s">
        <v>185</v>
      </c>
      <c r="B657" s="126" t="s">
        <v>59</v>
      </c>
      <c r="C657" s="127">
        <v>12443</v>
      </c>
      <c r="D657" s="145">
        <v>104451</v>
      </c>
      <c r="E657" s="146" t="s">
        <v>3076</v>
      </c>
      <c r="F657" s="146" t="s">
        <v>3076</v>
      </c>
      <c r="G657" s="147">
        <v>4300</v>
      </c>
      <c r="H657" s="147">
        <v>4</v>
      </c>
      <c r="I657" s="146" t="s">
        <v>209</v>
      </c>
      <c r="J657" s="146" t="s">
        <v>3077</v>
      </c>
      <c r="K657" s="146" t="s">
        <v>3076</v>
      </c>
      <c r="L657" s="147">
        <v>1</v>
      </c>
      <c r="M657" s="147">
        <v>1</v>
      </c>
      <c r="N657" s="146" t="s">
        <v>1544</v>
      </c>
      <c r="O657" s="147">
        <v>68</v>
      </c>
      <c r="P657" s="147">
        <v>5</v>
      </c>
      <c r="Q657" s="147">
        <v>19</v>
      </c>
      <c r="R657" s="146" t="s">
        <v>654</v>
      </c>
      <c r="S657" s="146" t="s">
        <v>655</v>
      </c>
      <c r="T657" s="147">
        <v>244</v>
      </c>
      <c r="U657" s="146" t="s">
        <v>656</v>
      </c>
      <c r="V657" s="146" t="s">
        <v>657</v>
      </c>
      <c r="W657" s="147">
        <v>1</v>
      </c>
      <c r="X657" s="147">
        <v>2</v>
      </c>
      <c r="Y657" s="146" t="s">
        <v>194</v>
      </c>
      <c r="Z657" s="146" t="s">
        <v>195</v>
      </c>
      <c r="AA657" s="146" t="s">
        <v>196</v>
      </c>
      <c r="AB657" s="146" t="s">
        <v>187</v>
      </c>
      <c r="AC657" s="146" t="s">
        <v>187</v>
      </c>
      <c r="AD657" s="148"/>
      <c r="AE657" s="146" t="s">
        <v>209</v>
      </c>
      <c r="AF657" s="147">
        <v>-1.3225199999999999</v>
      </c>
      <c r="AG657" s="149">
        <v>131.63310000000001</v>
      </c>
      <c r="AM657" s="133" t="str" cm="1">
        <f t="array" ref="AM657">IF(ROWS($AN$2:$AN656)&lt;=$AN$2,INDEX($V$3:$V$3000,_xlfn.AGGREGATE(15,3,($B$3:$B$3000=$AM$2)/($B$3:$B$3000=$AM$2)*(ROW($B$3:$B$3000)-ROW($B$2)),ROWS($AN$2:$AN656))),"")</f>
        <v/>
      </c>
      <c r="AN657" s="134" t="str" cm="1">
        <f t="array" ref="AN657">IF(ROWS($AN$2:$AN656)&lt;=$AN$2,INDEX($F$3:$F$3000,_xlfn.AGGREGATE(15,3,($B$3:$B$3000=$AM$2)/($B$3:$B$3000=$AM$2)*(ROW($B$3:$B$3000)-ROW($B$2)),ROWS($AN$2:$AN656))),"")</f>
        <v/>
      </c>
      <c r="AO657" s="135" t="str" cm="1">
        <f t="array" ref="AO657">IF(ROWS($AN$2:$AN656)&lt;=$AN$2,INDEX($G$3:$G$3000,_xlfn.AGGREGATE(15,3,($B$3:$B$3000=$AM$2)/($B$3:$B$3000=$AM$2)*(ROW($B$3:$B$3000)-ROW($B$2)),ROWS($AN$2:$AN656))),"")</f>
        <v/>
      </c>
      <c r="AP657" s="121"/>
      <c r="AT657" s="111"/>
      <c r="AW657" s="134"/>
      <c r="AX657" s="136"/>
      <c r="AY657" s="134"/>
    </row>
    <row r="658" spans="1:51" s="110" customFormat="1" ht="20" customHeight="1">
      <c r="A658" s="125" t="s">
        <v>185</v>
      </c>
      <c r="B658" s="126" t="s">
        <v>59</v>
      </c>
      <c r="C658" s="127">
        <v>12794</v>
      </c>
      <c r="D658" s="145">
        <v>105223</v>
      </c>
      <c r="E658" s="146" t="s">
        <v>3048</v>
      </c>
      <c r="F658" s="146" t="s">
        <v>3048</v>
      </c>
      <c r="G658" s="147">
        <v>4100</v>
      </c>
      <c r="H658" s="147">
        <v>4</v>
      </c>
      <c r="I658" s="146" t="s">
        <v>209</v>
      </c>
      <c r="J658" s="146" t="s">
        <v>3049</v>
      </c>
      <c r="K658" s="146" t="s">
        <v>3050</v>
      </c>
      <c r="L658" s="147">
        <v>4</v>
      </c>
      <c r="M658" s="147">
        <v>1</v>
      </c>
      <c r="N658" s="146" t="s">
        <v>1544</v>
      </c>
      <c r="O658" s="147">
        <v>70</v>
      </c>
      <c r="P658" s="147">
        <v>5</v>
      </c>
      <c r="Q658" s="147">
        <v>19</v>
      </c>
      <c r="R658" s="146" t="s">
        <v>654</v>
      </c>
      <c r="S658" s="146" t="s">
        <v>655</v>
      </c>
      <c r="T658" s="147">
        <v>244</v>
      </c>
      <c r="U658" s="146" t="s">
        <v>656</v>
      </c>
      <c r="V658" s="146" t="s">
        <v>657</v>
      </c>
      <c r="W658" s="147">
        <v>1</v>
      </c>
      <c r="X658" s="147">
        <v>2</v>
      </c>
      <c r="Y658" s="146" t="s">
        <v>194</v>
      </c>
      <c r="Z658" s="146" t="s">
        <v>195</v>
      </c>
      <c r="AA658" s="146" t="s">
        <v>196</v>
      </c>
      <c r="AB658" s="146" t="s">
        <v>187</v>
      </c>
      <c r="AC658" s="146" t="s">
        <v>187</v>
      </c>
      <c r="AD658" s="148"/>
      <c r="AE658" s="146" t="s">
        <v>209</v>
      </c>
      <c r="AF658" s="147">
        <v>-4.4614740461902898</v>
      </c>
      <c r="AG658" s="149">
        <v>139.68732543322199</v>
      </c>
      <c r="AM658" s="133" t="str" cm="1">
        <f t="array" ref="AM658">IF(ROWS($AN$2:$AN657)&lt;=$AN$2,INDEX($V$3:$V$3000,_xlfn.AGGREGATE(15,3,($B$3:$B$3000=$AM$2)/($B$3:$B$3000=$AM$2)*(ROW($B$3:$B$3000)-ROW($B$2)),ROWS($AN$2:$AN657))),"")</f>
        <v/>
      </c>
      <c r="AN658" s="134" t="str" cm="1">
        <f t="array" ref="AN658">IF(ROWS($AN$2:$AN657)&lt;=$AN$2,INDEX($F$3:$F$3000,_xlfn.AGGREGATE(15,3,($B$3:$B$3000=$AM$2)/($B$3:$B$3000=$AM$2)*(ROW($B$3:$B$3000)-ROW($B$2)),ROWS($AN$2:$AN657))),"")</f>
        <v/>
      </c>
      <c r="AO658" s="135" t="str" cm="1">
        <f t="array" ref="AO658">IF(ROWS($AN$2:$AN657)&lt;=$AN$2,INDEX($G$3:$G$3000,_xlfn.AGGREGATE(15,3,($B$3:$B$3000=$AM$2)/($B$3:$B$3000=$AM$2)*(ROW($B$3:$B$3000)-ROW($B$2)),ROWS($AN$2:$AN657))),"")</f>
        <v/>
      </c>
      <c r="AP658" s="121"/>
      <c r="AT658" s="111"/>
      <c r="AW658" s="134"/>
      <c r="AX658" s="136"/>
      <c r="AY658" s="134"/>
    </row>
    <row r="659" spans="1:51" s="110" customFormat="1" ht="20" customHeight="1">
      <c r="A659" s="125" t="s">
        <v>185</v>
      </c>
      <c r="B659" s="126" t="s">
        <v>59</v>
      </c>
      <c r="C659" s="127">
        <v>13545</v>
      </c>
      <c r="D659" s="145">
        <v>106338</v>
      </c>
      <c r="E659" s="146" t="s">
        <v>2997</v>
      </c>
      <c r="F659" s="146" t="s">
        <v>2997</v>
      </c>
      <c r="G659" s="147">
        <v>3700</v>
      </c>
      <c r="H659" s="147">
        <v>4</v>
      </c>
      <c r="I659" s="146" t="s">
        <v>209</v>
      </c>
      <c r="J659" s="146" t="s">
        <v>2998</v>
      </c>
      <c r="K659" s="146" t="s">
        <v>2997</v>
      </c>
      <c r="L659" s="147">
        <v>0</v>
      </c>
      <c r="M659" s="147">
        <v>1</v>
      </c>
      <c r="N659" s="146" t="s">
        <v>1544</v>
      </c>
      <c r="O659" s="147">
        <v>64</v>
      </c>
      <c r="P659" s="147">
        <v>6</v>
      </c>
      <c r="Q659" s="147">
        <v>19</v>
      </c>
      <c r="R659" s="146" t="s">
        <v>654</v>
      </c>
      <c r="S659" s="146" t="s">
        <v>655</v>
      </c>
      <c r="T659" s="147">
        <v>244</v>
      </c>
      <c r="U659" s="146" t="s">
        <v>656</v>
      </c>
      <c r="V659" s="146" t="s">
        <v>657</v>
      </c>
      <c r="W659" s="147">
        <v>1</v>
      </c>
      <c r="X659" s="147">
        <v>2</v>
      </c>
      <c r="Y659" s="146" t="s">
        <v>194</v>
      </c>
      <c r="Z659" s="146" t="s">
        <v>195</v>
      </c>
      <c r="AA659" s="146" t="s">
        <v>196</v>
      </c>
      <c r="AB659" s="146" t="s">
        <v>187</v>
      </c>
      <c r="AC659" s="146" t="s">
        <v>187</v>
      </c>
      <c r="AD659" s="148"/>
      <c r="AE659" s="146" t="s">
        <v>209</v>
      </c>
      <c r="AF659" s="147">
        <v>-7.3509099999999998</v>
      </c>
      <c r="AG659" s="149">
        <v>140.49143000000001</v>
      </c>
      <c r="AM659" s="133" t="str" cm="1">
        <f t="array" ref="AM659">IF(ROWS($AN$2:$AN658)&lt;=$AN$2,INDEX($V$3:$V$3000,_xlfn.AGGREGATE(15,3,($B$3:$B$3000=$AM$2)/($B$3:$B$3000=$AM$2)*(ROW($B$3:$B$3000)-ROW($B$2)),ROWS($AN$2:$AN658))),"")</f>
        <v/>
      </c>
      <c r="AN659" s="134" t="str" cm="1">
        <f t="array" ref="AN659">IF(ROWS($AN$2:$AN658)&lt;=$AN$2,INDEX($F$3:$F$3000,_xlfn.AGGREGATE(15,3,($B$3:$B$3000=$AM$2)/($B$3:$B$3000=$AM$2)*(ROW($B$3:$B$3000)-ROW($B$2)),ROWS($AN$2:$AN658))),"")</f>
        <v/>
      </c>
      <c r="AO659" s="135" t="str" cm="1">
        <f t="array" ref="AO659">IF(ROWS($AN$2:$AN658)&lt;=$AN$2,INDEX($G$3:$G$3000,_xlfn.AGGREGATE(15,3,($B$3:$B$3000=$AM$2)/($B$3:$B$3000=$AM$2)*(ROW($B$3:$B$3000)-ROW($B$2)),ROWS($AN$2:$AN658))),"")</f>
        <v/>
      </c>
      <c r="AP659" s="121"/>
      <c r="AT659" s="111"/>
      <c r="AW659" s="134"/>
      <c r="AX659" s="136"/>
      <c r="AY659" s="134"/>
    </row>
    <row r="660" spans="1:51" s="110" customFormat="1" ht="20" customHeight="1">
      <c r="A660" s="125" t="s">
        <v>185</v>
      </c>
      <c r="B660" s="126" t="s">
        <v>59</v>
      </c>
      <c r="C660" s="127">
        <v>13407</v>
      </c>
      <c r="D660" s="145">
        <v>107337</v>
      </c>
      <c r="E660" s="146" t="s">
        <v>2977</v>
      </c>
      <c r="F660" s="146" t="s">
        <v>2977</v>
      </c>
      <c r="G660" s="147">
        <v>3600</v>
      </c>
      <c r="H660" s="147">
        <v>4</v>
      </c>
      <c r="I660" s="146" t="s">
        <v>209</v>
      </c>
      <c r="J660" s="146" t="s">
        <v>2978</v>
      </c>
      <c r="K660" s="146" t="s">
        <v>2977</v>
      </c>
      <c r="L660" s="147">
        <v>3</v>
      </c>
      <c r="M660" s="147">
        <v>1</v>
      </c>
      <c r="N660" s="146" t="s">
        <v>1544</v>
      </c>
      <c r="O660" s="147">
        <v>63</v>
      </c>
      <c r="P660" s="147">
        <v>4</v>
      </c>
      <c r="Q660" s="147">
        <v>19</v>
      </c>
      <c r="R660" s="146" t="s">
        <v>654</v>
      </c>
      <c r="S660" s="146" t="s">
        <v>655</v>
      </c>
      <c r="T660" s="147">
        <v>244</v>
      </c>
      <c r="U660" s="146" t="s">
        <v>656</v>
      </c>
      <c r="V660" s="146" t="s">
        <v>657</v>
      </c>
      <c r="W660" s="147">
        <v>1</v>
      </c>
      <c r="X660" s="147">
        <v>2</v>
      </c>
      <c r="Y660" s="146" t="s">
        <v>194</v>
      </c>
      <c r="Z660" s="146" t="s">
        <v>195</v>
      </c>
      <c r="AA660" s="146" t="s">
        <v>196</v>
      </c>
      <c r="AB660" s="146" t="s">
        <v>187</v>
      </c>
      <c r="AC660" s="146" t="s">
        <v>187</v>
      </c>
      <c r="AD660" s="148"/>
      <c r="AE660" s="146" t="s">
        <v>209</v>
      </c>
      <c r="AF660" s="147">
        <v>-4.1098800000000004</v>
      </c>
      <c r="AG660" s="149">
        <v>139.77069</v>
      </c>
      <c r="AM660" s="133" t="str" cm="1">
        <f t="array" ref="AM660">IF(ROWS($AN$2:$AN659)&lt;=$AN$2,INDEX($V$3:$V$3000,_xlfn.AGGREGATE(15,3,($B$3:$B$3000=$AM$2)/($B$3:$B$3000=$AM$2)*(ROW($B$3:$B$3000)-ROW($B$2)),ROWS($AN$2:$AN659))),"")</f>
        <v/>
      </c>
      <c r="AN660" s="134" t="str" cm="1">
        <f t="array" ref="AN660">IF(ROWS($AN$2:$AN659)&lt;=$AN$2,INDEX($F$3:$F$3000,_xlfn.AGGREGATE(15,3,($B$3:$B$3000=$AM$2)/($B$3:$B$3000=$AM$2)*(ROW($B$3:$B$3000)-ROW($B$2)),ROWS($AN$2:$AN659))),"")</f>
        <v/>
      </c>
      <c r="AO660" s="135" t="str" cm="1">
        <f t="array" ref="AO660">IF(ROWS($AN$2:$AN659)&lt;=$AN$2,INDEX($G$3:$G$3000,_xlfn.AGGREGATE(15,3,($B$3:$B$3000=$AM$2)/($B$3:$B$3000=$AM$2)*(ROW($B$3:$B$3000)-ROW($B$2)),ROWS($AN$2:$AN659))),"")</f>
        <v/>
      </c>
      <c r="AP660" s="121"/>
      <c r="AT660" s="111"/>
      <c r="AW660" s="134"/>
      <c r="AX660" s="136"/>
      <c r="AY660" s="134"/>
    </row>
    <row r="661" spans="1:51" s="110" customFormat="1" ht="20" customHeight="1">
      <c r="A661" s="125" t="s">
        <v>185</v>
      </c>
      <c r="B661" s="126" t="s">
        <v>59</v>
      </c>
      <c r="C661" s="127">
        <v>13916</v>
      </c>
      <c r="D661" s="145">
        <v>107004</v>
      </c>
      <c r="E661" s="146" t="s">
        <v>2935</v>
      </c>
      <c r="F661" s="146" t="s">
        <v>2935</v>
      </c>
      <c r="G661" s="147">
        <v>3300</v>
      </c>
      <c r="H661" s="147">
        <v>4</v>
      </c>
      <c r="I661" s="146" t="s">
        <v>209</v>
      </c>
      <c r="J661" s="146" t="s">
        <v>2936</v>
      </c>
      <c r="K661" s="146" t="s">
        <v>2935</v>
      </c>
      <c r="L661" s="147">
        <v>0</v>
      </c>
      <c r="M661" s="147">
        <v>1</v>
      </c>
      <c r="N661" s="146" t="s">
        <v>1544</v>
      </c>
      <c r="O661" s="147">
        <v>65</v>
      </c>
      <c r="P661" s="147">
        <v>5</v>
      </c>
      <c r="Q661" s="147">
        <v>19</v>
      </c>
      <c r="R661" s="146" t="s">
        <v>654</v>
      </c>
      <c r="S661" s="146" t="s">
        <v>655</v>
      </c>
      <c r="T661" s="147">
        <v>244</v>
      </c>
      <c r="U661" s="146" t="s">
        <v>656</v>
      </c>
      <c r="V661" s="146" t="s">
        <v>657</v>
      </c>
      <c r="W661" s="147">
        <v>1</v>
      </c>
      <c r="X661" s="147">
        <v>2</v>
      </c>
      <c r="Y661" s="146" t="s">
        <v>194</v>
      </c>
      <c r="Z661" s="146" t="s">
        <v>195</v>
      </c>
      <c r="AA661" s="146" t="s">
        <v>196</v>
      </c>
      <c r="AB661" s="146" t="s">
        <v>187</v>
      </c>
      <c r="AC661" s="146" t="s">
        <v>187</v>
      </c>
      <c r="AD661" s="148"/>
      <c r="AE661" s="146" t="s">
        <v>209</v>
      </c>
      <c r="AF661" s="147">
        <v>-2.6854399999999998</v>
      </c>
      <c r="AG661" s="149">
        <v>140.73704000000001</v>
      </c>
      <c r="AM661" s="133" t="str" cm="1">
        <f t="array" ref="AM661">IF(ROWS($AN$2:$AN660)&lt;=$AN$2,INDEX($V$3:$V$3000,_xlfn.AGGREGATE(15,3,($B$3:$B$3000=$AM$2)/($B$3:$B$3000=$AM$2)*(ROW($B$3:$B$3000)-ROW($B$2)),ROWS($AN$2:$AN660))),"")</f>
        <v/>
      </c>
      <c r="AN661" s="134" t="str" cm="1">
        <f t="array" ref="AN661">IF(ROWS($AN$2:$AN660)&lt;=$AN$2,INDEX($F$3:$F$3000,_xlfn.AGGREGATE(15,3,($B$3:$B$3000=$AM$2)/($B$3:$B$3000=$AM$2)*(ROW($B$3:$B$3000)-ROW($B$2)),ROWS($AN$2:$AN660))),"")</f>
        <v/>
      </c>
      <c r="AO661" s="135" t="str" cm="1">
        <f t="array" ref="AO661">IF(ROWS($AN$2:$AN660)&lt;=$AN$2,INDEX($G$3:$G$3000,_xlfn.AGGREGATE(15,3,($B$3:$B$3000=$AM$2)/($B$3:$B$3000=$AM$2)*(ROW($B$3:$B$3000)-ROW($B$2)),ROWS($AN$2:$AN660))),"")</f>
        <v/>
      </c>
      <c r="AP661" s="121"/>
      <c r="AT661" s="111"/>
      <c r="AW661" s="134"/>
      <c r="AX661" s="136"/>
      <c r="AY661" s="134"/>
    </row>
    <row r="662" spans="1:51" s="110" customFormat="1" ht="20" customHeight="1">
      <c r="A662" s="125" t="s">
        <v>185</v>
      </c>
      <c r="B662" s="126" t="s">
        <v>59</v>
      </c>
      <c r="C662" s="127">
        <v>12926</v>
      </c>
      <c r="D662" s="145">
        <v>105540</v>
      </c>
      <c r="E662" s="146" t="s">
        <v>2919</v>
      </c>
      <c r="F662" s="146" t="s">
        <v>2919</v>
      </c>
      <c r="G662" s="147">
        <v>3200</v>
      </c>
      <c r="H662" s="147">
        <v>4</v>
      </c>
      <c r="I662" s="146" t="s">
        <v>209</v>
      </c>
      <c r="J662" s="146" t="s">
        <v>2920</v>
      </c>
      <c r="K662" s="146" t="s">
        <v>2919</v>
      </c>
      <c r="L662" s="147">
        <v>0</v>
      </c>
      <c r="M662" s="147">
        <v>1</v>
      </c>
      <c r="N662" s="146" t="s">
        <v>1544</v>
      </c>
      <c r="O662" s="147">
        <v>65</v>
      </c>
      <c r="P662" s="147">
        <v>5</v>
      </c>
      <c r="Q662" s="147">
        <v>19</v>
      </c>
      <c r="R662" s="146" t="s">
        <v>654</v>
      </c>
      <c r="S662" s="146" t="s">
        <v>655</v>
      </c>
      <c r="T662" s="147">
        <v>244</v>
      </c>
      <c r="U662" s="146" t="s">
        <v>656</v>
      </c>
      <c r="V662" s="146" t="s">
        <v>657</v>
      </c>
      <c r="W662" s="147">
        <v>1</v>
      </c>
      <c r="X662" s="147">
        <v>2</v>
      </c>
      <c r="Y662" s="146" t="s">
        <v>194</v>
      </c>
      <c r="Z662" s="146" t="s">
        <v>195</v>
      </c>
      <c r="AA662" s="146" t="s">
        <v>196</v>
      </c>
      <c r="AB662" s="146" t="s">
        <v>187</v>
      </c>
      <c r="AC662" s="146" t="s">
        <v>187</v>
      </c>
      <c r="AD662" s="148"/>
      <c r="AE662" s="146" t="s">
        <v>209</v>
      </c>
      <c r="AF662" s="147">
        <v>-2.0214400000000001</v>
      </c>
      <c r="AG662" s="149">
        <v>138.85489999999999</v>
      </c>
      <c r="AM662" s="133" t="str" cm="1">
        <f t="array" ref="AM662">IF(ROWS($AN$2:$AN661)&lt;=$AN$2,INDEX($V$3:$V$3000,_xlfn.AGGREGATE(15,3,($B$3:$B$3000=$AM$2)/($B$3:$B$3000=$AM$2)*(ROW($B$3:$B$3000)-ROW($B$2)),ROWS($AN$2:$AN661))),"")</f>
        <v/>
      </c>
      <c r="AN662" s="134" t="str" cm="1">
        <f t="array" ref="AN662">IF(ROWS($AN$2:$AN661)&lt;=$AN$2,INDEX($F$3:$F$3000,_xlfn.AGGREGATE(15,3,($B$3:$B$3000=$AM$2)/($B$3:$B$3000=$AM$2)*(ROW($B$3:$B$3000)-ROW($B$2)),ROWS($AN$2:$AN661))),"")</f>
        <v/>
      </c>
      <c r="AO662" s="135" t="str" cm="1">
        <f t="array" ref="AO662">IF(ROWS($AN$2:$AN661)&lt;=$AN$2,INDEX($G$3:$G$3000,_xlfn.AGGREGATE(15,3,($B$3:$B$3000=$AM$2)/($B$3:$B$3000=$AM$2)*(ROW($B$3:$B$3000)-ROW($B$2)),ROWS($AN$2:$AN661))),"")</f>
        <v/>
      </c>
      <c r="AP662" s="121"/>
      <c r="AT662" s="111"/>
      <c r="AW662" s="134"/>
      <c r="AX662" s="136"/>
      <c r="AY662" s="134"/>
    </row>
    <row r="663" spans="1:51" s="110" customFormat="1" ht="20" customHeight="1">
      <c r="A663" s="125" t="s">
        <v>185</v>
      </c>
      <c r="B663" s="126" t="s">
        <v>59</v>
      </c>
      <c r="C663" s="127">
        <v>14435</v>
      </c>
      <c r="D663" s="145">
        <v>108103</v>
      </c>
      <c r="E663" s="146" t="s">
        <v>2921</v>
      </c>
      <c r="F663" s="146" t="s">
        <v>2921</v>
      </c>
      <c r="G663" s="147">
        <v>3200</v>
      </c>
      <c r="H663" s="147">
        <v>4</v>
      </c>
      <c r="I663" s="146" t="s">
        <v>209</v>
      </c>
      <c r="J663" s="146" t="s">
        <v>2922</v>
      </c>
      <c r="K663" s="146" t="s">
        <v>2921</v>
      </c>
      <c r="L663" s="147">
        <v>1</v>
      </c>
      <c r="M663" s="147">
        <v>1</v>
      </c>
      <c r="N663" s="146" t="s">
        <v>1544</v>
      </c>
      <c r="O663" s="147">
        <v>90</v>
      </c>
      <c r="P663" s="147">
        <v>5</v>
      </c>
      <c r="Q663" s="147">
        <v>19</v>
      </c>
      <c r="R663" s="146" t="s">
        <v>654</v>
      </c>
      <c r="S663" s="146" t="s">
        <v>655</v>
      </c>
      <c r="T663" s="147">
        <v>244</v>
      </c>
      <c r="U663" s="146" t="s">
        <v>656</v>
      </c>
      <c r="V663" s="146" t="s">
        <v>657</v>
      </c>
      <c r="W663" s="147">
        <v>1</v>
      </c>
      <c r="X663" s="147">
        <v>2</v>
      </c>
      <c r="Y663" s="146" t="s">
        <v>194</v>
      </c>
      <c r="Z663" s="146" t="s">
        <v>195</v>
      </c>
      <c r="AA663" s="146" t="s">
        <v>196</v>
      </c>
      <c r="AB663" s="146" t="s">
        <v>187</v>
      </c>
      <c r="AC663" s="146" t="s">
        <v>187</v>
      </c>
      <c r="AD663" s="148"/>
      <c r="AE663" s="146" t="s">
        <v>209</v>
      </c>
      <c r="AF663" s="147">
        <v>-1.6386499999999999</v>
      </c>
      <c r="AG663" s="149">
        <v>135.62354999999999</v>
      </c>
      <c r="AM663" s="133" t="str" cm="1">
        <f t="array" ref="AM663">IF(ROWS($AN$2:$AN662)&lt;=$AN$2,INDEX($V$3:$V$3000,_xlfn.AGGREGATE(15,3,($B$3:$B$3000=$AM$2)/($B$3:$B$3000=$AM$2)*(ROW($B$3:$B$3000)-ROW($B$2)),ROWS($AN$2:$AN662))),"")</f>
        <v/>
      </c>
      <c r="AN663" s="134" t="str" cm="1">
        <f t="array" ref="AN663">IF(ROWS($AN$2:$AN662)&lt;=$AN$2,INDEX($F$3:$F$3000,_xlfn.AGGREGATE(15,3,($B$3:$B$3000=$AM$2)/($B$3:$B$3000=$AM$2)*(ROW($B$3:$B$3000)-ROW($B$2)),ROWS($AN$2:$AN662))),"")</f>
        <v/>
      </c>
      <c r="AO663" s="135" t="str" cm="1">
        <f t="array" ref="AO663">IF(ROWS($AN$2:$AN662)&lt;=$AN$2,INDEX($G$3:$G$3000,_xlfn.AGGREGATE(15,3,($B$3:$B$3000=$AM$2)/($B$3:$B$3000=$AM$2)*(ROW($B$3:$B$3000)-ROW($B$2)),ROWS($AN$2:$AN662))),"")</f>
        <v/>
      </c>
      <c r="AP663" s="121"/>
      <c r="AT663" s="111"/>
      <c r="AW663" s="134"/>
      <c r="AX663" s="136"/>
      <c r="AY663" s="134"/>
    </row>
    <row r="664" spans="1:51" s="110" customFormat="1" ht="20" customHeight="1">
      <c r="A664" s="125" t="s">
        <v>185</v>
      </c>
      <c r="B664" s="126" t="s">
        <v>59</v>
      </c>
      <c r="C664" s="127">
        <v>12880</v>
      </c>
      <c r="D664" s="145">
        <v>105468</v>
      </c>
      <c r="E664" s="146" t="s">
        <v>2901</v>
      </c>
      <c r="F664" s="146" t="s">
        <v>2901</v>
      </c>
      <c r="G664" s="147">
        <v>3100</v>
      </c>
      <c r="H664" s="147">
        <v>4</v>
      </c>
      <c r="I664" s="146" t="s">
        <v>209</v>
      </c>
      <c r="J664" s="146" t="s">
        <v>2902</v>
      </c>
      <c r="K664" s="146" t="s">
        <v>2901</v>
      </c>
      <c r="L664" s="147">
        <v>1</v>
      </c>
      <c r="M664" s="147">
        <v>1</v>
      </c>
      <c r="N664" s="146" t="s">
        <v>1544</v>
      </c>
      <c r="O664" s="147">
        <v>92</v>
      </c>
      <c r="P664" s="147">
        <v>4</v>
      </c>
      <c r="Q664" s="147">
        <v>19</v>
      </c>
      <c r="R664" s="146" t="s">
        <v>654</v>
      </c>
      <c r="S664" s="146" t="s">
        <v>655</v>
      </c>
      <c r="T664" s="147">
        <v>244</v>
      </c>
      <c r="U664" s="146" t="s">
        <v>656</v>
      </c>
      <c r="V664" s="146" t="s">
        <v>657</v>
      </c>
      <c r="W664" s="147">
        <v>1</v>
      </c>
      <c r="X664" s="147">
        <v>2</v>
      </c>
      <c r="Y664" s="146" t="s">
        <v>194</v>
      </c>
      <c r="Z664" s="146" t="s">
        <v>195</v>
      </c>
      <c r="AA664" s="146" t="s">
        <v>196</v>
      </c>
      <c r="AB664" s="146" t="s">
        <v>187</v>
      </c>
      <c r="AC664" s="146" t="s">
        <v>187</v>
      </c>
      <c r="AD664" s="148"/>
      <c r="AE664" s="146" t="s">
        <v>209</v>
      </c>
      <c r="AF664" s="147">
        <v>-1.85406</v>
      </c>
      <c r="AG664" s="149">
        <v>137.04585</v>
      </c>
      <c r="AM664" s="133" t="str" cm="1">
        <f t="array" ref="AM664">IF(ROWS($AN$2:$AN663)&lt;=$AN$2,INDEX($V$3:$V$3000,_xlfn.AGGREGATE(15,3,($B$3:$B$3000=$AM$2)/($B$3:$B$3000=$AM$2)*(ROW($B$3:$B$3000)-ROW($B$2)),ROWS($AN$2:$AN663))),"")</f>
        <v/>
      </c>
      <c r="AN664" s="134" t="str" cm="1">
        <f t="array" ref="AN664">IF(ROWS($AN$2:$AN663)&lt;=$AN$2,INDEX($F$3:$F$3000,_xlfn.AGGREGATE(15,3,($B$3:$B$3000=$AM$2)/($B$3:$B$3000=$AM$2)*(ROW($B$3:$B$3000)-ROW($B$2)),ROWS($AN$2:$AN663))),"")</f>
        <v/>
      </c>
      <c r="AO664" s="135" t="str" cm="1">
        <f t="array" ref="AO664">IF(ROWS($AN$2:$AN663)&lt;=$AN$2,INDEX($G$3:$G$3000,_xlfn.AGGREGATE(15,3,($B$3:$B$3000=$AM$2)/($B$3:$B$3000=$AM$2)*(ROW($B$3:$B$3000)-ROW($B$2)),ROWS($AN$2:$AN663))),"")</f>
        <v/>
      </c>
      <c r="AP664" s="121"/>
      <c r="AT664" s="111"/>
      <c r="AW664" s="134"/>
      <c r="AX664" s="136"/>
      <c r="AY664" s="134"/>
    </row>
    <row r="665" spans="1:51" s="110" customFormat="1" ht="20" customHeight="1">
      <c r="A665" s="125" t="s">
        <v>185</v>
      </c>
      <c r="B665" s="126" t="s">
        <v>59</v>
      </c>
      <c r="C665" s="127">
        <v>16032</v>
      </c>
      <c r="D665" s="145">
        <v>111049</v>
      </c>
      <c r="E665" s="146" t="s">
        <v>2906</v>
      </c>
      <c r="F665" s="146" t="s">
        <v>2906</v>
      </c>
      <c r="G665" s="147">
        <v>3100</v>
      </c>
      <c r="H665" s="147">
        <v>4</v>
      </c>
      <c r="I665" s="146" t="s">
        <v>209</v>
      </c>
      <c r="J665" s="146" t="s">
        <v>2907</v>
      </c>
      <c r="K665" s="146" t="s">
        <v>2906</v>
      </c>
      <c r="L665" s="147">
        <v>0</v>
      </c>
      <c r="M665" s="147">
        <v>1</v>
      </c>
      <c r="N665" s="146" t="s">
        <v>1544</v>
      </c>
      <c r="O665" s="147">
        <v>70</v>
      </c>
      <c r="P665" s="147">
        <v>9</v>
      </c>
      <c r="Q665" s="147">
        <v>19</v>
      </c>
      <c r="R665" s="146" t="s">
        <v>654</v>
      </c>
      <c r="S665" s="146" t="s">
        <v>655</v>
      </c>
      <c r="T665" s="147">
        <v>244</v>
      </c>
      <c r="U665" s="146" t="s">
        <v>656</v>
      </c>
      <c r="V665" s="146" t="s">
        <v>657</v>
      </c>
      <c r="W665" s="147">
        <v>2</v>
      </c>
      <c r="X665" s="147">
        <v>2</v>
      </c>
      <c r="Y665" s="146" t="s">
        <v>194</v>
      </c>
      <c r="Z665" s="146" t="s">
        <v>195</v>
      </c>
      <c r="AA665" s="146" t="s">
        <v>196</v>
      </c>
      <c r="AB665" s="146" t="s">
        <v>187</v>
      </c>
      <c r="AC665" s="146" t="s">
        <v>187</v>
      </c>
      <c r="AD665" s="148"/>
      <c r="AE665" s="146" t="s">
        <v>209</v>
      </c>
      <c r="AF665" s="147">
        <v>-7.7019099999999998</v>
      </c>
      <c r="AG665" s="149">
        <v>140.88077000000001</v>
      </c>
      <c r="AM665" s="133" t="str" cm="1">
        <f t="array" ref="AM665">IF(ROWS($AN$2:$AN664)&lt;=$AN$2,INDEX($V$3:$V$3000,_xlfn.AGGREGATE(15,3,($B$3:$B$3000=$AM$2)/($B$3:$B$3000=$AM$2)*(ROW($B$3:$B$3000)-ROW($B$2)),ROWS($AN$2:$AN664))),"")</f>
        <v/>
      </c>
      <c r="AN665" s="134" t="str" cm="1">
        <f t="array" ref="AN665">IF(ROWS($AN$2:$AN664)&lt;=$AN$2,INDEX($F$3:$F$3000,_xlfn.AGGREGATE(15,3,($B$3:$B$3000=$AM$2)/($B$3:$B$3000=$AM$2)*(ROW($B$3:$B$3000)-ROW($B$2)),ROWS($AN$2:$AN664))),"")</f>
        <v/>
      </c>
      <c r="AO665" s="135" t="str" cm="1">
        <f t="array" ref="AO665">IF(ROWS($AN$2:$AN664)&lt;=$AN$2,INDEX($G$3:$G$3000,_xlfn.AGGREGATE(15,3,($B$3:$B$3000=$AM$2)/($B$3:$B$3000=$AM$2)*(ROW($B$3:$B$3000)-ROW($B$2)),ROWS($AN$2:$AN664))),"")</f>
        <v/>
      </c>
      <c r="AP665" s="121"/>
      <c r="AT665" s="111"/>
      <c r="AW665" s="134"/>
      <c r="AX665" s="136"/>
      <c r="AY665" s="134"/>
    </row>
    <row r="666" spans="1:51" s="110" customFormat="1" ht="20" customHeight="1">
      <c r="A666" s="125" t="s">
        <v>185</v>
      </c>
      <c r="B666" s="126" t="s">
        <v>59</v>
      </c>
      <c r="C666" s="127">
        <v>10460</v>
      </c>
      <c r="D666" s="145">
        <v>100565</v>
      </c>
      <c r="E666" s="146" t="s">
        <v>2873</v>
      </c>
      <c r="F666" s="146" t="s">
        <v>2873</v>
      </c>
      <c r="G666" s="147">
        <v>3000</v>
      </c>
      <c r="H666" s="147">
        <v>4</v>
      </c>
      <c r="I666" s="146" t="s">
        <v>209</v>
      </c>
      <c r="J666" s="146" t="s">
        <v>2874</v>
      </c>
      <c r="K666" s="146" t="s">
        <v>2873</v>
      </c>
      <c r="L666" s="147">
        <v>4</v>
      </c>
      <c r="M666" s="147">
        <v>1</v>
      </c>
      <c r="N666" s="146" t="s">
        <v>1544</v>
      </c>
      <c r="O666" s="147">
        <v>68</v>
      </c>
      <c r="P666" s="147">
        <v>4</v>
      </c>
      <c r="Q666" s="147">
        <v>19</v>
      </c>
      <c r="R666" s="146" t="s">
        <v>654</v>
      </c>
      <c r="S666" s="146" t="s">
        <v>655</v>
      </c>
      <c r="T666" s="147">
        <v>244</v>
      </c>
      <c r="U666" s="146" t="s">
        <v>656</v>
      </c>
      <c r="V666" s="146" t="s">
        <v>657</v>
      </c>
      <c r="W666" s="147">
        <v>1</v>
      </c>
      <c r="X666" s="147">
        <v>2</v>
      </c>
      <c r="Y666" s="146" t="s">
        <v>194</v>
      </c>
      <c r="Z666" s="146" t="s">
        <v>195</v>
      </c>
      <c r="AA666" s="146" t="s">
        <v>196</v>
      </c>
      <c r="AB666" s="146" t="s">
        <v>187</v>
      </c>
      <c r="AC666" s="146" t="s">
        <v>187</v>
      </c>
      <c r="AD666" s="148"/>
      <c r="AE666" s="146" t="s">
        <v>209</v>
      </c>
      <c r="AF666" s="147">
        <v>-5.6172700000000004</v>
      </c>
      <c r="AG666" s="149">
        <v>138.59298999999999</v>
      </c>
      <c r="AM666" s="133" t="str" cm="1">
        <f t="array" ref="AM666">IF(ROWS($AN$2:$AN665)&lt;=$AN$2,INDEX($V$3:$V$3000,_xlfn.AGGREGATE(15,3,($B$3:$B$3000=$AM$2)/($B$3:$B$3000=$AM$2)*(ROW($B$3:$B$3000)-ROW($B$2)),ROWS($AN$2:$AN665))),"")</f>
        <v/>
      </c>
      <c r="AN666" s="134" t="str" cm="1">
        <f t="array" ref="AN666">IF(ROWS($AN$2:$AN665)&lt;=$AN$2,INDEX($F$3:$F$3000,_xlfn.AGGREGATE(15,3,($B$3:$B$3000=$AM$2)/($B$3:$B$3000=$AM$2)*(ROW($B$3:$B$3000)-ROW($B$2)),ROWS($AN$2:$AN665))),"")</f>
        <v/>
      </c>
      <c r="AO666" s="135" t="str" cm="1">
        <f t="array" ref="AO666">IF(ROWS($AN$2:$AN665)&lt;=$AN$2,INDEX($G$3:$G$3000,_xlfn.AGGREGATE(15,3,($B$3:$B$3000=$AM$2)/($B$3:$B$3000=$AM$2)*(ROW($B$3:$B$3000)-ROW($B$2)),ROWS($AN$2:$AN665))),"")</f>
        <v/>
      </c>
      <c r="AP666" s="121"/>
      <c r="AT666" s="111"/>
      <c r="AW666" s="134"/>
      <c r="AX666" s="136"/>
      <c r="AY666" s="134"/>
    </row>
    <row r="667" spans="1:51" s="110" customFormat="1" ht="20" customHeight="1">
      <c r="A667" s="125" t="s">
        <v>185</v>
      </c>
      <c r="B667" s="126" t="s">
        <v>59</v>
      </c>
      <c r="C667" s="127">
        <v>15849</v>
      </c>
      <c r="D667" s="145">
        <v>110660</v>
      </c>
      <c r="E667" s="146" t="s">
        <v>2879</v>
      </c>
      <c r="F667" s="146" t="s">
        <v>2879</v>
      </c>
      <c r="G667" s="147">
        <v>3000</v>
      </c>
      <c r="H667" s="147">
        <v>4</v>
      </c>
      <c r="I667" s="146" t="s">
        <v>209</v>
      </c>
      <c r="J667" s="146" t="s">
        <v>2415</v>
      </c>
      <c r="K667" s="146" t="s">
        <v>2416</v>
      </c>
      <c r="L667" s="147">
        <v>3</v>
      </c>
      <c r="M667" s="147">
        <v>1</v>
      </c>
      <c r="N667" s="146" t="s">
        <v>1544</v>
      </c>
      <c r="O667" s="147">
        <v>68</v>
      </c>
      <c r="P667" s="147">
        <v>5</v>
      </c>
      <c r="Q667" s="147">
        <v>19</v>
      </c>
      <c r="R667" s="146" t="s">
        <v>654</v>
      </c>
      <c r="S667" s="146" t="s">
        <v>655</v>
      </c>
      <c r="T667" s="147">
        <v>244</v>
      </c>
      <c r="U667" s="146" t="s">
        <v>656</v>
      </c>
      <c r="V667" s="146" t="s">
        <v>657</v>
      </c>
      <c r="W667" s="147">
        <v>1</v>
      </c>
      <c r="X667" s="147">
        <v>2</v>
      </c>
      <c r="Y667" s="146" t="s">
        <v>194</v>
      </c>
      <c r="Z667" s="146" t="s">
        <v>195</v>
      </c>
      <c r="AA667" s="146" t="s">
        <v>196</v>
      </c>
      <c r="AB667" s="146" t="s">
        <v>187</v>
      </c>
      <c r="AC667" s="146" t="s">
        <v>187</v>
      </c>
      <c r="AD667" s="148"/>
      <c r="AE667" s="146" t="s">
        <v>209</v>
      </c>
      <c r="AF667" s="147">
        <v>-4.17163230478707</v>
      </c>
      <c r="AG667" s="149">
        <v>139.556205484895</v>
      </c>
      <c r="AM667" s="133" t="str" cm="1">
        <f t="array" ref="AM667">IF(ROWS($AN$2:$AN666)&lt;=$AN$2,INDEX($V$3:$V$3000,_xlfn.AGGREGATE(15,3,($B$3:$B$3000=$AM$2)/($B$3:$B$3000=$AM$2)*(ROW($B$3:$B$3000)-ROW($B$2)),ROWS($AN$2:$AN666))),"")</f>
        <v/>
      </c>
      <c r="AN667" s="134" t="str" cm="1">
        <f t="array" ref="AN667">IF(ROWS($AN$2:$AN666)&lt;=$AN$2,INDEX($F$3:$F$3000,_xlfn.AGGREGATE(15,3,($B$3:$B$3000=$AM$2)/($B$3:$B$3000=$AM$2)*(ROW($B$3:$B$3000)-ROW($B$2)),ROWS($AN$2:$AN666))),"")</f>
        <v/>
      </c>
      <c r="AO667" s="135" t="str" cm="1">
        <f t="array" ref="AO667">IF(ROWS($AN$2:$AN666)&lt;=$AN$2,INDEX($G$3:$G$3000,_xlfn.AGGREGATE(15,3,($B$3:$B$3000=$AM$2)/($B$3:$B$3000=$AM$2)*(ROW($B$3:$B$3000)-ROW($B$2)),ROWS($AN$2:$AN666))),"")</f>
        <v/>
      </c>
      <c r="AP667" s="121"/>
      <c r="AT667" s="111"/>
      <c r="AW667" s="134"/>
      <c r="AX667" s="136"/>
      <c r="AY667" s="134"/>
    </row>
    <row r="668" spans="1:51" s="110" customFormat="1" ht="20" customHeight="1">
      <c r="A668" s="125" t="s">
        <v>185</v>
      </c>
      <c r="B668" s="126" t="s">
        <v>59</v>
      </c>
      <c r="C668" s="127">
        <v>19495</v>
      </c>
      <c r="D668" s="145">
        <v>115133</v>
      </c>
      <c r="E668" s="146" t="s">
        <v>2859</v>
      </c>
      <c r="F668" s="146" t="s">
        <v>2859</v>
      </c>
      <c r="G668" s="147">
        <v>2900</v>
      </c>
      <c r="H668" s="147">
        <v>4</v>
      </c>
      <c r="I668" s="146" t="s">
        <v>209</v>
      </c>
      <c r="J668" s="146" t="s">
        <v>2860</v>
      </c>
      <c r="K668" s="146" t="s">
        <v>2859</v>
      </c>
      <c r="L668" s="147">
        <v>1</v>
      </c>
      <c r="M668" s="147">
        <v>1</v>
      </c>
      <c r="N668" s="146" t="s">
        <v>1544</v>
      </c>
      <c r="O668" s="147">
        <v>72</v>
      </c>
      <c r="P668" s="147">
        <v>6</v>
      </c>
      <c r="Q668" s="147">
        <v>19</v>
      </c>
      <c r="R668" s="146" t="s">
        <v>654</v>
      </c>
      <c r="S668" s="146" t="s">
        <v>655</v>
      </c>
      <c r="T668" s="147">
        <v>244</v>
      </c>
      <c r="U668" s="146" t="s">
        <v>656</v>
      </c>
      <c r="V668" s="146" t="s">
        <v>657</v>
      </c>
      <c r="W668" s="147">
        <v>1</v>
      </c>
      <c r="X668" s="147">
        <v>2</v>
      </c>
      <c r="Y668" s="146" t="s">
        <v>194</v>
      </c>
      <c r="Z668" s="146" t="s">
        <v>195</v>
      </c>
      <c r="AA668" s="146" t="s">
        <v>196</v>
      </c>
      <c r="AB668" s="146" t="s">
        <v>187</v>
      </c>
      <c r="AC668" s="146" t="s">
        <v>187</v>
      </c>
      <c r="AD668" s="148"/>
      <c r="AE668" s="146" t="s">
        <v>209</v>
      </c>
      <c r="AF668" s="147">
        <v>-6.7492799999999997</v>
      </c>
      <c r="AG668" s="149">
        <v>140.12040999999999</v>
      </c>
      <c r="AM668" s="133" t="str" cm="1">
        <f t="array" ref="AM668">IF(ROWS($AN$2:$AN667)&lt;=$AN$2,INDEX($V$3:$V$3000,_xlfn.AGGREGATE(15,3,($B$3:$B$3000=$AM$2)/($B$3:$B$3000=$AM$2)*(ROW($B$3:$B$3000)-ROW($B$2)),ROWS($AN$2:$AN667))),"")</f>
        <v/>
      </c>
      <c r="AN668" s="134" t="str" cm="1">
        <f t="array" ref="AN668">IF(ROWS($AN$2:$AN667)&lt;=$AN$2,INDEX($F$3:$F$3000,_xlfn.AGGREGATE(15,3,($B$3:$B$3000=$AM$2)/($B$3:$B$3000=$AM$2)*(ROW($B$3:$B$3000)-ROW($B$2)),ROWS($AN$2:$AN667))),"")</f>
        <v/>
      </c>
      <c r="AO668" s="135" t="str" cm="1">
        <f t="array" ref="AO668">IF(ROWS($AN$2:$AN667)&lt;=$AN$2,INDEX($G$3:$G$3000,_xlfn.AGGREGATE(15,3,($B$3:$B$3000=$AM$2)/($B$3:$B$3000=$AM$2)*(ROW($B$3:$B$3000)-ROW($B$2)),ROWS($AN$2:$AN667))),"")</f>
        <v/>
      </c>
      <c r="AP668" s="121"/>
      <c r="AT668" s="111"/>
      <c r="AW668" s="134"/>
      <c r="AX668" s="136"/>
      <c r="AY668" s="134"/>
    </row>
    <row r="669" spans="1:51" s="110" customFormat="1" ht="20" customHeight="1">
      <c r="A669" s="125" t="s">
        <v>185</v>
      </c>
      <c r="B669" s="126" t="s">
        <v>59</v>
      </c>
      <c r="C669" s="127">
        <v>10671</v>
      </c>
      <c r="D669" s="145">
        <v>101029</v>
      </c>
      <c r="E669" s="146" t="s">
        <v>2861</v>
      </c>
      <c r="F669" s="146" t="s">
        <v>2861</v>
      </c>
      <c r="G669" s="147">
        <v>2900</v>
      </c>
      <c r="H669" s="147">
        <v>4</v>
      </c>
      <c r="I669" s="146" t="s">
        <v>209</v>
      </c>
      <c r="J669" s="146" t="s">
        <v>2862</v>
      </c>
      <c r="K669" s="146" t="s">
        <v>2863</v>
      </c>
      <c r="L669" s="147">
        <v>1</v>
      </c>
      <c r="M669" s="147">
        <v>1</v>
      </c>
      <c r="N669" s="146" t="s">
        <v>1544</v>
      </c>
      <c r="O669" s="147">
        <v>65</v>
      </c>
      <c r="P669" s="147">
        <v>5</v>
      </c>
      <c r="Q669" s="147">
        <v>19</v>
      </c>
      <c r="R669" s="146" t="s">
        <v>654</v>
      </c>
      <c r="S669" s="146" t="s">
        <v>655</v>
      </c>
      <c r="T669" s="147">
        <v>244</v>
      </c>
      <c r="U669" s="146" t="s">
        <v>656</v>
      </c>
      <c r="V669" s="146" t="s">
        <v>657</v>
      </c>
      <c r="W669" s="147">
        <v>1</v>
      </c>
      <c r="X669" s="147">
        <v>2</v>
      </c>
      <c r="Y669" s="146" t="s">
        <v>194</v>
      </c>
      <c r="Z669" s="146" t="s">
        <v>195</v>
      </c>
      <c r="AA669" s="146" t="s">
        <v>196</v>
      </c>
      <c r="AB669" s="146" t="s">
        <v>187</v>
      </c>
      <c r="AC669" s="146" t="s">
        <v>187</v>
      </c>
      <c r="AD669" s="148"/>
      <c r="AE669" s="146" t="s">
        <v>209</v>
      </c>
      <c r="AF669" s="147">
        <v>-1.73291</v>
      </c>
      <c r="AG669" s="149">
        <v>137.71793</v>
      </c>
      <c r="AM669" s="133" t="str" cm="1">
        <f t="array" ref="AM669">IF(ROWS($AN$2:$AN668)&lt;=$AN$2,INDEX($V$3:$V$3000,_xlfn.AGGREGATE(15,3,($B$3:$B$3000=$AM$2)/($B$3:$B$3000=$AM$2)*(ROW($B$3:$B$3000)-ROW($B$2)),ROWS($AN$2:$AN668))),"")</f>
        <v/>
      </c>
      <c r="AN669" s="134" t="str" cm="1">
        <f t="array" ref="AN669">IF(ROWS($AN$2:$AN668)&lt;=$AN$2,INDEX($F$3:$F$3000,_xlfn.AGGREGATE(15,3,($B$3:$B$3000=$AM$2)/($B$3:$B$3000=$AM$2)*(ROW($B$3:$B$3000)-ROW($B$2)),ROWS($AN$2:$AN668))),"")</f>
        <v/>
      </c>
      <c r="AO669" s="135" t="str" cm="1">
        <f t="array" ref="AO669">IF(ROWS($AN$2:$AN668)&lt;=$AN$2,INDEX($G$3:$G$3000,_xlfn.AGGREGATE(15,3,($B$3:$B$3000=$AM$2)/($B$3:$B$3000=$AM$2)*(ROW($B$3:$B$3000)-ROW($B$2)),ROWS($AN$2:$AN668))),"")</f>
        <v/>
      </c>
      <c r="AP669" s="121"/>
      <c r="AT669" s="111"/>
      <c r="AW669" s="134"/>
      <c r="AX669" s="136"/>
      <c r="AY669" s="134"/>
    </row>
    <row r="670" spans="1:51" s="110" customFormat="1" ht="20" customHeight="1">
      <c r="A670" s="125" t="s">
        <v>185</v>
      </c>
      <c r="B670" s="126" t="s">
        <v>59</v>
      </c>
      <c r="C670" s="127">
        <v>13395</v>
      </c>
      <c r="D670" s="145">
        <v>107323</v>
      </c>
      <c r="E670" s="146" t="s">
        <v>2864</v>
      </c>
      <c r="F670" s="146" t="s">
        <v>2864</v>
      </c>
      <c r="G670" s="147">
        <v>2900</v>
      </c>
      <c r="H670" s="147">
        <v>4</v>
      </c>
      <c r="I670" s="146" t="s">
        <v>209</v>
      </c>
      <c r="J670" s="146" t="s">
        <v>254</v>
      </c>
      <c r="K670" s="146" t="s">
        <v>255</v>
      </c>
      <c r="L670" s="147">
        <v>3</v>
      </c>
      <c r="M670" s="147">
        <v>1</v>
      </c>
      <c r="N670" s="146" t="s">
        <v>1544</v>
      </c>
      <c r="O670" s="147">
        <v>64</v>
      </c>
      <c r="P670" s="147">
        <v>8</v>
      </c>
      <c r="Q670" s="147">
        <v>19</v>
      </c>
      <c r="R670" s="146" t="s">
        <v>654</v>
      </c>
      <c r="S670" s="146" t="s">
        <v>655</v>
      </c>
      <c r="T670" s="147">
        <v>244</v>
      </c>
      <c r="U670" s="146" t="s">
        <v>656</v>
      </c>
      <c r="V670" s="146" t="s">
        <v>657</v>
      </c>
      <c r="W670" s="147">
        <v>1</v>
      </c>
      <c r="X670" s="147">
        <v>2</v>
      </c>
      <c r="Y670" s="146" t="s">
        <v>194</v>
      </c>
      <c r="Z670" s="146" t="s">
        <v>195</v>
      </c>
      <c r="AA670" s="146" t="s">
        <v>196</v>
      </c>
      <c r="AB670" s="146" t="s">
        <v>187</v>
      </c>
      <c r="AC670" s="146" t="s">
        <v>187</v>
      </c>
      <c r="AD670" s="148"/>
      <c r="AE670" s="146" t="s">
        <v>209</v>
      </c>
      <c r="AF670" s="147">
        <v>-3.20857867766592</v>
      </c>
      <c r="AG670" s="149">
        <v>128.96914816745101</v>
      </c>
      <c r="AM670" s="133" t="str" cm="1">
        <f t="array" ref="AM670">IF(ROWS($AN$2:$AN669)&lt;=$AN$2,INDEX($V$3:$V$3000,_xlfn.AGGREGATE(15,3,($B$3:$B$3000=$AM$2)/($B$3:$B$3000=$AM$2)*(ROW($B$3:$B$3000)-ROW($B$2)),ROWS($AN$2:$AN669))),"")</f>
        <v/>
      </c>
      <c r="AN670" s="134" t="str" cm="1">
        <f t="array" ref="AN670">IF(ROWS($AN$2:$AN669)&lt;=$AN$2,INDEX($F$3:$F$3000,_xlfn.AGGREGATE(15,3,($B$3:$B$3000=$AM$2)/($B$3:$B$3000=$AM$2)*(ROW($B$3:$B$3000)-ROW($B$2)),ROWS($AN$2:$AN669))),"")</f>
        <v/>
      </c>
      <c r="AO670" s="135" t="str" cm="1">
        <f t="array" ref="AO670">IF(ROWS($AN$2:$AN669)&lt;=$AN$2,INDEX($G$3:$G$3000,_xlfn.AGGREGATE(15,3,($B$3:$B$3000=$AM$2)/($B$3:$B$3000=$AM$2)*(ROW($B$3:$B$3000)-ROW($B$2)),ROWS($AN$2:$AN669))),"")</f>
        <v/>
      </c>
      <c r="AP670" s="121"/>
      <c r="AT670" s="111"/>
      <c r="AW670" s="134"/>
      <c r="AX670" s="136"/>
      <c r="AY670" s="134"/>
    </row>
    <row r="671" spans="1:51" s="110" customFormat="1" ht="20" customHeight="1">
      <c r="A671" s="125" t="s">
        <v>185</v>
      </c>
      <c r="B671" s="126" t="s">
        <v>59</v>
      </c>
      <c r="C671" s="127">
        <v>13534</v>
      </c>
      <c r="D671" s="145">
        <v>106319</v>
      </c>
      <c r="E671" s="146" t="s">
        <v>2841</v>
      </c>
      <c r="F671" s="146" t="s">
        <v>2841</v>
      </c>
      <c r="G671" s="147">
        <v>2700</v>
      </c>
      <c r="H671" s="147">
        <v>4</v>
      </c>
      <c r="I671" s="146" t="s">
        <v>209</v>
      </c>
      <c r="J671" s="146" t="s">
        <v>2842</v>
      </c>
      <c r="K671" s="146" t="s">
        <v>2841</v>
      </c>
      <c r="L671" s="147">
        <v>1</v>
      </c>
      <c r="M671" s="147">
        <v>1</v>
      </c>
      <c r="N671" s="146" t="s">
        <v>1544</v>
      </c>
      <c r="O671" s="147">
        <v>94</v>
      </c>
      <c r="P671" s="147">
        <v>4</v>
      </c>
      <c r="Q671" s="147">
        <v>19</v>
      </c>
      <c r="R671" s="146" t="s">
        <v>654</v>
      </c>
      <c r="S671" s="146" t="s">
        <v>655</v>
      </c>
      <c r="T671" s="147">
        <v>244</v>
      </c>
      <c r="U671" s="146" t="s">
        <v>656</v>
      </c>
      <c r="V671" s="146" t="s">
        <v>657</v>
      </c>
      <c r="W671" s="147">
        <v>1</v>
      </c>
      <c r="X671" s="147">
        <v>2</v>
      </c>
      <c r="Y671" s="146" t="s">
        <v>194</v>
      </c>
      <c r="Z671" s="146" t="s">
        <v>195</v>
      </c>
      <c r="AA671" s="146" t="s">
        <v>196</v>
      </c>
      <c r="AB671" s="146" t="s">
        <v>187</v>
      </c>
      <c r="AC671" s="146" t="s">
        <v>187</v>
      </c>
      <c r="AD671" s="148"/>
      <c r="AE671" s="146" t="s">
        <v>209</v>
      </c>
      <c r="AF671" s="147">
        <v>-1.6706300000000001</v>
      </c>
      <c r="AG671" s="149">
        <v>135.78307000000001</v>
      </c>
      <c r="AM671" s="133" t="str" cm="1">
        <f t="array" ref="AM671">IF(ROWS($AN$2:$AN670)&lt;=$AN$2,INDEX($V$3:$V$3000,_xlfn.AGGREGATE(15,3,($B$3:$B$3000=$AM$2)/($B$3:$B$3000=$AM$2)*(ROW($B$3:$B$3000)-ROW($B$2)),ROWS($AN$2:$AN670))),"")</f>
        <v/>
      </c>
      <c r="AN671" s="134" t="str" cm="1">
        <f t="array" ref="AN671">IF(ROWS($AN$2:$AN670)&lt;=$AN$2,INDEX($F$3:$F$3000,_xlfn.AGGREGATE(15,3,($B$3:$B$3000=$AM$2)/($B$3:$B$3000=$AM$2)*(ROW($B$3:$B$3000)-ROW($B$2)),ROWS($AN$2:$AN670))),"")</f>
        <v/>
      </c>
      <c r="AO671" s="135" t="str" cm="1">
        <f t="array" ref="AO671">IF(ROWS($AN$2:$AN670)&lt;=$AN$2,INDEX($G$3:$G$3000,_xlfn.AGGREGATE(15,3,($B$3:$B$3000=$AM$2)/($B$3:$B$3000=$AM$2)*(ROW($B$3:$B$3000)-ROW($B$2)),ROWS($AN$2:$AN670))),"")</f>
        <v/>
      </c>
      <c r="AP671" s="121"/>
      <c r="AT671" s="111"/>
      <c r="AW671" s="134"/>
      <c r="AX671" s="136"/>
      <c r="AY671" s="134"/>
    </row>
    <row r="672" spans="1:51" s="110" customFormat="1" ht="20" customHeight="1">
      <c r="A672" s="125" t="s">
        <v>185</v>
      </c>
      <c r="B672" s="126" t="s">
        <v>59</v>
      </c>
      <c r="C672" s="127">
        <v>15730</v>
      </c>
      <c r="D672" s="145">
        <v>110426</v>
      </c>
      <c r="E672" s="146" t="s">
        <v>2843</v>
      </c>
      <c r="F672" s="146" t="s">
        <v>2844</v>
      </c>
      <c r="G672" s="147">
        <v>2700</v>
      </c>
      <c r="H672" s="147">
        <v>4</v>
      </c>
      <c r="I672" s="146" t="s">
        <v>209</v>
      </c>
      <c r="J672" s="146" t="s">
        <v>2845</v>
      </c>
      <c r="K672" s="146" t="s">
        <v>2846</v>
      </c>
      <c r="L672" s="147">
        <v>4</v>
      </c>
      <c r="M672" s="147">
        <v>1</v>
      </c>
      <c r="N672" s="146" t="s">
        <v>1544</v>
      </c>
      <c r="O672" s="147">
        <v>65</v>
      </c>
      <c r="P672" s="147">
        <v>3</v>
      </c>
      <c r="Q672" s="147">
        <v>19</v>
      </c>
      <c r="R672" s="146" t="s">
        <v>654</v>
      </c>
      <c r="S672" s="146" t="s">
        <v>655</v>
      </c>
      <c r="T672" s="147">
        <v>244</v>
      </c>
      <c r="U672" s="146" t="s">
        <v>656</v>
      </c>
      <c r="V672" s="146" t="s">
        <v>657</v>
      </c>
      <c r="W672" s="147">
        <v>1</v>
      </c>
      <c r="X672" s="147">
        <v>2</v>
      </c>
      <c r="Y672" s="146" t="s">
        <v>194</v>
      </c>
      <c r="Z672" s="146" t="s">
        <v>195</v>
      </c>
      <c r="AA672" s="146" t="s">
        <v>196</v>
      </c>
      <c r="AB672" s="146" t="s">
        <v>187</v>
      </c>
      <c r="AC672" s="146" t="s">
        <v>187</v>
      </c>
      <c r="AD672" s="148"/>
      <c r="AE672" s="146" t="s">
        <v>209</v>
      </c>
      <c r="AF672" s="147">
        <v>-2.6914500000000001</v>
      </c>
      <c r="AG672" s="149">
        <v>139.90262000000001</v>
      </c>
      <c r="AM672" s="133" t="str" cm="1">
        <f t="array" ref="AM672">IF(ROWS($AN$2:$AN671)&lt;=$AN$2,INDEX($V$3:$V$3000,_xlfn.AGGREGATE(15,3,($B$3:$B$3000=$AM$2)/($B$3:$B$3000=$AM$2)*(ROW($B$3:$B$3000)-ROW($B$2)),ROWS($AN$2:$AN671))),"")</f>
        <v/>
      </c>
      <c r="AN672" s="134" t="str" cm="1">
        <f t="array" ref="AN672">IF(ROWS($AN$2:$AN671)&lt;=$AN$2,INDEX($F$3:$F$3000,_xlfn.AGGREGATE(15,3,($B$3:$B$3000=$AM$2)/($B$3:$B$3000=$AM$2)*(ROW($B$3:$B$3000)-ROW($B$2)),ROWS($AN$2:$AN671))),"")</f>
        <v/>
      </c>
      <c r="AO672" s="135" t="str" cm="1">
        <f t="array" ref="AO672">IF(ROWS($AN$2:$AN671)&lt;=$AN$2,INDEX($G$3:$G$3000,_xlfn.AGGREGATE(15,3,($B$3:$B$3000=$AM$2)/($B$3:$B$3000=$AM$2)*(ROW($B$3:$B$3000)-ROW($B$2)),ROWS($AN$2:$AN671))),"")</f>
        <v/>
      </c>
      <c r="AP672" s="121"/>
      <c r="AT672" s="111"/>
      <c r="AW672" s="134"/>
      <c r="AX672" s="136"/>
      <c r="AY672" s="134"/>
    </row>
    <row r="673" spans="1:51" s="110" customFormat="1" ht="20" customHeight="1">
      <c r="A673" s="125" t="s">
        <v>185</v>
      </c>
      <c r="B673" s="126" t="s">
        <v>59</v>
      </c>
      <c r="C673" s="127">
        <v>12224</v>
      </c>
      <c r="D673" s="145">
        <v>104010</v>
      </c>
      <c r="E673" s="146" t="s">
        <v>2825</v>
      </c>
      <c r="F673" s="146" t="s">
        <v>2826</v>
      </c>
      <c r="G673" s="147">
        <v>2600</v>
      </c>
      <c r="H673" s="147">
        <v>4</v>
      </c>
      <c r="I673" s="146" t="s">
        <v>209</v>
      </c>
      <c r="J673" s="146" t="s">
        <v>2827</v>
      </c>
      <c r="K673" s="146" t="s">
        <v>2828</v>
      </c>
      <c r="L673" s="147">
        <v>1</v>
      </c>
      <c r="M673" s="147">
        <v>1</v>
      </c>
      <c r="N673" s="146" t="s">
        <v>1544</v>
      </c>
      <c r="O673" s="147">
        <v>72</v>
      </c>
      <c r="P673" s="147">
        <v>3</v>
      </c>
      <c r="Q673" s="147">
        <v>19</v>
      </c>
      <c r="R673" s="146" t="s">
        <v>654</v>
      </c>
      <c r="S673" s="146" t="s">
        <v>655</v>
      </c>
      <c r="T673" s="147">
        <v>244</v>
      </c>
      <c r="U673" s="146" t="s">
        <v>656</v>
      </c>
      <c r="V673" s="146" t="s">
        <v>657</v>
      </c>
      <c r="W673" s="147">
        <v>1</v>
      </c>
      <c r="X673" s="147">
        <v>2</v>
      </c>
      <c r="Y673" s="146" t="s">
        <v>194</v>
      </c>
      <c r="Z673" s="146" t="s">
        <v>195</v>
      </c>
      <c r="AA673" s="146" t="s">
        <v>196</v>
      </c>
      <c r="AB673" s="146" t="s">
        <v>187</v>
      </c>
      <c r="AC673" s="146" t="s">
        <v>187</v>
      </c>
      <c r="AD673" s="148"/>
      <c r="AE673" s="146" t="s">
        <v>209</v>
      </c>
      <c r="AF673" s="147">
        <v>-2.07728</v>
      </c>
      <c r="AG673" s="149">
        <v>132.17113000000001</v>
      </c>
      <c r="AM673" s="133" t="str" cm="1">
        <f t="array" ref="AM673">IF(ROWS($AN$2:$AN672)&lt;=$AN$2,INDEX($V$3:$V$3000,_xlfn.AGGREGATE(15,3,($B$3:$B$3000=$AM$2)/($B$3:$B$3000=$AM$2)*(ROW($B$3:$B$3000)-ROW($B$2)),ROWS($AN$2:$AN672))),"")</f>
        <v/>
      </c>
      <c r="AN673" s="134" t="str" cm="1">
        <f t="array" ref="AN673">IF(ROWS($AN$2:$AN672)&lt;=$AN$2,INDEX($F$3:$F$3000,_xlfn.AGGREGATE(15,3,($B$3:$B$3000=$AM$2)/($B$3:$B$3000=$AM$2)*(ROW($B$3:$B$3000)-ROW($B$2)),ROWS($AN$2:$AN672))),"")</f>
        <v/>
      </c>
      <c r="AO673" s="135" t="str" cm="1">
        <f t="array" ref="AO673">IF(ROWS($AN$2:$AN672)&lt;=$AN$2,INDEX($G$3:$G$3000,_xlfn.AGGREGATE(15,3,($B$3:$B$3000=$AM$2)/($B$3:$B$3000=$AM$2)*(ROW($B$3:$B$3000)-ROW($B$2)),ROWS($AN$2:$AN672))),"")</f>
        <v/>
      </c>
      <c r="AP673" s="121"/>
      <c r="AT673" s="111"/>
      <c r="AW673" s="134"/>
      <c r="AX673" s="136"/>
      <c r="AY673" s="134"/>
    </row>
    <row r="674" spans="1:51" s="110" customFormat="1" ht="20" customHeight="1">
      <c r="A674" s="125" t="s">
        <v>185</v>
      </c>
      <c r="B674" s="126" t="s">
        <v>59</v>
      </c>
      <c r="C674" s="127">
        <v>14982</v>
      </c>
      <c r="D674" s="145">
        <v>109391</v>
      </c>
      <c r="E674" s="146" t="s">
        <v>2829</v>
      </c>
      <c r="F674" s="146" t="s">
        <v>2829</v>
      </c>
      <c r="G674" s="147">
        <v>2600</v>
      </c>
      <c r="H674" s="147">
        <v>4</v>
      </c>
      <c r="I674" s="146" t="s">
        <v>209</v>
      </c>
      <c r="J674" s="146" t="s">
        <v>2830</v>
      </c>
      <c r="K674" s="146" t="s">
        <v>2831</v>
      </c>
      <c r="L674" s="147">
        <v>4</v>
      </c>
      <c r="M674" s="147">
        <v>1</v>
      </c>
      <c r="N674" s="146" t="s">
        <v>1544</v>
      </c>
      <c r="O674" s="147">
        <v>70</v>
      </c>
      <c r="P674" s="147">
        <v>4</v>
      </c>
      <c r="Q674" s="147">
        <v>19</v>
      </c>
      <c r="R674" s="146" t="s">
        <v>654</v>
      </c>
      <c r="S674" s="146" t="s">
        <v>655</v>
      </c>
      <c r="T674" s="147">
        <v>244</v>
      </c>
      <c r="U674" s="146" t="s">
        <v>656</v>
      </c>
      <c r="V674" s="146" t="s">
        <v>657</v>
      </c>
      <c r="W674" s="147">
        <v>1</v>
      </c>
      <c r="X674" s="147">
        <v>2</v>
      </c>
      <c r="Y674" s="146" t="s">
        <v>194</v>
      </c>
      <c r="Z674" s="146" t="s">
        <v>195</v>
      </c>
      <c r="AA674" s="146" t="s">
        <v>196</v>
      </c>
      <c r="AB674" s="146" t="s">
        <v>187</v>
      </c>
      <c r="AC674" s="146" t="s">
        <v>187</v>
      </c>
      <c r="AD674" s="148"/>
      <c r="AE674" s="146" t="s">
        <v>209</v>
      </c>
      <c r="AF674" s="147">
        <v>-4.8922999999999996</v>
      </c>
      <c r="AG674" s="149">
        <v>139.27412000000001</v>
      </c>
      <c r="AM674" s="133" t="str" cm="1">
        <f t="array" ref="AM674">IF(ROWS($AN$2:$AN673)&lt;=$AN$2,INDEX($V$3:$V$3000,_xlfn.AGGREGATE(15,3,($B$3:$B$3000=$AM$2)/($B$3:$B$3000=$AM$2)*(ROW($B$3:$B$3000)-ROW($B$2)),ROWS($AN$2:$AN673))),"")</f>
        <v/>
      </c>
      <c r="AN674" s="134" t="str" cm="1">
        <f t="array" ref="AN674">IF(ROWS($AN$2:$AN673)&lt;=$AN$2,INDEX($F$3:$F$3000,_xlfn.AGGREGATE(15,3,($B$3:$B$3000=$AM$2)/($B$3:$B$3000=$AM$2)*(ROW($B$3:$B$3000)-ROW($B$2)),ROWS($AN$2:$AN673))),"")</f>
        <v/>
      </c>
      <c r="AO674" s="135" t="str" cm="1">
        <f t="array" ref="AO674">IF(ROWS($AN$2:$AN673)&lt;=$AN$2,INDEX($G$3:$G$3000,_xlfn.AGGREGATE(15,3,($B$3:$B$3000=$AM$2)/($B$3:$B$3000=$AM$2)*(ROW($B$3:$B$3000)-ROW($B$2)),ROWS($AN$2:$AN673))),"")</f>
        <v/>
      </c>
      <c r="AP674" s="121"/>
      <c r="AT674" s="111"/>
      <c r="AW674" s="134"/>
      <c r="AX674" s="136"/>
      <c r="AY674" s="134"/>
    </row>
    <row r="675" spans="1:51" s="110" customFormat="1" ht="20" customHeight="1">
      <c r="A675" s="125" t="s">
        <v>185</v>
      </c>
      <c r="B675" s="126" t="s">
        <v>59</v>
      </c>
      <c r="C675" s="127">
        <v>12265</v>
      </c>
      <c r="D675" s="145">
        <v>104083</v>
      </c>
      <c r="E675" s="146" t="s">
        <v>2795</v>
      </c>
      <c r="F675" s="146" t="s">
        <v>2795</v>
      </c>
      <c r="G675" s="147">
        <v>2400</v>
      </c>
      <c r="H675" s="147">
        <v>4</v>
      </c>
      <c r="I675" s="146" t="s">
        <v>209</v>
      </c>
      <c r="J675" s="146" t="s">
        <v>1589</v>
      </c>
      <c r="K675" s="146" t="s">
        <v>1590</v>
      </c>
      <c r="L675" s="147">
        <v>4</v>
      </c>
      <c r="M675" s="147">
        <v>1</v>
      </c>
      <c r="N675" s="146" t="s">
        <v>1544</v>
      </c>
      <c r="O675" s="147">
        <v>70</v>
      </c>
      <c r="P675" s="147">
        <v>4</v>
      </c>
      <c r="Q675" s="147">
        <v>19</v>
      </c>
      <c r="R675" s="146" t="s">
        <v>654</v>
      </c>
      <c r="S675" s="146" t="s">
        <v>655</v>
      </c>
      <c r="T675" s="147">
        <v>244</v>
      </c>
      <c r="U675" s="146" t="s">
        <v>656</v>
      </c>
      <c r="V675" s="146" t="s">
        <v>657</v>
      </c>
      <c r="W675" s="147">
        <v>1</v>
      </c>
      <c r="X675" s="147">
        <v>2</v>
      </c>
      <c r="Y675" s="146" t="s">
        <v>194</v>
      </c>
      <c r="Z675" s="146" t="s">
        <v>195</v>
      </c>
      <c r="AA675" s="146" t="s">
        <v>196</v>
      </c>
      <c r="AB675" s="146" t="s">
        <v>187</v>
      </c>
      <c r="AC675" s="146" t="s">
        <v>187</v>
      </c>
      <c r="AD675" s="148"/>
      <c r="AE675" s="146" t="s">
        <v>209</v>
      </c>
      <c r="AF675" s="147">
        <v>-1.88083</v>
      </c>
      <c r="AG675" s="149">
        <v>138.54577</v>
      </c>
      <c r="AM675" s="133" t="str" cm="1">
        <f t="array" ref="AM675">IF(ROWS($AN$2:$AN674)&lt;=$AN$2,INDEX($V$3:$V$3000,_xlfn.AGGREGATE(15,3,($B$3:$B$3000=$AM$2)/($B$3:$B$3000=$AM$2)*(ROW($B$3:$B$3000)-ROW($B$2)),ROWS($AN$2:$AN674))),"")</f>
        <v/>
      </c>
      <c r="AN675" s="134" t="str" cm="1">
        <f t="array" ref="AN675">IF(ROWS($AN$2:$AN674)&lt;=$AN$2,INDEX($F$3:$F$3000,_xlfn.AGGREGATE(15,3,($B$3:$B$3000=$AM$2)/($B$3:$B$3000=$AM$2)*(ROW($B$3:$B$3000)-ROW($B$2)),ROWS($AN$2:$AN674))),"")</f>
        <v/>
      </c>
      <c r="AO675" s="135" t="str" cm="1">
        <f t="array" ref="AO675">IF(ROWS($AN$2:$AN674)&lt;=$AN$2,INDEX($G$3:$G$3000,_xlfn.AGGREGATE(15,3,($B$3:$B$3000=$AM$2)/($B$3:$B$3000=$AM$2)*(ROW($B$3:$B$3000)-ROW($B$2)),ROWS($AN$2:$AN674))),"")</f>
        <v/>
      </c>
      <c r="AP675" s="121"/>
      <c r="AT675" s="111"/>
      <c r="AW675" s="134"/>
      <c r="AX675" s="136"/>
      <c r="AY675" s="134"/>
    </row>
    <row r="676" spans="1:51" s="110" customFormat="1" ht="20" customHeight="1">
      <c r="A676" s="125" t="s">
        <v>185</v>
      </c>
      <c r="B676" s="126" t="s">
        <v>59</v>
      </c>
      <c r="C676" s="127">
        <v>12453</v>
      </c>
      <c r="D676" s="145">
        <v>104478</v>
      </c>
      <c r="E676" s="146" t="s">
        <v>2796</v>
      </c>
      <c r="F676" s="146" t="s">
        <v>2796</v>
      </c>
      <c r="G676" s="147">
        <v>2400</v>
      </c>
      <c r="H676" s="147">
        <v>4</v>
      </c>
      <c r="I676" s="146" t="s">
        <v>209</v>
      </c>
      <c r="J676" s="146" t="s">
        <v>2797</v>
      </c>
      <c r="K676" s="146" t="s">
        <v>2796</v>
      </c>
      <c r="L676" s="147">
        <v>1</v>
      </c>
      <c r="M676" s="147">
        <v>1</v>
      </c>
      <c r="N676" s="146" t="s">
        <v>1544</v>
      </c>
      <c r="O676" s="147">
        <v>65</v>
      </c>
      <c r="P676" s="147">
        <v>4</v>
      </c>
      <c r="Q676" s="147">
        <v>19</v>
      </c>
      <c r="R676" s="146" t="s">
        <v>654</v>
      </c>
      <c r="S676" s="146" t="s">
        <v>655</v>
      </c>
      <c r="T676" s="147">
        <v>244</v>
      </c>
      <c r="U676" s="146" t="s">
        <v>656</v>
      </c>
      <c r="V676" s="146" t="s">
        <v>657</v>
      </c>
      <c r="W676" s="147">
        <v>1</v>
      </c>
      <c r="X676" s="147">
        <v>2</v>
      </c>
      <c r="Y676" s="146" t="s">
        <v>194</v>
      </c>
      <c r="Z676" s="146" t="s">
        <v>195</v>
      </c>
      <c r="AA676" s="146" t="s">
        <v>196</v>
      </c>
      <c r="AB676" s="146" t="s">
        <v>187</v>
      </c>
      <c r="AC676" s="146" t="s">
        <v>187</v>
      </c>
      <c r="AD676" s="148"/>
      <c r="AE676" s="146" t="s">
        <v>209</v>
      </c>
      <c r="AF676" s="147">
        <v>-2.2449499999425502</v>
      </c>
      <c r="AG676" s="149">
        <v>132.98753999967099</v>
      </c>
      <c r="AM676" s="133" t="str" cm="1">
        <f t="array" ref="AM676">IF(ROWS($AN$2:$AN675)&lt;=$AN$2,INDEX($V$3:$V$3000,_xlfn.AGGREGATE(15,3,($B$3:$B$3000=$AM$2)/($B$3:$B$3000=$AM$2)*(ROW($B$3:$B$3000)-ROW($B$2)),ROWS($AN$2:$AN675))),"")</f>
        <v/>
      </c>
      <c r="AN676" s="134" t="str" cm="1">
        <f t="array" ref="AN676">IF(ROWS($AN$2:$AN675)&lt;=$AN$2,INDEX($F$3:$F$3000,_xlfn.AGGREGATE(15,3,($B$3:$B$3000=$AM$2)/($B$3:$B$3000=$AM$2)*(ROW($B$3:$B$3000)-ROW($B$2)),ROWS($AN$2:$AN675))),"")</f>
        <v/>
      </c>
      <c r="AO676" s="135" t="str" cm="1">
        <f t="array" ref="AO676">IF(ROWS($AN$2:$AN675)&lt;=$AN$2,INDEX($G$3:$G$3000,_xlfn.AGGREGATE(15,3,($B$3:$B$3000=$AM$2)/($B$3:$B$3000=$AM$2)*(ROW($B$3:$B$3000)-ROW($B$2)),ROWS($AN$2:$AN675))),"")</f>
        <v/>
      </c>
      <c r="AP676" s="121"/>
      <c r="AT676" s="111"/>
      <c r="AW676" s="134"/>
      <c r="AX676" s="136"/>
      <c r="AY676" s="134"/>
    </row>
    <row r="677" spans="1:51" s="110" customFormat="1" ht="20" customHeight="1">
      <c r="A677" s="125" t="s">
        <v>185</v>
      </c>
      <c r="B677" s="126" t="s">
        <v>59</v>
      </c>
      <c r="C677" s="127">
        <v>14969</v>
      </c>
      <c r="D677" s="145">
        <v>109368</v>
      </c>
      <c r="E677" s="146" t="s">
        <v>2798</v>
      </c>
      <c r="F677" s="146" t="s">
        <v>2799</v>
      </c>
      <c r="G677" s="147">
        <v>2400</v>
      </c>
      <c r="H677" s="147">
        <v>4</v>
      </c>
      <c r="I677" s="146" t="s">
        <v>209</v>
      </c>
      <c r="J677" s="146" t="s">
        <v>2800</v>
      </c>
      <c r="K677" s="146" t="s">
        <v>2798</v>
      </c>
      <c r="L677" s="147">
        <v>0</v>
      </c>
      <c r="M677" s="147">
        <v>1</v>
      </c>
      <c r="N677" s="146" t="s">
        <v>1544</v>
      </c>
      <c r="O677" s="147">
        <v>95</v>
      </c>
      <c r="P677" s="147">
        <v>5</v>
      </c>
      <c r="Q677" s="147">
        <v>19</v>
      </c>
      <c r="R677" s="146" t="s">
        <v>654</v>
      </c>
      <c r="S677" s="146" t="s">
        <v>655</v>
      </c>
      <c r="T677" s="147">
        <v>244</v>
      </c>
      <c r="U677" s="146" t="s">
        <v>656</v>
      </c>
      <c r="V677" s="146" t="s">
        <v>657</v>
      </c>
      <c r="W677" s="147">
        <v>1</v>
      </c>
      <c r="X677" s="147">
        <v>2</v>
      </c>
      <c r="Y677" s="146" t="s">
        <v>194</v>
      </c>
      <c r="Z677" s="146" t="s">
        <v>195</v>
      </c>
      <c r="AA677" s="146" t="s">
        <v>196</v>
      </c>
      <c r="AB677" s="146" t="s">
        <v>187</v>
      </c>
      <c r="AC677" s="146" t="s">
        <v>187</v>
      </c>
      <c r="AD677" s="148"/>
      <c r="AE677" s="146" t="s">
        <v>209</v>
      </c>
      <c r="AF677" s="147">
        <v>-1.9134599999999999</v>
      </c>
      <c r="AG677" s="149">
        <v>138.74596</v>
      </c>
      <c r="AM677" s="133" t="str" cm="1">
        <f t="array" ref="AM677">IF(ROWS($AN$2:$AN676)&lt;=$AN$2,INDEX($V$3:$V$3000,_xlfn.AGGREGATE(15,3,($B$3:$B$3000=$AM$2)/($B$3:$B$3000=$AM$2)*(ROW($B$3:$B$3000)-ROW($B$2)),ROWS($AN$2:$AN676))),"")</f>
        <v/>
      </c>
      <c r="AN677" s="134" t="str" cm="1">
        <f t="array" ref="AN677">IF(ROWS($AN$2:$AN676)&lt;=$AN$2,INDEX($F$3:$F$3000,_xlfn.AGGREGATE(15,3,($B$3:$B$3000=$AM$2)/($B$3:$B$3000=$AM$2)*(ROW($B$3:$B$3000)-ROW($B$2)),ROWS($AN$2:$AN676))),"")</f>
        <v/>
      </c>
      <c r="AO677" s="135" t="str" cm="1">
        <f t="array" ref="AO677">IF(ROWS($AN$2:$AN676)&lt;=$AN$2,INDEX($G$3:$G$3000,_xlfn.AGGREGATE(15,3,($B$3:$B$3000=$AM$2)/($B$3:$B$3000=$AM$2)*(ROW($B$3:$B$3000)-ROW($B$2)),ROWS($AN$2:$AN676))),"")</f>
        <v/>
      </c>
      <c r="AP677" s="121"/>
      <c r="AT677" s="111"/>
      <c r="AW677" s="134"/>
      <c r="AX677" s="136"/>
      <c r="AY677" s="134"/>
    </row>
    <row r="678" spans="1:51" s="110" customFormat="1" ht="20" customHeight="1">
      <c r="A678" s="125" t="s">
        <v>185</v>
      </c>
      <c r="B678" s="126" t="s">
        <v>59</v>
      </c>
      <c r="C678" s="127">
        <v>19071</v>
      </c>
      <c r="D678" s="145">
        <v>101150</v>
      </c>
      <c r="E678" s="146" t="s">
        <v>2737</v>
      </c>
      <c r="F678" s="146" t="s">
        <v>2737</v>
      </c>
      <c r="G678" s="147">
        <v>2200</v>
      </c>
      <c r="H678" s="147">
        <v>4</v>
      </c>
      <c r="I678" s="146" t="s">
        <v>209</v>
      </c>
      <c r="J678" s="146" t="s">
        <v>2738</v>
      </c>
      <c r="K678" s="146" t="s">
        <v>2737</v>
      </c>
      <c r="L678" s="147">
        <v>4</v>
      </c>
      <c r="M678" s="147">
        <v>1</v>
      </c>
      <c r="N678" s="146" t="s">
        <v>1544</v>
      </c>
      <c r="O678" s="147">
        <v>60</v>
      </c>
      <c r="P678" s="147">
        <v>6</v>
      </c>
      <c r="Q678" s="147">
        <v>19</v>
      </c>
      <c r="R678" s="146" t="s">
        <v>654</v>
      </c>
      <c r="S678" s="146" t="s">
        <v>655</v>
      </c>
      <c r="T678" s="147">
        <v>244</v>
      </c>
      <c r="U678" s="146" t="s">
        <v>656</v>
      </c>
      <c r="V678" s="146" t="s">
        <v>657</v>
      </c>
      <c r="W678" s="147">
        <v>1</v>
      </c>
      <c r="X678" s="147">
        <v>2</v>
      </c>
      <c r="Y678" s="146" t="s">
        <v>194</v>
      </c>
      <c r="Z678" s="146" t="s">
        <v>195</v>
      </c>
      <c r="AA678" s="146" t="s">
        <v>196</v>
      </c>
      <c r="AB678" s="146" t="s">
        <v>187</v>
      </c>
      <c r="AC678" s="146" t="s">
        <v>187</v>
      </c>
      <c r="AD678" s="148"/>
      <c r="AE678" s="146" t="s">
        <v>209</v>
      </c>
      <c r="AF678" s="147">
        <v>-2.3979499999999998</v>
      </c>
      <c r="AG678" s="149">
        <v>137.58447000000001</v>
      </c>
      <c r="AM678" s="133" t="str" cm="1">
        <f t="array" ref="AM678">IF(ROWS($AN$2:$AN677)&lt;=$AN$2,INDEX($V$3:$V$3000,_xlfn.AGGREGATE(15,3,($B$3:$B$3000=$AM$2)/($B$3:$B$3000=$AM$2)*(ROW($B$3:$B$3000)-ROW($B$2)),ROWS($AN$2:$AN677))),"")</f>
        <v/>
      </c>
      <c r="AN678" s="134" t="str" cm="1">
        <f t="array" ref="AN678">IF(ROWS($AN$2:$AN677)&lt;=$AN$2,INDEX($F$3:$F$3000,_xlfn.AGGREGATE(15,3,($B$3:$B$3000=$AM$2)/($B$3:$B$3000=$AM$2)*(ROW($B$3:$B$3000)-ROW($B$2)),ROWS($AN$2:$AN677))),"")</f>
        <v/>
      </c>
      <c r="AO678" s="135" t="str" cm="1">
        <f t="array" ref="AO678">IF(ROWS($AN$2:$AN677)&lt;=$AN$2,INDEX($G$3:$G$3000,_xlfn.AGGREGATE(15,3,($B$3:$B$3000=$AM$2)/($B$3:$B$3000=$AM$2)*(ROW($B$3:$B$3000)-ROW($B$2)),ROWS($AN$2:$AN677))),"")</f>
        <v/>
      </c>
      <c r="AP678" s="121"/>
      <c r="AT678" s="111"/>
      <c r="AW678" s="134"/>
      <c r="AX678" s="136"/>
      <c r="AY678" s="134"/>
    </row>
    <row r="679" spans="1:51" s="110" customFormat="1" ht="20" customHeight="1">
      <c r="A679" s="125" t="s">
        <v>185</v>
      </c>
      <c r="B679" s="126" t="s">
        <v>59</v>
      </c>
      <c r="C679" s="127">
        <v>12251</v>
      </c>
      <c r="D679" s="145">
        <v>104061</v>
      </c>
      <c r="E679" s="146" t="s">
        <v>2739</v>
      </c>
      <c r="F679" s="146" t="s">
        <v>2739</v>
      </c>
      <c r="G679" s="147">
        <v>2200</v>
      </c>
      <c r="H679" s="147">
        <v>4</v>
      </c>
      <c r="I679" s="146" t="s">
        <v>209</v>
      </c>
      <c r="J679" s="146" t="s">
        <v>2740</v>
      </c>
      <c r="K679" s="146" t="s">
        <v>2741</v>
      </c>
      <c r="L679" s="147">
        <v>0</v>
      </c>
      <c r="M679" s="147">
        <v>1</v>
      </c>
      <c r="N679" s="146" t="s">
        <v>1544</v>
      </c>
      <c r="O679" s="147">
        <v>70</v>
      </c>
      <c r="P679" s="147">
        <v>4</v>
      </c>
      <c r="Q679" s="147">
        <v>19</v>
      </c>
      <c r="R679" s="146" t="s">
        <v>654</v>
      </c>
      <c r="S679" s="146" t="s">
        <v>655</v>
      </c>
      <c r="T679" s="147">
        <v>244</v>
      </c>
      <c r="U679" s="146" t="s">
        <v>656</v>
      </c>
      <c r="V679" s="146" t="s">
        <v>657</v>
      </c>
      <c r="W679" s="147">
        <v>1</v>
      </c>
      <c r="X679" s="147">
        <v>2</v>
      </c>
      <c r="Y679" s="146" t="s">
        <v>194</v>
      </c>
      <c r="Z679" s="146" t="s">
        <v>195</v>
      </c>
      <c r="AA679" s="146" t="s">
        <v>196</v>
      </c>
      <c r="AB679" s="146" t="s">
        <v>187</v>
      </c>
      <c r="AC679" s="146" t="s">
        <v>187</v>
      </c>
      <c r="AD679" s="148"/>
      <c r="AE679" s="146" t="s">
        <v>209</v>
      </c>
      <c r="AF679" s="147">
        <v>-3.3358400000000001</v>
      </c>
      <c r="AG679" s="149">
        <v>133.51867999999999</v>
      </c>
      <c r="AM679" s="133" t="str" cm="1">
        <f t="array" ref="AM679">IF(ROWS($AN$2:$AN678)&lt;=$AN$2,INDEX($V$3:$V$3000,_xlfn.AGGREGATE(15,3,($B$3:$B$3000=$AM$2)/($B$3:$B$3000=$AM$2)*(ROW($B$3:$B$3000)-ROW($B$2)),ROWS($AN$2:$AN678))),"")</f>
        <v/>
      </c>
      <c r="AN679" s="134" t="str" cm="1">
        <f t="array" ref="AN679">IF(ROWS($AN$2:$AN678)&lt;=$AN$2,INDEX($F$3:$F$3000,_xlfn.AGGREGATE(15,3,($B$3:$B$3000=$AM$2)/($B$3:$B$3000=$AM$2)*(ROW($B$3:$B$3000)-ROW($B$2)),ROWS($AN$2:$AN678))),"")</f>
        <v/>
      </c>
      <c r="AO679" s="135" t="str" cm="1">
        <f t="array" ref="AO679">IF(ROWS($AN$2:$AN678)&lt;=$AN$2,INDEX($G$3:$G$3000,_xlfn.AGGREGATE(15,3,($B$3:$B$3000=$AM$2)/($B$3:$B$3000=$AM$2)*(ROW($B$3:$B$3000)-ROW($B$2)),ROWS($AN$2:$AN678))),"")</f>
        <v/>
      </c>
      <c r="AP679" s="121"/>
      <c r="AT679" s="111"/>
      <c r="AW679" s="134"/>
      <c r="AX679" s="136"/>
      <c r="AY679" s="134"/>
    </row>
    <row r="680" spans="1:51" s="110" customFormat="1" ht="20" customHeight="1">
      <c r="A680" s="125" t="s">
        <v>185</v>
      </c>
      <c r="B680" s="126" t="s">
        <v>59</v>
      </c>
      <c r="C680" s="127">
        <v>14555</v>
      </c>
      <c r="D680" s="145">
        <v>108372</v>
      </c>
      <c r="E680" s="146" t="s">
        <v>2742</v>
      </c>
      <c r="F680" s="146" t="s">
        <v>2742</v>
      </c>
      <c r="G680" s="147">
        <v>2200</v>
      </c>
      <c r="H680" s="147">
        <v>4</v>
      </c>
      <c r="I680" s="146" t="s">
        <v>209</v>
      </c>
      <c r="J680" s="146" t="s">
        <v>2743</v>
      </c>
      <c r="K680" s="146" t="s">
        <v>2742</v>
      </c>
      <c r="L680" s="147">
        <v>1</v>
      </c>
      <c r="M680" s="147">
        <v>1</v>
      </c>
      <c r="N680" s="146" t="s">
        <v>1544</v>
      </c>
      <c r="O680" s="147">
        <v>65</v>
      </c>
      <c r="P680" s="147">
        <v>3</v>
      </c>
      <c r="Q680" s="147">
        <v>19</v>
      </c>
      <c r="R680" s="146" t="s">
        <v>654</v>
      </c>
      <c r="S680" s="146" t="s">
        <v>655</v>
      </c>
      <c r="T680" s="147">
        <v>244</v>
      </c>
      <c r="U680" s="146" t="s">
        <v>656</v>
      </c>
      <c r="V680" s="146" t="s">
        <v>657</v>
      </c>
      <c r="W680" s="147">
        <v>1</v>
      </c>
      <c r="X680" s="147">
        <v>2</v>
      </c>
      <c r="Y680" s="146" t="s">
        <v>194</v>
      </c>
      <c r="Z680" s="146" t="s">
        <v>195</v>
      </c>
      <c r="AA680" s="146" t="s">
        <v>196</v>
      </c>
      <c r="AB680" s="146" t="s">
        <v>187</v>
      </c>
      <c r="AC680" s="146" t="s">
        <v>187</v>
      </c>
      <c r="AD680" s="148"/>
      <c r="AE680" s="146" t="s">
        <v>209</v>
      </c>
      <c r="AF680" s="147">
        <v>-7.5184800000000003</v>
      </c>
      <c r="AG680" s="149">
        <v>138.46035000000001</v>
      </c>
      <c r="AM680" s="133" t="str" cm="1">
        <f t="array" ref="AM680">IF(ROWS($AN$2:$AN679)&lt;=$AN$2,INDEX($V$3:$V$3000,_xlfn.AGGREGATE(15,3,($B$3:$B$3000=$AM$2)/($B$3:$B$3000=$AM$2)*(ROW($B$3:$B$3000)-ROW($B$2)),ROWS($AN$2:$AN679))),"")</f>
        <v/>
      </c>
      <c r="AN680" s="134" t="str" cm="1">
        <f t="array" ref="AN680">IF(ROWS($AN$2:$AN679)&lt;=$AN$2,INDEX($F$3:$F$3000,_xlfn.AGGREGATE(15,3,($B$3:$B$3000=$AM$2)/($B$3:$B$3000=$AM$2)*(ROW($B$3:$B$3000)-ROW($B$2)),ROWS($AN$2:$AN679))),"")</f>
        <v/>
      </c>
      <c r="AO680" s="135" t="str" cm="1">
        <f t="array" ref="AO680">IF(ROWS($AN$2:$AN679)&lt;=$AN$2,INDEX($G$3:$G$3000,_xlfn.AGGREGATE(15,3,($B$3:$B$3000=$AM$2)/($B$3:$B$3000=$AM$2)*(ROW($B$3:$B$3000)-ROW($B$2)),ROWS($AN$2:$AN679))),"")</f>
        <v/>
      </c>
      <c r="AP680" s="121"/>
      <c r="AT680" s="111"/>
      <c r="AW680" s="134"/>
      <c r="AX680" s="136"/>
      <c r="AY680" s="134"/>
    </row>
    <row r="681" spans="1:51" s="110" customFormat="1" ht="20" customHeight="1">
      <c r="A681" s="125" t="s">
        <v>185</v>
      </c>
      <c r="B681" s="126" t="s">
        <v>59</v>
      </c>
      <c r="C681" s="127">
        <v>15950</v>
      </c>
      <c r="D681" s="145">
        <v>110928</v>
      </c>
      <c r="E681" s="146" t="s">
        <v>2744</v>
      </c>
      <c r="F681" s="146" t="s">
        <v>2744</v>
      </c>
      <c r="G681" s="147">
        <v>2200</v>
      </c>
      <c r="H681" s="147">
        <v>4</v>
      </c>
      <c r="I681" s="146" t="s">
        <v>209</v>
      </c>
      <c r="J681" s="146" t="s">
        <v>2745</v>
      </c>
      <c r="K681" s="146" t="s">
        <v>2746</v>
      </c>
      <c r="L681" s="147">
        <v>1</v>
      </c>
      <c r="M681" s="147">
        <v>1</v>
      </c>
      <c r="N681" s="146" t="s">
        <v>1544</v>
      </c>
      <c r="O681" s="147">
        <v>70</v>
      </c>
      <c r="P681" s="147">
        <v>5</v>
      </c>
      <c r="Q681" s="147">
        <v>19</v>
      </c>
      <c r="R681" s="146" t="s">
        <v>654</v>
      </c>
      <c r="S681" s="146" t="s">
        <v>655</v>
      </c>
      <c r="T681" s="147">
        <v>244</v>
      </c>
      <c r="U681" s="146" t="s">
        <v>656</v>
      </c>
      <c r="V681" s="146" t="s">
        <v>657</v>
      </c>
      <c r="W681" s="147">
        <v>1</v>
      </c>
      <c r="X681" s="147">
        <v>2</v>
      </c>
      <c r="Y681" s="146" t="s">
        <v>194</v>
      </c>
      <c r="Z681" s="146" t="s">
        <v>195</v>
      </c>
      <c r="AA681" s="146" t="s">
        <v>196</v>
      </c>
      <c r="AB681" s="146" t="s">
        <v>187</v>
      </c>
      <c r="AC681" s="146" t="s">
        <v>187</v>
      </c>
      <c r="AD681" s="148"/>
      <c r="AE681" s="146" t="s">
        <v>209</v>
      </c>
      <c r="AF681" s="147">
        <v>-5.9218099999999998</v>
      </c>
      <c r="AG681" s="149">
        <v>140.07552999999999</v>
      </c>
      <c r="AM681" s="133" t="str" cm="1">
        <f t="array" ref="AM681">IF(ROWS($AN$2:$AN680)&lt;=$AN$2,INDEX($V$3:$V$3000,_xlfn.AGGREGATE(15,3,($B$3:$B$3000=$AM$2)/($B$3:$B$3000=$AM$2)*(ROW($B$3:$B$3000)-ROW($B$2)),ROWS($AN$2:$AN680))),"")</f>
        <v/>
      </c>
      <c r="AN681" s="134" t="str" cm="1">
        <f t="array" ref="AN681">IF(ROWS($AN$2:$AN680)&lt;=$AN$2,INDEX($F$3:$F$3000,_xlfn.AGGREGATE(15,3,($B$3:$B$3000=$AM$2)/($B$3:$B$3000=$AM$2)*(ROW($B$3:$B$3000)-ROW($B$2)),ROWS($AN$2:$AN680))),"")</f>
        <v/>
      </c>
      <c r="AO681" s="135" t="str" cm="1">
        <f t="array" ref="AO681">IF(ROWS($AN$2:$AN680)&lt;=$AN$2,INDEX($G$3:$G$3000,_xlfn.AGGREGATE(15,3,($B$3:$B$3000=$AM$2)/($B$3:$B$3000=$AM$2)*(ROW($B$3:$B$3000)-ROW($B$2)),ROWS($AN$2:$AN680))),"")</f>
        <v/>
      </c>
      <c r="AP681" s="121"/>
      <c r="AT681" s="111"/>
      <c r="AW681" s="134"/>
      <c r="AX681" s="136"/>
      <c r="AY681" s="134"/>
    </row>
    <row r="682" spans="1:51" s="110" customFormat="1" ht="20" customHeight="1">
      <c r="A682" s="125" t="s">
        <v>185</v>
      </c>
      <c r="B682" s="126" t="s">
        <v>59</v>
      </c>
      <c r="C682" s="127">
        <v>15407</v>
      </c>
      <c r="D682" s="145">
        <v>110849</v>
      </c>
      <c r="E682" s="146" t="s">
        <v>2699</v>
      </c>
      <c r="F682" s="146" t="s">
        <v>2699</v>
      </c>
      <c r="G682" s="147">
        <v>2000</v>
      </c>
      <c r="H682" s="147">
        <v>4</v>
      </c>
      <c r="I682" s="146" t="s">
        <v>209</v>
      </c>
      <c r="J682" s="146" t="s">
        <v>2700</v>
      </c>
      <c r="K682" s="146" t="s">
        <v>2699</v>
      </c>
      <c r="L682" s="147">
        <v>1</v>
      </c>
      <c r="M682" s="147">
        <v>1</v>
      </c>
      <c r="N682" s="146" t="s">
        <v>1544</v>
      </c>
      <c r="O682" s="147">
        <v>90</v>
      </c>
      <c r="P682" s="147">
        <v>4</v>
      </c>
      <c r="Q682" s="147">
        <v>19</v>
      </c>
      <c r="R682" s="146" t="s">
        <v>654</v>
      </c>
      <c r="S682" s="146" t="s">
        <v>655</v>
      </c>
      <c r="T682" s="147">
        <v>244</v>
      </c>
      <c r="U682" s="146" t="s">
        <v>656</v>
      </c>
      <c r="V682" s="146" t="s">
        <v>657</v>
      </c>
      <c r="W682" s="147">
        <v>1</v>
      </c>
      <c r="X682" s="147">
        <v>2</v>
      </c>
      <c r="Y682" s="146" t="s">
        <v>194</v>
      </c>
      <c r="Z682" s="146" t="s">
        <v>195</v>
      </c>
      <c r="AA682" s="146" t="s">
        <v>196</v>
      </c>
      <c r="AB682" s="146" t="s">
        <v>187</v>
      </c>
      <c r="AC682" s="146" t="s">
        <v>187</v>
      </c>
      <c r="AD682" s="148"/>
      <c r="AE682" s="146" t="s">
        <v>209</v>
      </c>
      <c r="AF682" s="147">
        <v>-1.6203399999999999</v>
      </c>
      <c r="AG682" s="149">
        <v>135.46966</v>
      </c>
      <c r="AM682" s="133" t="str" cm="1">
        <f t="array" ref="AM682">IF(ROWS($AN$2:$AN681)&lt;=$AN$2,INDEX($V$3:$V$3000,_xlfn.AGGREGATE(15,3,($B$3:$B$3000=$AM$2)/($B$3:$B$3000=$AM$2)*(ROW($B$3:$B$3000)-ROW($B$2)),ROWS($AN$2:$AN681))),"")</f>
        <v/>
      </c>
      <c r="AN682" s="134" t="str" cm="1">
        <f t="array" ref="AN682">IF(ROWS($AN$2:$AN681)&lt;=$AN$2,INDEX($F$3:$F$3000,_xlfn.AGGREGATE(15,3,($B$3:$B$3000=$AM$2)/($B$3:$B$3000=$AM$2)*(ROW($B$3:$B$3000)-ROW($B$2)),ROWS($AN$2:$AN681))),"")</f>
        <v/>
      </c>
      <c r="AO682" s="135" t="str" cm="1">
        <f t="array" ref="AO682">IF(ROWS($AN$2:$AN681)&lt;=$AN$2,INDEX($G$3:$G$3000,_xlfn.AGGREGATE(15,3,($B$3:$B$3000=$AM$2)/($B$3:$B$3000=$AM$2)*(ROW($B$3:$B$3000)-ROW($B$2)),ROWS($AN$2:$AN681))),"")</f>
        <v/>
      </c>
      <c r="AP682" s="121"/>
      <c r="AT682" s="111"/>
      <c r="AW682" s="134"/>
      <c r="AX682" s="136"/>
      <c r="AY682" s="134"/>
    </row>
    <row r="683" spans="1:51" s="110" customFormat="1" ht="20" customHeight="1">
      <c r="A683" s="125" t="s">
        <v>185</v>
      </c>
      <c r="B683" s="126" t="s">
        <v>59</v>
      </c>
      <c r="C683" s="127">
        <v>13665</v>
      </c>
      <c r="D683" s="145">
        <v>106529</v>
      </c>
      <c r="E683" s="146" t="s">
        <v>2666</v>
      </c>
      <c r="F683" s="146" t="s">
        <v>2667</v>
      </c>
      <c r="G683" s="147">
        <v>1900</v>
      </c>
      <c r="H683" s="147">
        <v>4</v>
      </c>
      <c r="I683" s="146" t="s">
        <v>209</v>
      </c>
      <c r="J683" s="146" t="s">
        <v>2668</v>
      </c>
      <c r="K683" s="146" t="s">
        <v>2666</v>
      </c>
      <c r="L683" s="147">
        <v>0</v>
      </c>
      <c r="M683" s="147">
        <v>1</v>
      </c>
      <c r="N683" s="146" t="s">
        <v>1544</v>
      </c>
      <c r="O683" s="147">
        <v>85</v>
      </c>
      <c r="P683" s="147">
        <v>3</v>
      </c>
      <c r="Q683" s="147">
        <v>19</v>
      </c>
      <c r="R683" s="146" t="s">
        <v>654</v>
      </c>
      <c r="S683" s="146" t="s">
        <v>655</v>
      </c>
      <c r="T683" s="147">
        <v>244</v>
      </c>
      <c r="U683" s="146" t="s">
        <v>656</v>
      </c>
      <c r="V683" s="146" t="s">
        <v>657</v>
      </c>
      <c r="W683" s="147">
        <v>1</v>
      </c>
      <c r="X683" s="147">
        <v>2</v>
      </c>
      <c r="Y683" s="146" t="s">
        <v>194</v>
      </c>
      <c r="Z683" s="146" t="s">
        <v>195</v>
      </c>
      <c r="AA683" s="146" t="s">
        <v>196</v>
      </c>
      <c r="AB683" s="146" t="s">
        <v>187</v>
      </c>
      <c r="AC683" s="146" t="s">
        <v>187</v>
      </c>
      <c r="AD683" s="148"/>
      <c r="AE683" s="146" t="s">
        <v>209</v>
      </c>
      <c r="AF683" s="147">
        <v>-2.5043000000000002</v>
      </c>
      <c r="AG683" s="149">
        <v>140.30586</v>
      </c>
      <c r="AM683" s="133" t="str" cm="1">
        <f t="array" ref="AM683">IF(ROWS($AN$2:$AN682)&lt;=$AN$2,INDEX($V$3:$V$3000,_xlfn.AGGREGATE(15,3,($B$3:$B$3000=$AM$2)/($B$3:$B$3000=$AM$2)*(ROW($B$3:$B$3000)-ROW($B$2)),ROWS($AN$2:$AN682))),"")</f>
        <v/>
      </c>
      <c r="AN683" s="134" t="str" cm="1">
        <f t="array" ref="AN683">IF(ROWS($AN$2:$AN682)&lt;=$AN$2,INDEX($F$3:$F$3000,_xlfn.AGGREGATE(15,3,($B$3:$B$3000=$AM$2)/($B$3:$B$3000=$AM$2)*(ROW($B$3:$B$3000)-ROW($B$2)),ROWS($AN$2:$AN682))),"")</f>
        <v/>
      </c>
      <c r="AO683" s="135" t="str" cm="1">
        <f t="array" ref="AO683">IF(ROWS($AN$2:$AN682)&lt;=$AN$2,INDEX($G$3:$G$3000,_xlfn.AGGREGATE(15,3,($B$3:$B$3000=$AM$2)/($B$3:$B$3000=$AM$2)*(ROW($B$3:$B$3000)-ROW($B$2)),ROWS($AN$2:$AN682))),"")</f>
        <v/>
      </c>
      <c r="AP683" s="121"/>
      <c r="AT683" s="111"/>
      <c r="AW683" s="134"/>
      <c r="AX683" s="136"/>
      <c r="AY683" s="134"/>
    </row>
    <row r="684" spans="1:51" s="110" customFormat="1" ht="20" customHeight="1">
      <c r="A684" s="125" t="s">
        <v>185</v>
      </c>
      <c r="B684" s="126" t="s">
        <v>59</v>
      </c>
      <c r="C684" s="127">
        <v>10809</v>
      </c>
      <c r="D684" s="145">
        <v>101284</v>
      </c>
      <c r="E684" s="146" t="s">
        <v>1543</v>
      </c>
      <c r="F684" s="146" t="s">
        <v>1543</v>
      </c>
      <c r="G684" s="147">
        <v>1700</v>
      </c>
      <c r="H684" s="147">
        <v>4</v>
      </c>
      <c r="I684" s="146" t="s">
        <v>209</v>
      </c>
      <c r="J684" s="146" t="s">
        <v>1542</v>
      </c>
      <c r="K684" s="146" t="s">
        <v>1543</v>
      </c>
      <c r="L684" s="147">
        <v>4</v>
      </c>
      <c r="M684" s="147">
        <v>1</v>
      </c>
      <c r="N684" s="146" t="s">
        <v>1544</v>
      </c>
      <c r="O684" s="147">
        <v>65</v>
      </c>
      <c r="P684" s="147">
        <v>3</v>
      </c>
      <c r="Q684" s="147">
        <v>19</v>
      </c>
      <c r="R684" s="146" t="s">
        <v>654</v>
      </c>
      <c r="S684" s="146" t="s">
        <v>655</v>
      </c>
      <c r="T684" s="147">
        <v>244</v>
      </c>
      <c r="U684" s="146" t="s">
        <v>656</v>
      </c>
      <c r="V684" s="146" t="s">
        <v>657</v>
      </c>
      <c r="W684" s="147">
        <v>1</v>
      </c>
      <c r="X684" s="147">
        <v>2</v>
      </c>
      <c r="Y684" s="146" t="s">
        <v>194</v>
      </c>
      <c r="Z684" s="146" t="s">
        <v>195</v>
      </c>
      <c r="AA684" s="146" t="s">
        <v>196</v>
      </c>
      <c r="AB684" s="146" t="s">
        <v>187</v>
      </c>
      <c r="AC684" s="146" t="s">
        <v>187</v>
      </c>
      <c r="AD684" s="148"/>
      <c r="AE684" s="146" t="s">
        <v>209</v>
      </c>
      <c r="AF684" s="147">
        <v>-2.2853300000000001</v>
      </c>
      <c r="AG684" s="149">
        <v>138.91552999999999</v>
      </c>
      <c r="AM684" s="133" t="str" cm="1">
        <f t="array" ref="AM684">IF(ROWS($AN$2:$AN683)&lt;=$AN$2,INDEX($V$3:$V$3000,_xlfn.AGGREGATE(15,3,($B$3:$B$3000=$AM$2)/($B$3:$B$3000=$AM$2)*(ROW($B$3:$B$3000)-ROW($B$2)),ROWS($AN$2:$AN683))),"")</f>
        <v/>
      </c>
      <c r="AN684" s="134" t="str" cm="1">
        <f t="array" ref="AN684">IF(ROWS($AN$2:$AN683)&lt;=$AN$2,INDEX($F$3:$F$3000,_xlfn.AGGREGATE(15,3,($B$3:$B$3000=$AM$2)/($B$3:$B$3000=$AM$2)*(ROW($B$3:$B$3000)-ROW($B$2)),ROWS($AN$2:$AN683))),"")</f>
        <v/>
      </c>
      <c r="AO684" s="135" t="str" cm="1">
        <f t="array" ref="AO684">IF(ROWS($AN$2:$AN683)&lt;=$AN$2,INDEX($G$3:$G$3000,_xlfn.AGGREGATE(15,3,($B$3:$B$3000=$AM$2)/($B$3:$B$3000=$AM$2)*(ROW($B$3:$B$3000)-ROW($B$2)),ROWS($AN$2:$AN683))),"")</f>
        <v/>
      </c>
      <c r="AP684" s="121"/>
      <c r="AT684" s="111"/>
      <c r="AW684" s="134"/>
      <c r="AX684" s="136"/>
      <c r="AY684" s="134"/>
    </row>
    <row r="685" spans="1:51" s="110" customFormat="1" ht="20" customHeight="1">
      <c r="A685" s="125" t="s">
        <v>185</v>
      </c>
      <c r="B685" s="126" t="s">
        <v>59</v>
      </c>
      <c r="C685" s="127">
        <v>11532</v>
      </c>
      <c r="D685" s="145">
        <v>102512</v>
      </c>
      <c r="E685" s="146" t="s">
        <v>2617</v>
      </c>
      <c r="F685" s="146" t="s">
        <v>2617</v>
      </c>
      <c r="G685" s="147">
        <v>1700</v>
      </c>
      <c r="H685" s="147">
        <v>4</v>
      </c>
      <c r="I685" s="146" t="s">
        <v>209</v>
      </c>
      <c r="J685" s="146" t="s">
        <v>2618</v>
      </c>
      <c r="K685" s="146" t="s">
        <v>2619</v>
      </c>
      <c r="L685" s="147">
        <v>0</v>
      </c>
      <c r="M685" s="147">
        <v>1</v>
      </c>
      <c r="N685" s="146" t="s">
        <v>1544</v>
      </c>
      <c r="O685" s="147">
        <v>65</v>
      </c>
      <c r="P685" s="147">
        <v>3</v>
      </c>
      <c r="Q685" s="147">
        <v>19</v>
      </c>
      <c r="R685" s="146" t="s">
        <v>654</v>
      </c>
      <c r="S685" s="146" t="s">
        <v>655</v>
      </c>
      <c r="T685" s="147">
        <v>244</v>
      </c>
      <c r="U685" s="146" t="s">
        <v>656</v>
      </c>
      <c r="V685" s="146" t="s">
        <v>657</v>
      </c>
      <c r="W685" s="147">
        <v>1</v>
      </c>
      <c r="X685" s="147">
        <v>2</v>
      </c>
      <c r="Y685" s="146" t="s">
        <v>194</v>
      </c>
      <c r="Z685" s="146" t="s">
        <v>195</v>
      </c>
      <c r="AA685" s="146" t="s">
        <v>196</v>
      </c>
      <c r="AB685" s="146" t="s">
        <v>187</v>
      </c>
      <c r="AC685" s="146" t="s">
        <v>187</v>
      </c>
      <c r="AD685" s="148"/>
      <c r="AE685" s="146" t="s">
        <v>209</v>
      </c>
      <c r="AF685" s="147">
        <v>-2.3758400000000002</v>
      </c>
      <c r="AG685" s="149">
        <v>140.15683000000001</v>
      </c>
      <c r="AM685" s="133" t="str" cm="1">
        <f t="array" ref="AM685">IF(ROWS($AN$2:$AN684)&lt;=$AN$2,INDEX($V$3:$V$3000,_xlfn.AGGREGATE(15,3,($B$3:$B$3000=$AM$2)/($B$3:$B$3000=$AM$2)*(ROW($B$3:$B$3000)-ROW($B$2)),ROWS($AN$2:$AN684))),"")</f>
        <v/>
      </c>
      <c r="AN685" s="134" t="str" cm="1">
        <f t="array" ref="AN685">IF(ROWS($AN$2:$AN684)&lt;=$AN$2,INDEX($F$3:$F$3000,_xlfn.AGGREGATE(15,3,($B$3:$B$3000=$AM$2)/($B$3:$B$3000=$AM$2)*(ROW($B$3:$B$3000)-ROW($B$2)),ROWS($AN$2:$AN684))),"")</f>
        <v/>
      </c>
      <c r="AO685" s="135" t="str" cm="1">
        <f t="array" ref="AO685">IF(ROWS($AN$2:$AN684)&lt;=$AN$2,INDEX($G$3:$G$3000,_xlfn.AGGREGATE(15,3,($B$3:$B$3000=$AM$2)/($B$3:$B$3000=$AM$2)*(ROW($B$3:$B$3000)-ROW($B$2)),ROWS($AN$2:$AN684))),"")</f>
        <v/>
      </c>
      <c r="AP685" s="121"/>
      <c r="AT685" s="111"/>
      <c r="AW685" s="134"/>
      <c r="AX685" s="136"/>
      <c r="AY685" s="134"/>
    </row>
    <row r="686" spans="1:51" s="110" customFormat="1" ht="20" customHeight="1">
      <c r="A686" s="125" t="s">
        <v>185</v>
      </c>
      <c r="B686" s="126" t="s">
        <v>59</v>
      </c>
      <c r="C686" s="127">
        <v>11616</v>
      </c>
      <c r="D686" s="145">
        <v>102724</v>
      </c>
      <c r="E686" s="146" t="s">
        <v>2620</v>
      </c>
      <c r="F686" s="146" t="s">
        <v>2620</v>
      </c>
      <c r="G686" s="147">
        <v>1700</v>
      </c>
      <c r="H686" s="147">
        <v>4</v>
      </c>
      <c r="I686" s="146" t="s">
        <v>209</v>
      </c>
      <c r="J686" s="146" t="s">
        <v>2621</v>
      </c>
      <c r="K686" s="146" t="s">
        <v>2622</v>
      </c>
      <c r="L686" s="147">
        <v>4</v>
      </c>
      <c r="M686" s="147">
        <v>1</v>
      </c>
      <c r="N686" s="146" t="s">
        <v>1544</v>
      </c>
      <c r="O686" s="147">
        <v>65</v>
      </c>
      <c r="P686" s="147">
        <v>4</v>
      </c>
      <c r="Q686" s="147">
        <v>19</v>
      </c>
      <c r="R686" s="146" t="s">
        <v>654</v>
      </c>
      <c r="S686" s="146" t="s">
        <v>655</v>
      </c>
      <c r="T686" s="147">
        <v>244</v>
      </c>
      <c r="U686" s="146" t="s">
        <v>656</v>
      </c>
      <c r="V686" s="146" t="s">
        <v>657</v>
      </c>
      <c r="W686" s="147">
        <v>1</v>
      </c>
      <c r="X686" s="147">
        <v>2</v>
      </c>
      <c r="Y686" s="146" t="s">
        <v>194</v>
      </c>
      <c r="Z686" s="146" t="s">
        <v>195</v>
      </c>
      <c r="AA686" s="146" t="s">
        <v>196</v>
      </c>
      <c r="AB686" s="146" t="s">
        <v>187</v>
      </c>
      <c r="AC686" s="146" t="s">
        <v>187</v>
      </c>
      <c r="AD686" s="148"/>
      <c r="AE686" s="146" t="s">
        <v>209</v>
      </c>
      <c r="AF686" s="147">
        <v>-3.11334</v>
      </c>
      <c r="AG686" s="149">
        <v>137.37468000000001</v>
      </c>
      <c r="AM686" s="133" t="str" cm="1">
        <f t="array" ref="AM686">IF(ROWS($AN$2:$AN685)&lt;=$AN$2,INDEX($V$3:$V$3000,_xlfn.AGGREGATE(15,3,($B$3:$B$3000=$AM$2)/($B$3:$B$3000=$AM$2)*(ROW($B$3:$B$3000)-ROW($B$2)),ROWS($AN$2:$AN685))),"")</f>
        <v/>
      </c>
      <c r="AN686" s="134" t="str" cm="1">
        <f t="array" ref="AN686">IF(ROWS($AN$2:$AN685)&lt;=$AN$2,INDEX($F$3:$F$3000,_xlfn.AGGREGATE(15,3,($B$3:$B$3000=$AM$2)/($B$3:$B$3000=$AM$2)*(ROW($B$3:$B$3000)-ROW($B$2)),ROWS($AN$2:$AN685))),"")</f>
        <v/>
      </c>
      <c r="AO686" s="135" t="str" cm="1">
        <f t="array" ref="AO686">IF(ROWS($AN$2:$AN685)&lt;=$AN$2,INDEX($G$3:$G$3000,_xlfn.AGGREGATE(15,3,($B$3:$B$3000=$AM$2)/($B$3:$B$3000=$AM$2)*(ROW($B$3:$B$3000)-ROW($B$2)),ROWS($AN$2:$AN685))),"")</f>
        <v/>
      </c>
      <c r="AP686" s="121"/>
      <c r="AT686" s="111"/>
      <c r="AW686" s="134"/>
      <c r="AX686" s="136"/>
      <c r="AY686" s="134"/>
    </row>
    <row r="687" spans="1:51" s="110" customFormat="1" ht="20" customHeight="1">
      <c r="A687" s="125" t="s">
        <v>185</v>
      </c>
      <c r="B687" s="126" t="s">
        <v>59</v>
      </c>
      <c r="C687" s="127">
        <v>13806</v>
      </c>
      <c r="D687" s="145">
        <v>106787</v>
      </c>
      <c r="E687" s="146" t="s">
        <v>2625</v>
      </c>
      <c r="F687" s="146" t="s">
        <v>2625</v>
      </c>
      <c r="G687" s="147">
        <v>1700</v>
      </c>
      <c r="H687" s="147">
        <v>4</v>
      </c>
      <c r="I687" s="146" t="s">
        <v>209</v>
      </c>
      <c r="J687" s="146" t="s">
        <v>2626</v>
      </c>
      <c r="K687" s="146" t="s">
        <v>2625</v>
      </c>
      <c r="L687" s="147">
        <v>1</v>
      </c>
      <c r="M687" s="147">
        <v>1</v>
      </c>
      <c r="N687" s="146" t="s">
        <v>1544</v>
      </c>
      <c r="O687" s="147">
        <v>65</v>
      </c>
      <c r="P687" s="147">
        <v>3</v>
      </c>
      <c r="Q687" s="147">
        <v>19</v>
      </c>
      <c r="R687" s="146" t="s">
        <v>654</v>
      </c>
      <c r="S687" s="146" t="s">
        <v>655</v>
      </c>
      <c r="T687" s="147">
        <v>244</v>
      </c>
      <c r="U687" s="146" t="s">
        <v>656</v>
      </c>
      <c r="V687" s="146" t="s">
        <v>657</v>
      </c>
      <c r="W687" s="147">
        <v>1</v>
      </c>
      <c r="X687" s="147">
        <v>2</v>
      </c>
      <c r="Y687" s="146" t="s">
        <v>194</v>
      </c>
      <c r="Z687" s="146" t="s">
        <v>195</v>
      </c>
      <c r="AA687" s="146" t="s">
        <v>196</v>
      </c>
      <c r="AB687" s="146" t="s">
        <v>187</v>
      </c>
      <c r="AC687" s="146" t="s">
        <v>187</v>
      </c>
      <c r="AD687" s="148"/>
      <c r="AE687" s="146" t="s">
        <v>209</v>
      </c>
      <c r="AF687" s="147">
        <v>-1.0279499999999999</v>
      </c>
      <c r="AG687" s="149">
        <v>131.92457999999999</v>
      </c>
      <c r="AM687" s="133" t="str" cm="1">
        <f t="array" ref="AM687">IF(ROWS($AN$2:$AN686)&lt;=$AN$2,INDEX($V$3:$V$3000,_xlfn.AGGREGATE(15,3,($B$3:$B$3000=$AM$2)/($B$3:$B$3000=$AM$2)*(ROW($B$3:$B$3000)-ROW($B$2)),ROWS($AN$2:$AN686))),"")</f>
        <v/>
      </c>
      <c r="AN687" s="134" t="str" cm="1">
        <f t="array" ref="AN687">IF(ROWS($AN$2:$AN686)&lt;=$AN$2,INDEX($F$3:$F$3000,_xlfn.AGGREGATE(15,3,($B$3:$B$3000=$AM$2)/($B$3:$B$3000=$AM$2)*(ROW($B$3:$B$3000)-ROW($B$2)),ROWS($AN$2:$AN686))),"")</f>
        <v/>
      </c>
      <c r="AO687" s="135" t="str" cm="1">
        <f t="array" ref="AO687">IF(ROWS($AN$2:$AN686)&lt;=$AN$2,INDEX($G$3:$G$3000,_xlfn.AGGREGATE(15,3,($B$3:$B$3000=$AM$2)/($B$3:$B$3000=$AM$2)*(ROW($B$3:$B$3000)-ROW($B$2)),ROWS($AN$2:$AN686))),"")</f>
        <v/>
      </c>
      <c r="AP687" s="121"/>
      <c r="AT687" s="111"/>
      <c r="AW687" s="134"/>
      <c r="AX687" s="136"/>
      <c r="AY687" s="134"/>
    </row>
    <row r="688" spans="1:51" s="110" customFormat="1" ht="20" customHeight="1">
      <c r="A688" s="125" t="s">
        <v>185</v>
      </c>
      <c r="B688" s="126" t="s">
        <v>59</v>
      </c>
      <c r="C688" s="127">
        <v>10402</v>
      </c>
      <c r="D688" s="145">
        <v>100459</v>
      </c>
      <c r="E688" s="146" t="s">
        <v>2554</v>
      </c>
      <c r="F688" s="146" t="s">
        <v>2555</v>
      </c>
      <c r="G688" s="147">
        <v>1600</v>
      </c>
      <c r="H688" s="147">
        <v>4</v>
      </c>
      <c r="I688" s="146" t="s">
        <v>209</v>
      </c>
      <c r="J688" s="146" t="s">
        <v>2556</v>
      </c>
      <c r="K688" s="146" t="s">
        <v>2554</v>
      </c>
      <c r="L688" s="147">
        <v>1</v>
      </c>
      <c r="M688" s="147">
        <v>1</v>
      </c>
      <c r="N688" s="146" t="s">
        <v>1544</v>
      </c>
      <c r="O688" s="147">
        <v>65</v>
      </c>
      <c r="P688" s="147">
        <v>6</v>
      </c>
      <c r="Q688" s="147">
        <v>19</v>
      </c>
      <c r="R688" s="146" t="s">
        <v>654</v>
      </c>
      <c r="S688" s="146" t="s">
        <v>655</v>
      </c>
      <c r="T688" s="147">
        <v>244</v>
      </c>
      <c r="U688" s="146" t="s">
        <v>656</v>
      </c>
      <c r="V688" s="146" t="s">
        <v>657</v>
      </c>
      <c r="W688" s="147">
        <v>1</v>
      </c>
      <c r="X688" s="147">
        <v>2</v>
      </c>
      <c r="Y688" s="146" t="s">
        <v>194</v>
      </c>
      <c r="Z688" s="146" t="s">
        <v>195</v>
      </c>
      <c r="AA688" s="146" t="s">
        <v>196</v>
      </c>
      <c r="AB688" s="146" t="s">
        <v>187</v>
      </c>
      <c r="AC688" s="146" t="s">
        <v>187</v>
      </c>
      <c r="AD688" s="148"/>
      <c r="AE688" s="146" t="s">
        <v>209</v>
      </c>
      <c r="AF688" s="147">
        <v>-2.0801599998840699</v>
      </c>
      <c r="AG688" s="149">
        <v>132.98336999982601</v>
      </c>
      <c r="AM688" s="133" t="str" cm="1">
        <f t="array" ref="AM688">IF(ROWS($AN$2:$AN687)&lt;=$AN$2,INDEX($V$3:$V$3000,_xlfn.AGGREGATE(15,3,($B$3:$B$3000=$AM$2)/($B$3:$B$3000=$AM$2)*(ROW($B$3:$B$3000)-ROW($B$2)),ROWS($AN$2:$AN687))),"")</f>
        <v/>
      </c>
      <c r="AN688" s="134" t="str" cm="1">
        <f t="array" ref="AN688">IF(ROWS($AN$2:$AN687)&lt;=$AN$2,INDEX($F$3:$F$3000,_xlfn.AGGREGATE(15,3,($B$3:$B$3000=$AM$2)/($B$3:$B$3000=$AM$2)*(ROW($B$3:$B$3000)-ROW($B$2)),ROWS($AN$2:$AN687))),"")</f>
        <v/>
      </c>
      <c r="AO688" s="135" t="str" cm="1">
        <f t="array" ref="AO688">IF(ROWS($AN$2:$AN687)&lt;=$AN$2,INDEX($G$3:$G$3000,_xlfn.AGGREGATE(15,3,($B$3:$B$3000=$AM$2)/($B$3:$B$3000=$AM$2)*(ROW($B$3:$B$3000)-ROW($B$2)),ROWS($AN$2:$AN687))),"")</f>
        <v/>
      </c>
      <c r="AP688" s="121"/>
      <c r="AT688" s="111"/>
      <c r="AW688" s="134"/>
      <c r="AX688" s="136"/>
      <c r="AY688" s="134"/>
    </row>
    <row r="689" spans="1:51" s="110" customFormat="1" ht="20" customHeight="1">
      <c r="A689" s="125" t="s">
        <v>185</v>
      </c>
      <c r="B689" s="126" t="s">
        <v>59</v>
      </c>
      <c r="C689" s="127">
        <v>12470</v>
      </c>
      <c r="D689" s="145">
        <v>104521</v>
      </c>
      <c r="E689" s="146" t="s">
        <v>2557</v>
      </c>
      <c r="F689" s="146" t="s">
        <v>2558</v>
      </c>
      <c r="G689" s="147">
        <v>1600</v>
      </c>
      <c r="H689" s="147">
        <v>4</v>
      </c>
      <c r="I689" s="146" t="s">
        <v>209</v>
      </c>
      <c r="J689" s="146" t="s">
        <v>2559</v>
      </c>
      <c r="K689" s="146" t="s">
        <v>2560</v>
      </c>
      <c r="L689" s="147">
        <v>3</v>
      </c>
      <c r="M689" s="147">
        <v>1</v>
      </c>
      <c r="N689" s="146" t="s">
        <v>1544</v>
      </c>
      <c r="O689" s="147">
        <v>65</v>
      </c>
      <c r="P689" s="147">
        <v>4</v>
      </c>
      <c r="Q689" s="147">
        <v>19</v>
      </c>
      <c r="R689" s="146" t="s">
        <v>654</v>
      </c>
      <c r="S689" s="146" t="s">
        <v>655</v>
      </c>
      <c r="T689" s="147">
        <v>244</v>
      </c>
      <c r="U689" s="146" t="s">
        <v>656</v>
      </c>
      <c r="V689" s="146" t="s">
        <v>657</v>
      </c>
      <c r="W689" s="147">
        <v>2</v>
      </c>
      <c r="X689" s="147">
        <v>2</v>
      </c>
      <c r="Y689" s="146" t="s">
        <v>194</v>
      </c>
      <c r="Z689" s="146" t="s">
        <v>195</v>
      </c>
      <c r="AA689" s="146" t="s">
        <v>196</v>
      </c>
      <c r="AB689" s="146" t="s">
        <v>187</v>
      </c>
      <c r="AC689" s="146" t="s">
        <v>187</v>
      </c>
      <c r="AD689" s="148"/>
      <c r="AE689" s="146" t="s">
        <v>209</v>
      </c>
      <c r="AF689" s="147">
        <v>-3.5622799999999999</v>
      </c>
      <c r="AG689" s="149">
        <v>140.95410999999999</v>
      </c>
      <c r="AM689" s="133" t="str" cm="1">
        <f t="array" ref="AM689">IF(ROWS($AN$2:$AN688)&lt;=$AN$2,INDEX($V$3:$V$3000,_xlfn.AGGREGATE(15,3,($B$3:$B$3000=$AM$2)/($B$3:$B$3000=$AM$2)*(ROW($B$3:$B$3000)-ROW($B$2)),ROWS($AN$2:$AN688))),"")</f>
        <v/>
      </c>
      <c r="AN689" s="134" t="str" cm="1">
        <f t="array" ref="AN689">IF(ROWS($AN$2:$AN688)&lt;=$AN$2,INDEX($F$3:$F$3000,_xlfn.AGGREGATE(15,3,($B$3:$B$3000=$AM$2)/($B$3:$B$3000=$AM$2)*(ROW($B$3:$B$3000)-ROW($B$2)),ROWS($AN$2:$AN688))),"")</f>
        <v/>
      </c>
      <c r="AO689" s="135" t="str" cm="1">
        <f t="array" ref="AO689">IF(ROWS($AN$2:$AN688)&lt;=$AN$2,INDEX($G$3:$G$3000,_xlfn.AGGREGATE(15,3,($B$3:$B$3000=$AM$2)/($B$3:$B$3000=$AM$2)*(ROW($B$3:$B$3000)-ROW($B$2)),ROWS($AN$2:$AN688))),"")</f>
        <v/>
      </c>
      <c r="AP689" s="121"/>
      <c r="AT689" s="111"/>
      <c r="AW689" s="134"/>
      <c r="AX689" s="136"/>
      <c r="AY689" s="134"/>
    </row>
    <row r="690" spans="1:51" s="110" customFormat="1" ht="20" customHeight="1">
      <c r="A690" s="125" t="s">
        <v>185</v>
      </c>
      <c r="B690" s="126" t="s">
        <v>59</v>
      </c>
      <c r="C690" s="127">
        <v>12576</v>
      </c>
      <c r="D690" s="145">
        <v>104751</v>
      </c>
      <c r="E690" s="146" t="s">
        <v>2561</v>
      </c>
      <c r="F690" s="146" t="s">
        <v>2562</v>
      </c>
      <c r="G690" s="147">
        <v>1600</v>
      </c>
      <c r="H690" s="147">
        <v>4</v>
      </c>
      <c r="I690" s="146" t="s">
        <v>209</v>
      </c>
      <c r="J690" s="146" t="s">
        <v>2563</v>
      </c>
      <c r="K690" s="146" t="s">
        <v>2564</v>
      </c>
      <c r="L690" s="147">
        <v>1</v>
      </c>
      <c r="M690" s="147">
        <v>1</v>
      </c>
      <c r="N690" s="146" t="s">
        <v>1544</v>
      </c>
      <c r="O690" s="147">
        <v>65</v>
      </c>
      <c r="P690" s="147">
        <v>3</v>
      </c>
      <c r="Q690" s="147">
        <v>19</v>
      </c>
      <c r="R690" s="146" t="s">
        <v>654</v>
      </c>
      <c r="S690" s="146" t="s">
        <v>655</v>
      </c>
      <c r="T690" s="147">
        <v>244</v>
      </c>
      <c r="U690" s="146" t="s">
        <v>656</v>
      </c>
      <c r="V690" s="146" t="s">
        <v>657</v>
      </c>
      <c r="W690" s="147">
        <v>1</v>
      </c>
      <c r="X690" s="147">
        <v>2</v>
      </c>
      <c r="Y690" s="146" t="s">
        <v>194</v>
      </c>
      <c r="Z690" s="146" t="s">
        <v>195</v>
      </c>
      <c r="AA690" s="146" t="s">
        <v>196</v>
      </c>
      <c r="AB690" s="146" t="s">
        <v>187</v>
      </c>
      <c r="AC690" s="146" t="s">
        <v>187</v>
      </c>
      <c r="AD690" s="148"/>
      <c r="AE690" s="146" t="s">
        <v>209</v>
      </c>
      <c r="AF690" s="147">
        <v>-6.2848199999999999</v>
      </c>
      <c r="AG690" s="149">
        <v>138.63404</v>
      </c>
      <c r="AM690" s="133" t="str" cm="1">
        <f t="array" ref="AM690">IF(ROWS($AN$2:$AN689)&lt;=$AN$2,INDEX($V$3:$V$3000,_xlfn.AGGREGATE(15,3,($B$3:$B$3000=$AM$2)/($B$3:$B$3000=$AM$2)*(ROW($B$3:$B$3000)-ROW($B$2)),ROWS($AN$2:$AN689))),"")</f>
        <v/>
      </c>
      <c r="AN690" s="134" t="str" cm="1">
        <f t="array" ref="AN690">IF(ROWS($AN$2:$AN689)&lt;=$AN$2,INDEX($F$3:$F$3000,_xlfn.AGGREGATE(15,3,($B$3:$B$3000=$AM$2)/($B$3:$B$3000=$AM$2)*(ROW($B$3:$B$3000)-ROW($B$2)),ROWS($AN$2:$AN689))),"")</f>
        <v/>
      </c>
      <c r="AO690" s="135" t="str" cm="1">
        <f t="array" ref="AO690">IF(ROWS($AN$2:$AN689)&lt;=$AN$2,INDEX($G$3:$G$3000,_xlfn.AGGREGATE(15,3,($B$3:$B$3000=$AM$2)/($B$3:$B$3000=$AM$2)*(ROW($B$3:$B$3000)-ROW($B$2)),ROWS($AN$2:$AN689))),"")</f>
        <v/>
      </c>
      <c r="AP690" s="121"/>
      <c r="AT690" s="111"/>
      <c r="AW690" s="134"/>
      <c r="AX690" s="136"/>
      <c r="AY690" s="134"/>
    </row>
    <row r="691" spans="1:51" s="110" customFormat="1" ht="20" customHeight="1">
      <c r="A691" s="125" t="s">
        <v>185</v>
      </c>
      <c r="B691" s="126" t="s">
        <v>59</v>
      </c>
      <c r="C691" s="127">
        <v>12773</v>
      </c>
      <c r="D691" s="145">
        <v>105175</v>
      </c>
      <c r="E691" s="146" t="s">
        <v>2565</v>
      </c>
      <c r="F691" s="146" t="s">
        <v>2565</v>
      </c>
      <c r="G691" s="147">
        <v>1600</v>
      </c>
      <c r="H691" s="147">
        <v>4</v>
      </c>
      <c r="I691" s="146" t="s">
        <v>209</v>
      </c>
      <c r="J691" s="146" t="s">
        <v>2566</v>
      </c>
      <c r="K691" s="146" t="s">
        <v>2565</v>
      </c>
      <c r="L691" s="147">
        <v>0</v>
      </c>
      <c r="M691" s="147">
        <v>1</v>
      </c>
      <c r="N691" s="146" t="s">
        <v>1544</v>
      </c>
      <c r="O691" s="147">
        <v>60</v>
      </c>
      <c r="P691" s="147">
        <v>4</v>
      </c>
      <c r="Q691" s="147">
        <v>19</v>
      </c>
      <c r="R691" s="146" t="s">
        <v>654</v>
      </c>
      <c r="S691" s="146" t="s">
        <v>655</v>
      </c>
      <c r="T691" s="147">
        <v>244</v>
      </c>
      <c r="U691" s="146" t="s">
        <v>656</v>
      </c>
      <c r="V691" s="146" t="s">
        <v>657</v>
      </c>
      <c r="W691" s="147">
        <v>1</v>
      </c>
      <c r="X691" s="147">
        <v>2</v>
      </c>
      <c r="Y691" s="146" t="s">
        <v>194</v>
      </c>
      <c r="Z691" s="146" t="s">
        <v>195</v>
      </c>
      <c r="AA691" s="146" t="s">
        <v>196</v>
      </c>
      <c r="AB691" s="146" t="s">
        <v>187</v>
      </c>
      <c r="AC691" s="146" t="s">
        <v>187</v>
      </c>
      <c r="AD691" s="148"/>
      <c r="AE691" s="146" t="s">
        <v>209</v>
      </c>
      <c r="AF691" s="147">
        <v>-8.3728499999999997</v>
      </c>
      <c r="AG691" s="149">
        <v>138.06720999999999</v>
      </c>
      <c r="AM691" s="133" t="str" cm="1">
        <f t="array" ref="AM691">IF(ROWS($AN$2:$AN690)&lt;=$AN$2,INDEX($V$3:$V$3000,_xlfn.AGGREGATE(15,3,($B$3:$B$3000=$AM$2)/($B$3:$B$3000=$AM$2)*(ROW($B$3:$B$3000)-ROW($B$2)),ROWS($AN$2:$AN690))),"")</f>
        <v/>
      </c>
      <c r="AN691" s="134" t="str" cm="1">
        <f t="array" ref="AN691">IF(ROWS($AN$2:$AN690)&lt;=$AN$2,INDEX($F$3:$F$3000,_xlfn.AGGREGATE(15,3,($B$3:$B$3000=$AM$2)/($B$3:$B$3000=$AM$2)*(ROW($B$3:$B$3000)-ROW($B$2)),ROWS($AN$2:$AN690))),"")</f>
        <v/>
      </c>
      <c r="AO691" s="135" t="str" cm="1">
        <f t="array" ref="AO691">IF(ROWS($AN$2:$AN690)&lt;=$AN$2,INDEX($G$3:$G$3000,_xlfn.AGGREGATE(15,3,($B$3:$B$3000=$AM$2)/($B$3:$B$3000=$AM$2)*(ROW($B$3:$B$3000)-ROW($B$2)),ROWS($AN$2:$AN690))),"")</f>
        <v/>
      </c>
      <c r="AP691" s="121"/>
      <c r="AT691" s="111"/>
      <c r="AW691" s="134"/>
      <c r="AX691" s="136"/>
      <c r="AY691" s="134"/>
    </row>
    <row r="692" spans="1:51" s="110" customFormat="1" ht="20" customHeight="1">
      <c r="A692" s="125" t="s">
        <v>185</v>
      </c>
      <c r="B692" s="126" t="s">
        <v>59</v>
      </c>
      <c r="C692" s="127">
        <v>14873</v>
      </c>
      <c r="D692" s="145">
        <v>108872</v>
      </c>
      <c r="E692" s="146" t="s">
        <v>2577</v>
      </c>
      <c r="F692" s="146" t="s">
        <v>2577</v>
      </c>
      <c r="G692" s="147">
        <v>1600</v>
      </c>
      <c r="H692" s="147">
        <v>4</v>
      </c>
      <c r="I692" s="146" t="s">
        <v>209</v>
      </c>
      <c r="J692" s="146" t="s">
        <v>2578</v>
      </c>
      <c r="K692" s="146" t="s">
        <v>2577</v>
      </c>
      <c r="L692" s="147">
        <v>0</v>
      </c>
      <c r="M692" s="147">
        <v>1</v>
      </c>
      <c r="N692" s="146" t="s">
        <v>1544</v>
      </c>
      <c r="O692" s="147">
        <v>95</v>
      </c>
      <c r="P692" s="147">
        <v>5</v>
      </c>
      <c r="Q692" s="147">
        <v>19</v>
      </c>
      <c r="R692" s="146" t="s">
        <v>654</v>
      </c>
      <c r="S692" s="146" t="s">
        <v>655</v>
      </c>
      <c r="T692" s="147">
        <v>244</v>
      </c>
      <c r="U692" s="146" t="s">
        <v>656</v>
      </c>
      <c r="V692" s="146" t="s">
        <v>657</v>
      </c>
      <c r="W692" s="147">
        <v>1</v>
      </c>
      <c r="X692" s="147">
        <v>2</v>
      </c>
      <c r="Y692" s="146" t="s">
        <v>194</v>
      </c>
      <c r="Z692" s="146" t="s">
        <v>195</v>
      </c>
      <c r="AA692" s="146" t="s">
        <v>196</v>
      </c>
      <c r="AB692" s="146" t="s">
        <v>187</v>
      </c>
      <c r="AC692" s="146" t="s">
        <v>187</v>
      </c>
      <c r="AD692" s="148"/>
      <c r="AE692" s="146" t="s">
        <v>209</v>
      </c>
      <c r="AF692" s="147">
        <v>-1.8779399999999999</v>
      </c>
      <c r="AG692" s="149">
        <v>136.25628</v>
      </c>
      <c r="AM692" s="133" t="str" cm="1">
        <f t="array" ref="AM692">IF(ROWS($AN$2:$AN691)&lt;=$AN$2,INDEX($V$3:$V$3000,_xlfn.AGGREGATE(15,3,($B$3:$B$3000=$AM$2)/($B$3:$B$3000=$AM$2)*(ROW($B$3:$B$3000)-ROW($B$2)),ROWS($AN$2:$AN691))),"")</f>
        <v/>
      </c>
      <c r="AN692" s="134" t="str" cm="1">
        <f t="array" ref="AN692">IF(ROWS($AN$2:$AN691)&lt;=$AN$2,INDEX($F$3:$F$3000,_xlfn.AGGREGATE(15,3,($B$3:$B$3000=$AM$2)/($B$3:$B$3000=$AM$2)*(ROW($B$3:$B$3000)-ROW($B$2)),ROWS($AN$2:$AN691))),"")</f>
        <v/>
      </c>
      <c r="AO692" s="135" t="str" cm="1">
        <f t="array" ref="AO692">IF(ROWS($AN$2:$AN691)&lt;=$AN$2,INDEX($G$3:$G$3000,_xlfn.AGGREGATE(15,3,($B$3:$B$3000=$AM$2)/($B$3:$B$3000=$AM$2)*(ROW($B$3:$B$3000)-ROW($B$2)),ROWS($AN$2:$AN691))),"")</f>
        <v/>
      </c>
      <c r="AP692" s="121"/>
      <c r="AT692" s="111"/>
      <c r="AW692" s="134"/>
      <c r="AX692" s="136"/>
      <c r="AY692" s="134"/>
    </row>
    <row r="693" spans="1:51" s="110" customFormat="1" ht="20" customHeight="1">
      <c r="A693" s="125" t="s">
        <v>185</v>
      </c>
      <c r="B693" s="126" t="s">
        <v>59</v>
      </c>
      <c r="C693" s="127">
        <v>11193</v>
      </c>
      <c r="D693" s="145">
        <v>103008</v>
      </c>
      <c r="E693" s="146" t="s">
        <v>2515</v>
      </c>
      <c r="F693" s="146" t="s">
        <v>2515</v>
      </c>
      <c r="G693" s="147">
        <v>1500</v>
      </c>
      <c r="H693" s="147">
        <v>4</v>
      </c>
      <c r="I693" s="146" t="s">
        <v>209</v>
      </c>
      <c r="J693" s="146" t="s">
        <v>2516</v>
      </c>
      <c r="K693" s="146" t="s">
        <v>2515</v>
      </c>
      <c r="L693" s="147">
        <v>2</v>
      </c>
      <c r="M693" s="147">
        <v>1</v>
      </c>
      <c r="N693" s="146" t="s">
        <v>1544</v>
      </c>
      <c r="O693" s="147">
        <v>65</v>
      </c>
      <c r="P693" s="147">
        <v>6</v>
      </c>
      <c r="Q693" s="147">
        <v>19</v>
      </c>
      <c r="R693" s="146" t="s">
        <v>654</v>
      </c>
      <c r="S693" s="146" t="s">
        <v>655</v>
      </c>
      <c r="T693" s="147">
        <v>244</v>
      </c>
      <c r="U693" s="146" t="s">
        <v>656</v>
      </c>
      <c r="V693" s="146" t="s">
        <v>657</v>
      </c>
      <c r="W693" s="147">
        <v>1</v>
      </c>
      <c r="X693" s="147">
        <v>2</v>
      </c>
      <c r="Y693" s="146" t="s">
        <v>194</v>
      </c>
      <c r="Z693" s="146" t="s">
        <v>195</v>
      </c>
      <c r="AA693" s="146" t="s">
        <v>196</v>
      </c>
      <c r="AB693" s="146" t="s">
        <v>187</v>
      </c>
      <c r="AC693" s="146" t="s">
        <v>187</v>
      </c>
      <c r="AD693" s="148"/>
      <c r="AE693" s="146" t="s">
        <v>209</v>
      </c>
      <c r="AF693" s="147">
        <v>-3.0579700000000001</v>
      </c>
      <c r="AG693" s="149">
        <v>136.78099</v>
      </c>
      <c r="AM693" s="133" t="str" cm="1">
        <f t="array" ref="AM693">IF(ROWS($AN$2:$AN692)&lt;=$AN$2,INDEX($V$3:$V$3000,_xlfn.AGGREGATE(15,3,($B$3:$B$3000=$AM$2)/($B$3:$B$3000=$AM$2)*(ROW($B$3:$B$3000)-ROW($B$2)),ROWS($AN$2:$AN692))),"")</f>
        <v/>
      </c>
      <c r="AN693" s="134" t="str" cm="1">
        <f t="array" ref="AN693">IF(ROWS($AN$2:$AN692)&lt;=$AN$2,INDEX($F$3:$F$3000,_xlfn.AGGREGATE(15,3,($B$3:$B$3000=$AM$2)/($B$3:$B$3000=$AM$2)*(ROW($B$3:$B$3000)-ROW($B$2)),ROWS($AN$2:$AN692))),"")</f>
        <v/>
      </c>
      <c r="AO693" s="135" t="str" cm="1">
        <f t="array" ref="AO693">IF(ROWS($AN$2:$AN692)&lt;=$AN$2,INDEX($G$3:$G$3000,_xlfn.AGGREGATE(15,3,($B$3:$B$3000=$AM$2)/($B$3:$B$3000=$AM$2)*(ROW($B$3:$B$3000)-ROW($B$2)),ROWS($AN$2:$AN692))),"")</f>
        <v/>
      </c>
      <c r="AP693" s="121"/>
      <c r="AT693" s="111"/>
      <c r="AW693" s="134"/>
      <c r="AX693" s="136"/>
      <c r="AY693" s="134"/>
    </row>
    <row r="694" spans="1:51" s="110" customFormat="1" ht="20" customHeight="1">
      <c r="A694" s="125" t="s">
        <v>185</v>
      </c>
      <c r="B694" s="126" t="s">
        <v>59</v>
      </c>
      <c r="C694" s="127">
        <v>13286</v>
      </c>
      <c r="D694" s="145">
        <v>107166</v>
      </c>
      <c r="E694" s="146" t="s">
        <v>2517</v>
      </c>
      <c r="F694" s="146" t="s">
        <v>2517</v>
      </c>
      <c r="G694" s="147">
        <v>1500</v>
      </c>
      <c r="H694" s="147">
        <v>4</v>
      </c>
      <c r="I694" s="146" t="s">
        <v>209</v>
      </c>
      <c r="J694" s="146" t="s">
        <v>2518</v>
      </c>
      <c r="K694" s="146" t="s">
        <v>2517</v>
      </c>
      <c r="L694" s="147">
        <v>1</v>
      </c>
      <c r="M694" s="147">
        <v>1</v>
      </c>
      <c r="N694" s="146" t="s">
        <v>1544</v>
      </c>
      <c r="O694" s="147">
        <v>70</v>
      </c>
      <c r="P694" s="147">
        <v>4</v>
      </c>
      <c r="Q694" s="147">
        <v>19</v>
      </c>
      <c r="R694" s="146" t="s">
        <v>654</v>
      </c>
      <c r="S694" s="146" t="s">
        <v>655</v>
      </c>
      <c r="T694" s="147">
        <v>244</v>
      </c>
      <c r="U694" s="146" t="s">
        <v>656</v>
      </c>
      <c r="V694" s="146" t="s">
        <v>657</v>
      </c>
      <c r="W694" s="147">
        <v>1</v>
      </c>
      <c r="X694" s="147">
        <v>2</v>
      </c>
      <c r="Y694" s="146" t="s">
        <v>194</v>
      </c>
      <c r="Z694" s="146" t="s">
        <v>195</v>
      </c>
      <c r="AA694" s="146" t="s">
        <v>196</v>
      </c>
      <c r="AB694" s="146" t="s">
        <v>187</v>
      </c>
      <c r="AC694" s="146" t="s">
        <v>187</v>
      </c>
      <c r="AD694" s="148"/>
      <c r="AE694" s="146" t="s">
        <v>209</v>
      </c>
      <c r="AF694" s="147">
        <v>-8.1777300000000004</v>
      </c>
      <c r="AG694" s="149">
        <v>138.00828999999999</v>
      </c>
      <c r="AM694" s="133" t="str" cm="1">
        <f t="array" ref="AM694">IF(ROWS($AN$2:$AN693)&lt;=$AN$2,INDEX($V$3:$V$3000,_xlfn.AGGREGATE(15,3,($B$3:$B$3000=$AM$2)/($B$3:$B$3000=$AM$2)*(ROW($B$3:$B$3000)-ROW($B$2)),ROWS($AN$2:$AN693))),"")</f>
        <v/>
      </c>
      <c r="AN694" s="134" t="str" cm="1">
        <f t="array" ref="AN694">IF(ROWS($AN$2:$AN693)&lt;=$AN$2,INDEX($F$3:$F$3000,_xlfn.AGGREGATE(15,3,($B$3:$B$3000=$AM$2)/($B$3:$B$3000=$AM$2)*(ROW($B$3:$B$3000)-ROW($B$2)),ROWS($AN$2:$AN693))),"")</f>
        <v/>
      </c>
      <c r="AO694" s="135" t="str" cm="1">
        <f t="array" ref="AO694">IF(ROWS($AN$2:$AN693)&lt;=$AN$2,INDEX($G$3:$G$3000,_xlfn.AGGREGATE(15,3,($B$3:$B$3000=$AM$2)/($B$3:$B$3000=$AM$2)*(ROW($B$3:$B$3000)-ROW($B$2)),ROWS($AN$2:$AN693))),"")</f>
        <v/>
      </c>
      <c r="AP694" s="121"/>
      <c r="AT694" s="111"/>
      <c r="AW694" s="134"/>
      <c r="AX694" s="136"/>
      <c r="AY694" s="134"/>
    </row>
    <row r="695" spans="1:51" s="110" customFormat="1" ht="20" customHeight="1">
      <c r="A695" s="125" t="s">
        <v>185</v>
      </c>
      <c r="B695" s="126" t="s">
        <v>59</v>
      </c>
      <c r="C695" s="127">
        <v>19493</v>
      </c>
      <c r="D695" s="145">
        <v>110673</v>
      </c>
      <c r="E695" s="146" t="s">
        <v>2519</v>
      </c>
      <c r="F695" s="146" t="s">
        <v>2519</v>
      </c>
      <c r="G695" s="147">
        <v>1500</v>
      </c>
      <c r="H695" s="147">
        <v>4</v>
      </c>
      <c r="I695" s="146" t="s">
        <v>209</v>
      </c>
      <c r="J695" s="146" t="s">
        <v>2520</v>
      </c>
      <c r="K695" s="146" t="s">
        <v>2519</v>
      </c>
      <c r="L695" s="147">
        <v>2</v>
      </c>
      <c r="M695" s="147">
        <v>1</v>
      </c>
      <c r="N695" s="146" t="s">
        <v>1544</v>
      </c>
      <c r="O695" s="147">
        <v>65</v>
      </c>
      <c r="P695" s="147">
        <v>3</v>
      </c>
      <c r="Q695" s="147">
        <v>19</v>
      </c>
      <c r="R695" s="146" t="s">
        <v>654</v>
      </c>
      <c r="S695" s="146" t="s">
        <v>655</v>
      </c>
      <c r="T695" s="147">
        <v>244</v>
      </c>
      <c r="U695" s="146" t="s">
        <v>656</v>
      </c>
      <c r="V695" s="146" t="s">
        <v>657</v>
      </c>
      <c r="W695" s="147">
        <v>1</v>
      </c>
      <c r="X695" s="147">
        <v>2</v>
      </c>
      <c r="Y695" s="146" t="s">
        <v>194</v>
      </c>
      <c r="Z695" s="146" t="s">
        <v>195</v>
      </c>
      <c r="AA695" s="146" t="s">
        <v>196</v>
      </c>
      <c r="AB695" s="146" t="s">
        <v>187</v>
      </c>
      <c r="AC695" s="146" t="s">
        <v>187</v>
      </c>
      <c r="AD695" s="148"/>
      <c r="AE695" s="146" t="s">
        <v>209</v>
      </c>
      <c r="AF695" s="147">
        <v>-5.5711000000000004</v>
      </c>
      <c r="AG695" s="149">
        <v>140.16867999999999</v>
      </c>
      <c r="AM695" s="133" t="str" cm="1">
        <f t="array" ref="AM695">IF(ROWS($AN$2:$AN694)&lt;=$AN$2,INDEX($V$3:$V$3000,_xlfn.AGGREGATE(15,3,($B$3:$B$3000=$AM$2)/($B$3:$B$3000=$AM$2)*(ROW($B$3:$B$3000)-ROW($B$2)),ROWS($AN$2:$AN694))),"")</f>
        <v/>
      </c>
      <c r="AN695" s="134" t="str" cm="1">
        <f t="array" ref="AN695">IF(ROWS($AN$2:$AN694)&lt;=$AN$2,INDEX($F$3:$F$3000,_xlfn.AGGREGATE(15,3,($B$3:$B$3000=$AM$2)/($B$3:$B$3000=$AM$2)*(ROW($B$3:$B$3000)-ROW($B$2)),ROWS($AN$2:$AN694))),"")</f>
        <v/>
      </c>
      <c r="AO695" s="135" t="str" cm="1">
        <f t="array" ref="AO695">IF(ROWS($AN$2:$AN694)&lt;=$AN$2,INDEX($G$3:$G$3000,_xlfn.AGGREGATE(15,3,($B$3:$B$3000=$AM$2)/($B$3:$B$3000=$AM$2)*(ROW($B$3:$B$3000)-ROW($B$2)),ROWS($AN$2:$AN694))),"")</f>
        <v/>
      </c>
      <c r="AP695" s="121"/>
      <c r="AT695" s="111"/>
      <c r="AW695" s="134"/>
      <c r="AX695" s="136"/>
      <c r="AY695" s="134"/>
    </row>
    <row r="696" spans="1:51" s="110" customFormat="1" ht="20" customHeight="1">
      <c r="A696" s="125" t="s">
        <v>185</v>
      </c>
      <c r="B696" s="126" t="s">
        <v>59</v>
      </c>
      <c r="C696" s="127">
        <v>15869</v>
      </c>
      <c r="D696" s="145">
        <v>110693</v>
      </c>
      <c r="E696" s="146" t="s">
        <v>2521</v>
      </c>
      <c r="F696" s="146" t="s">
        <v>2521</v>
      </c>
      <c r="G696" s="147">
        <v>1500</v>
      </c>
      <c r="H696" s="147">
        <v>4</v>
      </c>
      <c r="I696" s="146" t="s">
        <v>209</v>
      </c>
      <c r="J696" s="146" t="s">
        <v>2522</v>
      </c>
      <c r="K696" s="146" t="s">
        <v>2521</v>
      </c>
      <c r="L696" s="147">
        <v>4</v>
      </c>
      <c r="M696" s="147">
        <v>1</v>
      </c>
      <c r="N696" s="146" t="s">
        <v>1544</v>
      </c>
      <c r="O696" s="147">
        <v>60</v>
      </c>
      <c r="P696" s="147">
        <v>3</v>
      </c>
      <c r="Q696" s="147">
        <v>19</v>
      </c>
      <c r="R696" s="146" t="s">
        <v>654</v>
      </c>
      <c r="S696" s="146" t="s">
        <v>655</v>
      </c>
      <c r="T696" s="147">
        <v>244</v>
      </c>
      <c r="U696" s="146" t="s">
        <v>656</v>
      </c>
      <c r="V696" s="146" t="s">
        <v>657</v>
      </c>
      <c r="W696" s="147">
        <v>2</v>
      </c>
      <c r="X696" s="147">
        <v>2</v>
      </c>
      <c r="Y696" s="146" t="s">
        <v>194</v>
      </c>
      <c r="Z696" s="146" t="s">
        <v>195</v>
      </c>
      <c r="AA696" s="146" t="s">
        <v>196</v>
      </c>
      <c r="AB696" s="146" t="s">
        <v>187</v>
      </c>
      <c r="AC696" s="146" t="s">
        <v>187</v>
      </c>
      <c r="AD696" s="148"/>
      <c r="AE696" s="146" t="s">
        <v>209</v>
      </c>
      <c r="AF696" s="147">
        <v>-3.2420599999999999</v>
      </c>
      <c r="AG696" s="149">
        <v>140.8904</v>
      </c>
      <c r="AM696" s="133" t="str" cm="1">
        <f t="array" ref="AM696">IF(ROWS($AN$2:$AN695)&lt;=$AN$2,INDEX($V$3:$V$3000,_xlfn.AGGREGATE(15,3,($B$3:$B$3000=$AM$2)/($B$3:$B$3000=$AM$2)*(ROW($B$3:$B$3000)-ROW($B$2)),ROWS($AN$2:$AN695))),"")</f>
        <v/>
      </c>
      <c r="AN696" s="134" t="str" cm="1">
        <f t="array" ref="AN696">IF(ROWS($AN$2:$AN695)&lt;=$AN$2,INDEX($F$3:$F$3000,_xlfn.AGGREGATE(15,3,($B$3:$B$3000=$AM$2)/($B$3:$B$3000=$AM$2)*(ROW($B$3:$B$3000)-ROW($B$2)),ROWS($AN$2:$AN695))),"")</f>
        <v/>
      </c>
      <c r="AO696" s="135" t="str" cm="1">
        <f t="array" ref="AO696">IF(ROWS($AN$2:$AN695)&lt;=$AN$2,INDEX($G$3:$G$3000,_xlfn.AGGREGATE(15,3,($B$3:$B$3000=$AM$2)/($B$3:$B$3000=$AM$2)*(ROW($B$3:$B$3000)-ROW($B$2)),ROWS($AN$2:$AN695))),"")</f>
        <v/>
      </c>
      <c r="AP696" s="121"/>
      <c r="AT696" s="111"/>
      <c r="AW696" s="134"/>
      <c r="AX696" s="136"/>
      <c r="AY696" s="134"/>
    </row>
    <row r="697" spans="1:51" s="110" customFormat="1" ht="20" customHeight="1">
      <c r="A697" s="125" t="s">
        <v>185</v>
      </c>
      <c r="B697" s="126" t="s">
        <v>59</v>
      </c>
      <c r="C697" s="127">
        <v>10459</v>
      </c>
      <c r="D697" s="145">
        <v>100564</v>
      </c>
      <c r="E697" s="146" t="s">
        <v>2477</v>
      </c>
      <c r="F697" s="146" t="s">
        <v>2477</v>
      </c>
      <c r="G697" s="147">
        <v>1400</v>
      </c>
      <c r="H697" s="147">
        <v>4</v>
      </c>
      <c r="I697" s="146" t="s">
        <v>209</v>
      </c>
      <c r="J697" s="146" t="s">
        <v>2478</v>
      </c>
      <c r="K697" s="146" t="s">
        <v>2479</v>
      </c>
      <c r="L697" s="147">
        <v>1</v>
      </c>
      <c r="M697" s="147">
        <v>1</v>
      </c>
      <c r="N697" s="146" t="s">
        <v>1544</v>
      </c>
      <c r="O697" s="147">
        <v>80</v>
      </c>
      <c r="P697" s="147">
        <v>3</v>
      </c>
      <c r="Q697" s="147">
        <v>19</v>
      </c>
      <c r="R697" s="146" t="s">
        <v>654</v>
      </c>
      <c r="S697" s="146" t="s">
        <v>655</v>
      </c>
      <c r="T697" s="147">
        <v>244</v>
      </c>
      <c r="U697" s="146" t="s">
        <v>656</v>
      </c>
      <c r="V697" s="146" t="s">
        <v>657</v>
      </c>
      <c r="W697" s="147">
        <v>1</v>
      </c>
      <c r="X697" s="147">
        <v>2</v>
      </c>
      <c r="Y697" s="146" t="s">
        <v>194</v>
      </c>
      <c r="Z697" s="146" t="s">
        <v>195</v>
      </c>
      <c r="AA697" s="146" t="s">
        <v>196</v>
      </c>
      <c r="AB697" s="146" t="s">
        <v>187</v>
      </c>
      <c r="AC697" s="146" t="s">
        <v>187</v>
      </c>
      <c r="AD697" s="148"/>
      <c r="AE697" s="146" t="s">
        <v>209</v>
      </c>
      <c r="AF697" s="147">
        <v>-4.8535300000000001</v>
      </c>
      <c r="AG697" s="149">
        <v>138.44492</v>
      </c>
      <c r="AM697" s="133" t="str" cm="1">
        <f t="array" ref="AM697">IF(ROWS($AN$2:$AN696)&lt;=$AN$2,INDEX($V$3:$V$3000,_xlfn.AGGREGATE(15,3,($B$3:$B$3000=$AM$2)/($B$3:$B$3000=$AM$2)*(ROW($B$3:$B$3000)-ROW($B$2)),ROWS($AN$2:$AN696))),"")</f>
        <v/>
      </c>
      <c r="AN697" s="134" t="str" cm="1">
        <f t="array" ref="AN697">IF(ROWS($AN$2:$AN696)&lt;=$AN$2,INDEX($F$3:$F$3000,_xlfn.AGGREGATE(15,3,($B$3:$B$3000=$AM$2)/($B$3:$B$3000=$AM$2)*(ROW($B$3:$B$3000)-ROW($B$2)),ROWS($AN$2:$AN696))),"")</f>
        <v/>
      </c>
      <c r="AO697" s="135" t="str" cm="1">
        <f t="array" ref="AO697">IF(ROWS($AN$2:$AN696)&lt;=$AN$2,INDEX($G$3:$G$3000,_xlfn.AGGREGATE(15,3,($B$3:$B$3000=$AM$2)/($B$3:$B$3000=$AM$2)*(ROW($B$3:$B$3000)-ROW($B$2)),ROWS($AN$2:$AN696))),"")</f>
        <v/>
      </c>
      <c r="AP697" s="121"/>
      <c r="AT697" s="111"/>
      <c r="AW697" s="134"/>
      <c r="AX697" s="136"/>
      <c r="AY697" s="134"/>
    </row>
    <row r="698" spans="1:51" s="110" customFormat="1" ht="20" customHeight="1">
      <c r="A698" s="125" t="s">
        <v>185</v>
      </c>
      <c r="B698" s="126" t="s">
        <v>59</v>
      </c>
      <c r="C698" s="127">
        <v>14844</v>
      </c>
      <c r="D698" s="145">
        <v>108826</v>
      </c>
      <c r="E698" s="146" t="s">
        <v>2487</v>
      </c>
      <c r="F698" s="146" t="s">
        <v>2488</v>
      </c>
      <c r="G698" s="147">
        <v>1400</v>
      </c>
      <c r="H698" s="147">
        <v>4</v>
      </c>
      <c r="I698" s="146" t="s">
        <v>209</v>
      </c>
      <c r="J698" s="146" t="s">
        <v>2489</v>
      </c>
      <c r="K698" s="146" t="s">
        <v>2487</v>
      </c>
      <c r="L698" s="147">
        <v>0</v>
      </c>
      <c r="M698" s="147">
        <v>1</v>
      </c>
      <c r="N698" s="146" t="s">
        <v>1544</v>
      </c>
      <c r="O698" s="147">
        <v>65</v>
      </c>
      <c r="P698" s="147">
        <v>5</v>
      </c>
      <c r="Q698" s="147">
        <v>19</v>
      </c>
      <c r="R698" s="146" t="s">
        <v>654</v>
      </c>
      <c r="S698" s="146" t="s">
        <v>655</v>
      </c>
      <c r="T698" s="147">
        <v>244</v>
      </c>
      <c r="U698" s="146" t="s">
        <v>656</v>
      </c>
      <c r="V698" s="146" t="s">
        <v>657</v>
      </c>
      <c r="W698" s="147">
        <v>1</v>
      </c>
      <c r="X698" s="147">
        <v>2</v>
      </c>
      <c r="Y698" s="146" t="s">
        <v>194</v>
      </c>
      <c r="Z698" s="146" t="s">
        <v>195</v>
      </c>
      <c r="AA698" s="146" t="s">
        <v>196</v>
      </c>
      <c r="AB698" s="146" t="s">
        <v>187</v>
      </c>
      <c r="AC698" s="146" t="s">
        <v>187</v>
      </c>
      <c r="AD698" s="148"/>
      <c r="AE698" s="146" t="s">
        <v>209</v>
      </c>
      <c r="AF698" s="147">
        <v>-3.7726899999999999</v>
      </c>
      <c r="AG698" s="149">
        <v>134.49538999999999</v>
      </c>
      <c r="AM698" s="133" t="str" cm="1">
        <f t="array" ref="AM698">IF(ROWS($AN$2:$AN697)&lt;=$AN$2,INDEX($V$3:$V$3000,_xlfn.AGGREGATE(15,3,($B$3:$B$3000=$AM$2)/($B$3:$B$3000=$AM$2)*(ROW($B$3:$B$3000)-ROW($B$2)),ROWS($AN$2:$AN697))),"")</f>
        <v/>
      </c>
      <c r="AN698" s="134" t="str" cm="1">
        <f t="array" ref="AN698">IF(ROWS($AN$2:$AN697)&lt;=$AN$2,INDEX($F$3:$F$3000,_xlfn.AGGREGATE(15,3,($B$3:$B$3000=$AM$2)/($B$3:$B$3000=$AM$2)*(ROW($B$3:$B$3000)-ROW($B$2)),ROWS($AN$2:$AN697))),"")</f>
        <v/>
      </c>
      <c r="AO698" s="135" t="str" cm="1">
        <f t="array" ref="AO698">IF(ROWS($AN$2:$AN697)&lt;=$AN$2,INDEX($G$3:$G$3000,_xlfn.AGGREGATE(15,3,($B$3:$B$3000=$AM$2)/($B$3:$B$3000=$AM$2)*(ROW($B$3:$B$3000)-ROW($B$2)),ROWS($AN$2:$AN697))),"")</f>
        <v/>
      </c>
      <c r="AP698" s="121"/>
      <c r="AT698" s="111"/>
      <c r="AW698" s="134"/>
      <c r="AX698" s="136"/>
      <c r="AY698" s="134"/>
    </row>
    <row r="699" spans="1:51" s="110" customFormat="1" ht="20" customHeight="1">
      <c r="A699" s="125" t="s">
        <v>185</v>
      </c>
      <c r="B699" s="126" t="s">
        <v>59</v>
      </c>
      <c r="C699" s="127">
        <v>11663</v>
      </c>
      <c r="D699" s="145">
        <v>102794</v>
      </c>
      <c r="E699" s="146" t="s">
        <v>2411</v>
      </c>
      <c r="F699" s="146" t="s">
        <v>2411</v>
      </c>
      <c r="G699" s="147">
        <v>1200</v>
      </c>
      <c r="H699" s="147">
        <v>4</v>
      </c>
      <c r="I699" s="146" t="s">
        <v>209</v>
      </c>
      <c r="J699" s="146" t="s">
        <v>2412</v>
      </c>
      <c r="K699" s="146" t="s">
        <v>2413</v>
      </c>
      <c r="L699" s="147">
        <v>1</v>
      </c>
      <c r="M699" s="147">
        <v>1</v>
      </c>
      <c r="N699" s="146" t="s">
        <v>1544</v>
      </c>
      <c r="O699" s="147">
        <v>65</v>
      </c>
      <c r="P699" s="147">
        <v>4</v>
      </c>
      <c r="Q699" s="147">
        <v>19</v>
      </c>
      <c r="R699" s="146" t="s">
        <v>654</v>
      </c>
      <c r="S699" s="146" t="s">
        <v>655</v>
      </c>
      <c r="T699" s="147">
        <v>244</v>
      </c>
      <c r="U699" s="146" t="s">
        <v>656</v>
      </c>
      <c r="V699" s="146" t="s">
        <v>657</v>
      </c>
      <c r="W699" s="147">
        <v>1</v>
      </c>
      <c r="X699" s="147">
        <v>2</v>
      </c>
      <c r="Y699" s="146" t="s">
        <v>194</v>
      </c>
      <c r="Z699" s="146" t="s">
        <v>195</v>
      </c>
      <c r="AA699" s="146" t="s">
        <v>196</v>
      </c>
      <c r="AB699" s="146" t="s">
        <v>187</v>
      </c>
      <c r="AC699" s="146" t="s">
        <v>187</v>
      </c>
      <c r="AD699" s="148"/>
      <c r="AE699" s="146" t="s">
        <v>209</v>
      </c>
      <c r="AF699" s="147">
        <v>-3.1903700000000002</v>
      </c>
      <c r="AG699" s="149">
        <v>138.01224999999999</v>
      </c>
      <c r="AM699" s="133" t="str" cm="1">
        <f t="array" ref="AM699">IF(ROWS($AN$2:$AN698)&lt;=$AN$2,INDEX($V$3:$V$3000,_xlfn.AGGREGATE(15,3,($B$3:$B$3000=$AM$2)/($B$3:$B$3000=$AM$2)*(ROW($B$3:$B$3000)-ROW($B$2)),ROWS($AN$2:$AN698))),"")</f>
        <v/>
      </c>
      <c r="AN699" s="134" t="str" cm="1">
        <f t="array" ref="AN699">IF(ROWS($AN$2:$AN698)&lt;=$AN$2,INDEX($F$3:$F$3000,_xlfn.AGGREGATE(15,3,($B$3:$B$3000=$AM$2)/($B$3:$B$3000=$AM$2)*(ROW($B$3:$B$3000)-ROW($B$2)),ROWS($AN$2:$AN698))),"")</f>
        <v/>
      </c>
      <c r="AO699" s="135" t="str" cm="1">
        <f t="array" ref="AO699">IF(ROWS($AN$2:$AN698)&lt;=$AN$2,INDEX($G$3:$G$3000,_xlfn.AGGREGATE(15,3,($B$3:$B$3000=$AM$2)/($B$3:$B$3000=$AM$2)*(ROW($B$3:$B$3000)-ROW($B$2)),ROWS($AN$2:$AN698))),"")</f>
        <v/>
      </c>
      <c r="AP699" s="121"/>
      <c r="AT699" s="111"/>
      <c r="AW699" s="134"/>
      <c r="AX699" s="136"/>
      <c r="AY699" s="134"/>
    </row>
    <row r="700" spans="1:51" s="110" customFormat="1" ht="20" customHeight="1">
      <c r="A700" s="125" t="s">
        <v>185</v>
      </c>
      <c r="B700" s="126" t="s">
        <v>59</v>
      </c>
      <c r="C700" s="127">
        <v>14310</v>
      </c>
      <c r="D700" s="145">
        <v>107873</v>
      </c>
      <c r="E700" s="146" t="s">
        <v>2356</v>
      </c>
      <c r="F700" s="146" t="s">
        <v>2356</v>
      </c>
      <c r="G700" s="147">
        <v>1100</v>
      </c>
      <c r="H700" s="147">
        <v>4</v>
      </c>
      <c r="I700" s="146" t="s">
        <v>209</v>
      </c>
      <c r="J700" s="146" t="s">
        <v>2357</v>
      </c>
      <c r="K700" s="146" t="s">
        <v>2356</v>
      </c>
      <c r="L700" s="147">
        <v>1</v>
      </c>
      <c r="M700" s="147">
        <v>1</v>
      </c>
      <c r="N700" s="146" t="s">
        <v>1544</v>
      </c>
      <c r="O700" s="147">
        <v>88</v>
      </c>
      <c r="P700" s="147">
        <v>4</v>
      </c>
      <c r="Q700" s="147">
        <v>19</v>
      </c>
      <c r="R700" s="146" t="s">
        <v>654</v>
      </c>
      <c r="S700" s="146" t="s">
        <v>655</v>
      </c>
      <c r="T700" s="147">
        <v>244</v>
      </c>
      <c r="U700" s="146" t="s">
        <v>656</v>
      </c>
      <c r="V700" s="146" t="s">
        <v>657</v>
      </c>
      <c r="W700" s="147">
        <v>1</v>
      </c>
      <c r="X700" s="147">
        <v>2</v>
      </c>
      <c r="Y700" s="146" t="s">
        <v>194</v>
      </c>
      <c r="Z700" s="146" t="s">
        <v>195</v>
      </c>
      <c r="AA700" s="146" t="s">
        <v>196</v>
      </c>
      <c r="AB700" s="146" t="s">
        <v>187</v>
      </c>
      <c r="AC700" s="146" t="s">
        <v>187</v>
      </c>
      <c r="AD700" s="148"/>
      <c r="AE700" s="146" t="s">
        <v>209</v>
      </c>
      <c r="AF700" s="147">
        <v>-1.7412399999999999</v>
      </c>
      <c r="AG700" s="149">
        <v>135.90905000000001</v>
      </c>
      <c r="AM700" s="133" t="str" cm="1">
        <f t="array" ref="AM700">IF(ROWS($AN$2:$AN699)&lt;=$AN$2,INDEX($V$3:$V$3000,_xlfn.AGGREGATE(15,3,($B$3:$B$3000=$AM$2)/($B$3:$B$3000=$AM$2)*(ROW($B$3:$B$3000)-ROW($B$2)),ROWS($AN$2:$AN699))),"")</f>
        <v/>
      </c>
      <c r="AN700" s="134" t="str" cm="1">
        <f t="array" ref="AN700">IF(ROWS($AN$2:$AN699)&lt;=$AN$2,INDEX($F$3:$F$3000,_xlfn.AGGREGATE(15,3,($B$3:$B$3000=$AM$2)/($B$3:$B$3000=$AM$2)*(ROW($B$3:$B$3000)-ROW($B$2)),ROWS($AN$2:$AN699))),"")</f>
        <v/>
      </c>
      <c r="AO700" s="135" t="str" cm="1">
        <f t="array" ref="AO700">IF(ROWS($AN$2:$AN699)&lt;=$AN$2,INDEX($G$3:$G$3000,_xlfn.AGGREGATE(15,3,($B$3:$B$3000=$AM$2)/($B$3:$B$3000=$AM$2)*(ROW($B$3:$B$3000)-ROW($B$2)),ROWS($AN$2:$AN699))),"")</f>
        <v/>
      </c>
      <c r="AP700" s="121"/>
      <c r="AT700" s="111"/>
      <c r="AW700" s="134"/>
      <c r="AX700" s="136"/>
      <c r="AY700" s="134"/>
    </row>
    <row r="701" spans="1:51" s="110" customFormat="1" ht="20" customHeight="1">
      <c r="A701" s="125" t="s">
        <v>185</v>
      </c>
      <c r="B701" s="126" t="s">
        <v>59</v>
      </c>
      <c r="C701" s="127">
        <v>10280</v>
      </c>
      <c r="D701" s="145">
        <v>100270</v>
      </c>
      <c r="E701" s="146" t="s">
        <v>2303</v>
      </c>
      <c r="F701" s="146" t="s">
        <v>2304</v>
      </c>
      <c r="G701" s="147">
        <v>1000</v>
      </c>
      <c r="H701" s="147">
        <v>4</v>
      </c>
      <c r="I701" s="146" t="s">
        <v>209</v>
      </c>
      <c r="J701" s="146" t="s">
        <v>2305</v>
      </c>
      <c r="K701" s="146" t="s">
        <v>2306</v>
      </c>
      <c r="L701" s="147">
        <v>0</v>
      </c>
      <c r="M701" s="147">
        <v>1</v>
      </c>
      <c r="N701" s="146" t="s">
        <v>1544</v>
      </c>
      <c r="O701" s="147">
        <v>91</v>
      </c>
      <c r="P701" s="147">
        <v>4</v>
      </c>
      <c r="Q701" s="147">
        <v>19</v>
      </c>
      <c r="R701" s="146" t="s">
        <v>654</v>
      </c>
      <c r="S701" s="146" t="s">
        <v>655</v>
      </c>
      <c r="T701" s="147">
        <v>244</v>
      </c>
      <c r="U701" s="146" t="s">
        <v>656</v>
      </c>
      <c r="V701" s="146" t="s">
        <v>657</v>
      </c>
      <c r="W701" s="147">
        <v>1</v>
      </c>
      <c r="X701" s="147">
        <v>2</v>
      </c>
      <c r="Y701" s="146" t="s">
        <v>194</v>
      </c>
      <c r="Z701" s="146" t="s">
        <v>195</v>
      </c>
      <c r="AA701" s="146" t="s">
        <v>196</v>
      </c>
      <c r="AB701" s="146" t="s">
        <v>187</v>
      </c>
      <c r="AC701" s="146" t="s">
        <v>187</v>
      </c>
      <c r="AD701" s="148"/>
      <c r="AE701" s="146" t="s">
        <v>209</v>
      </c>
      <c r="AF701" s="147">
        <v>-0.18634999999999999</v>
      </c>
      <c r="AG701" s="149">
        <v>130.95079999999999</v>
      </c>
      <c r="AM701" s="133" t="str" cm="1">
        <f t="array" ref="AM701">IF(ROWS($AN$2:$AN700)&lt;=$AN$2,INDEX($V$3:$V$3000,_xlfn.AGGREGATE(15,3,($B$3:$B$3000=$AM$2)/($B$3:$B$3000=$AM$2)*(ROW($B$3:$B$3000)-ROW($B$2)),ROWS($AN$2:$AN700))),"")</f>
        <v/>
      </c>
      <c r="AN701" s="134" t="str" cm="1">
        <f t="array" ref="AN701">IF(ROWS($AN$2:$AN700)&lt;=$AN$2,INDEX($F$3:$F$3000,_xlfn.AGGREGATE(15,3,($B$3:$B$3000=$AM$2)/($B$3:$B$3000=$AM$2)*(ROW($B$3:$B$3000)-ROW($B$2)),ROWS($AN$2:$AN700))),"")</f>
        <v/>
      </c>
      <c r="AO701" s="135" t="str" cm="1">
        <f t="array" ref="AO701">IF(ROWS($AN$2:$AN700)&lt;=$AN$2,INDEX($G$3:$G$3000,_xlfn.AGGREGATE(15,3,($B$3:$B$3000=$AM$2)/($B$3:$B$3000=$AM$2)*(ROW($B$3:$B$3000)-ROW($B$2)),ROWS($AN$2:$AN700))),"")</f>
        <v/>
      </c>
      <c r="AP701" s="121"/>
      <c r="AT701" s="111"/>
      <c r="AW701" s="134"/>
      <c r="AX701" s="136"/>
      <c r="AY701" s="134"/>
    </row>
    <row r="702" spans="1:51" s="110" customFormat="1" ht="20" customHeight="1">
      <c r="A702" s="125" t="s">
        <v>185</v>
      </c>
      <c r="B702" s="126" t="s">
        <v>59</v>
      </c>
      <c r="C702" s="127">
        <v>12397</v>
      </c>
      <c r="D702" s="145">
        <v>104359</v>
      </c>
      <c r="E702" s="146" t="s">
        <v>2311</v>
      </c>
      <c r="F702" s="146" t="s">
        <v>2311</v>
      </c>
      <c r="G702" s="147">
        <v>1000</v>
      </c>
      <c r="H702" s="147">
        <v>4</v>
      </c>
      <c r="I702" s="146" t="s">
        <v>209</v>
      </c>
      <c r="J702" s="146" t="s">
        <v>2312</v>
      </c>
      <c r="K702" s="146" t="s">
        <v>2311</v>
      </c>
      <c r="L702" s="147">
        <v>1</v>
      </c>
      <c r="M702" s="147">
        <v>1</v>
      </c>
      <c r="N702" s="146" t="s">
        <v>1544</v>
      </c>
      <c r="O702" s="147">
        <v>70</v>
      </c>
      <c r="P702" s="147">
        <v>4</v>
      </c>
      <c r="Q702" s="147">
        <v>19</v>
      </c>
      <c r="R702" s="146" t="s">
        <v>654</v>
      </c>
      <c r="S702" s="146" t="s">
        <v>655</v>
      </c>
      <c r="T702" s="147">
        <v>244</v>
      </c>
      <c r="U702" s="146" t="s">
        <v>656</v>
      </c>
      <c r="V702" s="146" t="s">
        <v>657</v>
      </c>
      <c r="W702" s="147">
        <v>1</v>
      </c>
      <c r="X702" s="147">
        <v>2</v>
      </c>
      <c r="Y702" s="146" t="s">
        <v>194</v>
      </c>
      <c r="Z702" s="146" t="s">
        <v>195</v>
      </c>
      <c r="AA702" s="146" t="s">
        <v>196</v>
      </c>
      <c r="AB702" s="146" t="s">
        <v>187</v>
      </c>
      <c r="AC702" s="146" t="s">
        <v>187</v>
      </c>
      <c r="AD702" s="148"/>
      <c r="AE702" s="146" t="s">
        <v>209</v>
      </c>
      <c r="AF702" s="147">
        <v>-1.91414</v>
      </c>
      <c r="AG702" s="149">
        <v>132.50308999999999</v>
      </c>
      <c r="AM702" s="133" t="str" cm="1">
        <f t="array" ref="AM702">IF(ROWS($AN$2:$AN701)&lt;=$AN$2,INDEX($V$3:$V$3000,_xlfn.AGGREGATE(15,3,($B$3:$B$3000=$AM$2)/($B$3:$B$3000=$AM$2)*(ROW($B$3:$B$3000)-ROW($B$2)),ROWS($AN$2:$AN701))),"")</f>
        <v/>
      </c>
      <c r="AN702" s="134" t="str" cm="1">
        <f t="array" ref="AN702">IF(ROWS($AN$2:$AN701)&lt;=$AN$2,INDEX($F$3:$F$3000,_xlfn.AGGREGATE(15,3,($B$3:$B$3000=$AM$2)/($B$3:$B$3000=$AM$2)*(ROW($B$3:$B$3000)-ROW($B$2)),ROWS($AN$2:$AN701))),"")</f>
        <v/>
      </c>
      <c r="AO702" s="135" t="str" cm="1">
        <f t="array" ref="AO702">IF(ROWS($AN$2:$AN701)&lt;=$AN$2,INDEX($G$3:$G$3000,_xlfn.AGGREGATE(15,3,($B$3:$B$3000=$AM$2)/($B$3:$B$3000=$AM$2)*(ROW($B$3:$B$3000)-ROW($B$2)),ROWS($AN$2:$AN701))),"")</f>
        <v/>
      </c>
      <c r="AP702" s="121"/>
      <c r="AT702" s="111"/>
      <c r="AW702" s="134"/>
      <c r="AX702" s="136"/>
      <c r="AY702" s="134"/>
    </row>
    <row r="703" spans="1:51" s="110" customFormat="1" ht="20" customHeight="1">
      <c r="A703" s="125" t="s">
        <v>185</v>
      </c>
      <c r="B703" s="126" t="s">
        <v>59</v>
      </c>
      <c r="C703" s="127">
        <v>13599</v>
      </c>
      <c r="D703" s="145">
        <v>106434</v>
      </c>
      <c r="E703" s="146" t="s">
        <v>2317</v>
      </c>
      <c r="F703" s="146" t="s">
        <v>2317</v>
      </c>
      <c r="G703" s="147">
        <v>1000</v>
      </c>
      <c r="H703" s="147">
        <v>4</v>
      </c>
      <c r="I703" s="146" t="s">
        <v>209</v>
      </c>
      <c r="J703" s="146" t="s">
        <v>2318</v>
      </c>
      <c r="K703" s="146" t="s">
        <v>2317</v>
      </c>
      <c r="L703" s="147">
        <v>1</v>
      </c>
      <c r="M703" s="147">
        <v>1</v>
      </c>
      <c r="N703" s="146" t="s">
        <v>1544</v>
      </c>
      <c r="O703" s="147">
        <v>70</v>
      </c>
      <c r="P703" s="147">
        <v>3</v>
      </c>
      <c r="Q703" s="147">
        <v>19</v>
      </c>
      <c r="R703" s="146" t="s">
        <v>654</v>
      </c>
      <c r="S703" s="146" t="s">
        <v>655</v>
      </c>
      <c r="T703" s="147">
        <v>244</v>
      </c>
      <c r="U703" s="146" t="s">
        <v>656</v>
      </c>
      <c r="V703" s="146" t="s">
        <v>657</v>
      </c>
      <c r="W703" s="147">
        <v>1</v>
      </c>
      <c r="X703" s="147">
        <v>2</v>
      </c>
      <c r="Y703" s="146" t="s">
        <v>194</v>
      </c>
      <c r="Z703" s="146" t="s">
        <v>195</v>
      </c>
      <c r="AA703" s="146" t="s">
        <v>196</v>
      </c>
      <c r="AB703" s="146" t="s">
        <v>187</v>
      </c>
      <c r="AC703" s="146" t="s">
        <v>187</v>
      </c>
      <c r="AD703" s="148"/>
      <c r="AE703" s="146" t="s">
        <v>209</v>
      </c>
      <c r="AF703" s="147">
        <v>-2.1998099999999998</v>
      </c>
      <c r="AG703" s="149">
        <v>139.37851000000001</v>
      </c>
      <c r="AM703" s="133" t="str" cm="1">
        <f t="array" ref="AM703">IF(ROWS($AN$2:$AN702)&lt;=$AN$2,INDEX($V$3:$V$3000,_xlfn.AGGREGATE(15,3,($B$3:$B$3000=$AM$2)/($B$3:$B$3000=$AM$2)*(ROW($B$3:$B$3000)-ROW($B$2)),ROWS($AN$2:$AN702))),"")</f>
        <v/>
      </c>
      <c r="AN703" s="134" t="str" cm="1">
        <f t="array" ref="AN703">IF(ROWS($AN$2:$AN702)&lt;=$AN$2,INDEX($F$3:$F$3000,_xlfn.AGGREGATE(15,3,($B$3:$B$3000=$AM$2)/($B$3:$B$3000=$AM$2)*(ROW($B$3:$B$3000)-ROW($B$2)),ROWS($AN$2:$AN702))),"")</f>
        <v/>
      </c>
      <c r="AO703" s="135" t="str" cm="1">
        <f t="array" ref="AO703">IF(ROWS($AN$2:$AN702)&lt;=$AN$2,INDEX($G$3:$G$3000,_xlfn.AGGREGATE(15,3,($B$3:$B$3000=$AM$2)/($B$3:$B$3000=$AM$2)*(ROW($B$3:$B$3000)-ROW($B$2)),ROWS($AN$2:$AN702))),"")</f>
        <v/>
      </c>
      <c r="AP703" s="121"/>
      <c r="AT703" s="111"/>
      <c r="AW703" s="134"/>
      <c r="AX703" s="136"/>
      <c r="AY703" s="134"/>
    </row>
    <row r="704" spans="1:51" s="110" customFormat="1" ht="20" customHeight="1">
      <c r="A704" s="125" t="s">
        <v>185</v>
      </c>
      <c r="B704" s="126" t="s">
        <v>59</v>
      </c>
      <c r="C704" s="127">
        <v>15243</v>
      </c>
      <c r="D704" s="145">
        <v>109803</v>
      </c>
      <c r="E704" s="146" t="s">
        <v>2324</v>
      </c>
      <c r="F704" s="146" t="s">
        <v>2325</v>
      </c>
      <c r="G704" s="147">
        <v>1000</v>
      </c>
      <c r="H704" s="147">
        <v>4</v>
      </c>
      <c r="I704" s="146" t="s">
        <v>209</v>
      </c>
      <c r="J704" s="146" t="s">
        <v>2326</v>
      </c>
      <c r="K704" s="146" t="s">
        <v>2324</v>
      </c>
      <c r="L704" s="147">
        <v>1</v>
      </c>
      <c r="M704" s="147">
        <v>1</v>
      </c>
      <c r="N704" s="146" t="s">
        <v>1544</v>
      </c>
      <c r="O704" s="147">
        <v>70</v>
      </c>
      <c r="P704" s="147">
        <v>3</v>
      </c>
      <c r="Q704" s="147">
        <v>19</v>
      </c>
      <c r="R704" s="146" t="s">
        <v>654</v>
      </c>
      <c r="S704" s="146" t="s">
        <v>655</v>
      </c>
      <c r="T704" s="147">
        <v>244</v>
      </c>
      <c r="U704" s="146" t="s">
        <v>656</v>
      </c>
      <c r="V704" s="146" t="s">
        <v>657</v>
      </c>
      <c r="W704" s="147">
        <v>1</v>
      </c>
      <c r="X704" s="147">
        <v>2</v>
      </c>
      <c r="Y704" s="146" t="s">
        <v>194</v>
      </c>
      <c r="Z704" s="146" t="s">
        <v>195</v>
      </c>
      <c r="AA704" s="146" t="s">
        <v>196</v>
      </c>
      <c r="AB704" s="146" t="s">
        <v>187</v>
      </c>
      <c r="AC704" s="146" t="s">
        <v>187</v>
      </c>
      <c r="AD704" s="148"/>
      <c r="AE704" s="146" t="s">
        <v>209</v>
      </c>
      <c r="AF704" s="147">
        <v>-2.54874</v>
      </c>
      <c r="AG704" s="149">
        <v>133.17728</v>
      </c>
      <c r="AM704" s="133" t="str" cm="1">
        <f t="array" ref="AM704">IF(ROWS($AN$2:$AN703)&lt;=$AN$2,INDEX($V$3:$V$3000,_xlfn.AGGREGATE(15,3,($B$3:$B$3000=$AM$2)/($B$3:$B$3000=$AM$2)*(ROW($B$3:$B$3000)-ROW($B$2)),ROWS($AN$2:$AN703))),"")</f>
        <v/>
      </c>
      <c r="AN704" s="134" t="str" cm="1">
        <f t="array" ref="AN704">IF(ROWS($AN$2:$AN703)&lt;=$AN$2,INDEX($F$3:$F$3000,_xlfn.AGGREGATE(15,3,($B$3:$B$3000=$AM$2)/($B$3:$B$3000=$AM$2)*(ROW($B$3:$B$3000)-ROW($B$2)),ROWS($AN$2:$AN703))),"")</f>
        <v/>
      </c>
      <c r="AO704" s="135" t="str" cm="1">
        <f t="array" ref="AO704">IF(ROWS($AN$2:$AN703)&lt;=$AN$2,INDEX($G$3:$G$3000,_xlfn.AGGREGATE(15,3,($B$3:$B$3000=$AM$2)/($B$3:$B$3000=$AM$2)*(ROW($B$3:$B$3000)-ROW($B$2)),ROWS($AN$2:$AN703))),"")</f>
        <v/>
      </c>
      <c r="AP704" s="121"/>
      <c r="AT704" s="111"/>
      <c r="AW704" s="134"/>
      <c r="AX704" s="136"/>
      <c r="AY704" s="134"/>
    </row>
    <row r="705" spans="1:51" s="110" customFormat="1" ht="20" customHeight="1">
      <c r="A705" s="125" t="s">
        <v>185</v>
      </c>
      <c r="B705" s="126" t="s">
        <v>59</v>
      </c>
      <c r="C705" s="127">
        <v>10936</v>
      </c>
      <c r="D705" s="145">
        <v>101597</v>
      </c>
      <c r="E705" s="146" t="s">
        <v>2249</v>
      </c>
      <c r="F705" s="146" t="s">
        <v>2250</v>
      </c>
      <c r="G705" s="147">
        <v>900</v>
      </c>
      <c r="H705" s="147">
        <v>4</v>
      </c>
      <c r="I705" s="146" t="s">
        <v>209</v>
      </c>
      <c r="J705" s="146" t="s">
        <v>2251</v>
      </c>
      <c r="K705" s="146" t="s">
        <v>2249</v>
      </c>
      <c r="L705" s="147">
        <v>0</v>
      </c>
      <c r="M705" s="147">
        <v>1</v>
      </c>
      <c r="N705" s="146" t="s">
        <v>1544</v>
      </c>
      <c r="O705" s="147">
        <v>90</v>
      </c>
      <c r="P705" s="147">
        <v>4</v>
      </c>
      <c r="Q705" s="147">
        <v>19</v>
      </c>
      <c r="R705" s="146" t="s">
        <v>654</v>
      </c>
      <c r="S705" s="146" t="s">
        <v>655</v>
      </c>
      <c r="T705" s="147">
        <v>244</v>
      </c>
      <c r="U705" s="146" t="s">
        <v>656</v>
      </c>
      <c r="V705" s="146" t="s">
        <v>657</v>
      </c>
      <c r="W705" s="147">
        <v>1</v>
      </c>
      <c r="X705" s="147">
        <v>2</v>
      </c>
      <c r="Y705" s="146" t="s">
        <v>194</v>
      </c>
      <c r="Z705" s="146" t="s">
        <v>195</v>
      </c>
      <c r="AA705" s="146" t="s">
        <v>196</v>
      </c>
      <c r="AB705" s="146" t="s">
        <v>187</v>
      </c>
      <c r="AC705" s="146" t="s">
        <v>187</v>
      </c>
      <c r="AD705" s="148"/>
      <c r="AE705" s="146" t="s">
        <v>209</v>
      </c>
      <c r="AF705" s="147">
        <v>-2.3405200000000002</v>
      </c>
      <c r="AG705" s="149">
        <v>139.59766999999999</v>
      </c>
      <c r="AM705" s="133" t="str" cm="1">
        <f t="array" ref="AM705">IF(ROWS($AN$2:$AN704)&lt;=$AN$2,INDEX($V$3:$V$3000,_xlfn.AGGREGATE(15,3,($B$3:$B$3000=$AM$2)/($B$3:$B$3000=$AM$2)*(ROW($B$3:$B$3000)-ROW($B$2)),ROWS($AN$2:$AN704))),"")</f>
        <v/>
      </c>
      <c r="AN705" s="134" t="str" cm="1">
        <f t="array" ref="AN705">IF(ROWS($AN$2:$AN704)&lt;=$AN$2,INDEX($F$3:$F$3000,_xlfn.AGGREGATE(15,3,($B$3:$B$3000=$AM$2)/($B$3:$B$3000=$AM$2)*(ROW($B$3:$B$3000)-ROW($B$2)),ROWS($AN$2:$AN704))),"")</f>
        <v/>
      </c>
      <c r="AO705" s="135" t="str" cm="1">
        <f t="array" ref="AO705">IF(ROWS($AN$2:$AN704)&lt;=$AN$2,INDEX($G$3:$G$3000,_xlfn.AGGREGATE(15,3,($B$3:$B$3000=$AM$2)/($B$3:$B$3000=$AM$2)*(ROW($B$3:$B$3000)-ROW($B$2)),ROWS($AN$2:$AN704))),"")</f>
        <v/>
      </c>
      <c r="AP705" s="121"/>
      <c r="AT705" s="111"/>
      <c r="AW705" s="134"/>
      <c r="AX705" s="136"/>
      <c r="AY705" s="134"/>
    </row>
    <row r="706" spans="1:51" s="110" customFormat="1" ht="20" customHeight="1">
      <c r="A706" s="125" t="s">
        <v>185</v>
      </c>
      <c r="B706" s="126" t="s">
        <v>59</v>
      </c>
      <c r="C706" s="127">
        <v>12813</v>
      </c>
      <c r="D706" s="145">
        <v>105268</v>
      </c>
      <c r="E706" s="146" t="s">
        <v>2255</v>
      </c>
      <c r="F706" s="146" t="s">
        <v>2255</v>
      </c>
      <c r="G706" s="147">
        <v>900</v>
      </c>
      <c r="H706" s="147">
        <v>4</v>
      </c>
      <c r="I706" s="146" t="s">
        <v>209</v>
      </c>
      <c r="J706" s="146" t="s">
        <v>2256</v>
      </c>
      <c r="K706" s="146" t="s">
        <v>2257</v>
      </c>
      <c r="L706" s="147">
        <v>1</v>
      </c>
      <c r="M706" s="147">
        <v>1</v>
      </c>
      <c r="N706" s="146" t="s">
        <v>1544</v>
      </c>
      <c r="O706" s="147">
        <v>64</v>
      </c>
      <c r="P706" s="147">
        <v>4</v>
      </c>
      <c r="Q706" s="147">
        <v>19</v>
      </c>
      <c r="R706" s="146" t="s">
        <v>654</v>
      </c>
      <c r="S706" s="146" t="s">
        <v>655</v>
      </c>
      <c r="T706" s="147">
        <v>244</v>
      </c>
      <c r="U706" s="146" t="s">
        <v>656</v>
      </c>
      <c r="V706" s="146" t="s">
        <v>657</v>
      </c>
      <c r="W706" s="147">
        <v>1</v>
      </c>
      <c r="X706" s="147">
        <v>2</v>
      </c>
      <c r="Y706" s="146" t="s">
        <v>194</v>
      </c>
      <c r="Z706" s="146" t="s">
        <v>195</v>
      </c>
      <c r="AA706" s="146" t="s">
        <v>196</v>
      </c>
      <c r="AB706" s="146" t="s">
        <v>187</v>
      </c>
      <c r="AC706" s="146" t="s">
        <v>187</v>
      </c>
      <c r="AD706" s="148"/>
      <c r="AE706" s="146" t="s">
        <v>209</v>
      </c>
      <c r="AF706" s="147">
        <v>-5.4180700000000002</v>
      </c>
      <c r="AG706" s="149">
        <v>140.21782999999999</v>
      </c>
      <c r="AM706" s="133" t="str" cm="1">
        <f t="array" ref="AM706">IF(ROWS($AN$2:$AN705)&lt;=$AN$2,INDEX($V$3:$V$3000,_xlfn.AGGREGATE(15,3,($B$3:$B$3000=$AM$2)/($B$3:$B$3000=$AM$2)*(ROW($B$3:$B$3000)-ROW($B$2)),ROWS($AN$2:$AN705))),"")</f>
        <v/>
      </c>
      <c r="AN706" s="134" t="str" cm="1">
        <f t="array" ref="AN706">IF(ROWS($AN$2:$AN705)&lt;=$AN$2,INDEX($F$3:$F$3000,_xlfn.AGGREGATE(15,3,($B$3:$B$3000=$AM$2)/($B$3:$B$3000=$AM$2)*(ROW($B$3:$B$3000)-ROW($B$2)),ROWS($AN$2:$AN705))),"")</f>
        <v/>
      </c>
      <c r="AO706" s="135" t="str" cm="1">
        <f t="array" ref="AO706">IF(ROWS($AN$2:$AN705)&lt;=$AN$2,INDEX($G$3:$G$3000,_xlfn.AGGREGATE(15,3,($B$3:$B$3000=$AM$2)/($B$3:$B$3000=$AM$2)*(ROW($B$3:$B$3000)-ROW($B$2)),ROWS($AN$2:$AN705))),"")</f>
        <v/>
      </c>
      <c r="AP706" s="121"/>
      <c r="AT706" s="111"/>
      <c r="AW706" s="134"/>
      <c r="AX706" s="136"/>
      <c r="AY706" s="134"/>
    </row>
    <row r="707" spans="1:51" s="110" customFormat="1" ht="20" customHeight="1">
      <c r="A707" s="125" t="s">
        <v>185</v>
      </c>
      <c r="B707" s="126" t="s">
        <v>59</v>
      </c>
      <c r="C707" s="127">
        <v>14822</v>
      </c>
      <c r="D707" s="145">
        <v>108798</v>
      </c>
      <c r="E707" s="146" t="s">
        <v>2269</v>
      </c>
      <c r="F707" s="146" t="s">
        <v>2269</v>
      </c>
      <c r="G707" s="147">
        <v>900</v>
      </c>
      <c r="H707" s="147">
        <v>4</v>
      </c>
      <c r="I707" s="146" t="s">
        <v>209</v>
      </c>
      <c r="J707" s="146" t="s">
        <v>2270</v>
      </c>
      <c r="K707" s="146" t="s">
        <v>2269</v>
      </c>
      <c r="L707" s="147">
        <v>1</v>
      </c>
      <c r="M707" s="147">
        <v>1</v>
      </c>
      <c r="N707" s="146" t="s">
        <v>1544</v>
      </c>
      <c r="O707" s="147">
        <v>90</v>
      </c>
      <c r="P707" s="147">
        <v>5</v>
      </c>
      <c r="Q707" s="147">
        <v>19</v>
      </c>
      <c r="R707" s="146" t="s">
        <v>654</v>
      </c>
      <c r="S707" s="146" t="s">
        <v>655</v>
      </c>
      <c r="T707" s="147">
        <v>244</v>
      </c>
      <c r="U707" s="146" t="s">
        <v>656</v>
      </c>
      <c r="V707" s="146" t="s">
        <v>657</v>
      </c>
      <c r="W707" s="147">
        <v>1</v>
      </c>
      <c r="X707" s="147">
        <v>2</v>
      </c>
      <c r="Y707" s="146" t="s">
        <v>194</v>
      </c>
      <c r="Z707" s="146" t="s">
        <v>195</v>
      </c>
      <c r="AA707" s="146" t="s">
        <v>196</v>
      </c>
      <c r="AB707" s="146" t="s">
        <v>187</v>
      </c>
      <c r="AC707" s="146" t="s">
        <v>187</v>
      </c>
      <c r="AD707" s="148"/>
      <c r="AE707" s="146" t="s">
        <v>209</v>
      </c>
      <c r="AF707" s="147">
        <v>-2.65733</v>
      </c>
      <c r="AG707" s="149">
        <v>132.47045</v>
      </c>
      <c r="AM707" s="133" t="str" cm="1">
        <f t="array" ref="AM707">IF(ROWS($AN$2:$AN706)&lt;=$AN$2,INDEX($V$3:$V$3000,_xlfn.AGGREGATE(15,3,($B$3:$B$3000=$AM$2)/($B$3:$B$3000=$AM$2)*(ROW($B$3:$B$3000)-ROW($B$2)),ROWS($AN$2:$AN706))),"")</f>
        <v/>
      </c>
      <c r="AN707" s="134" t="str" cm="1">
        <f t="array" ref="AN707">IF(ROWS($AN$2:$AN706)&lt;=$AN$2,INDEX($F$3:$F$3000,_xlfn.AGGREGATE(15,3,($B$3:$B$3000=$AM$2)/($B$3:$B$3000=$AM$2)*(ROW($B$3:$B$3000)-ROW($B$2)),ROWS($AN$2:$AN706))),"")</f>
        <v/>
      </c>
      <c r="AO707" s="135" t="str" cm="1">
        <f t="array" ref="AO707">IF(ROWS($AN$2:$AN706)&lt;=$AN$2,INDEX($G$3:$G$3000,_xlfn.AGGREGATE(15,3,($B$3:$B$3000=$AM$2)/($B$3:$B$3000=$AM$2)*(ROW($B$3:$B$3000)-ROW($B$2)),ROWS($AN$2:$AN706))),"")</f>
        <v/>
      </c>
      <c r="AP707" s="121"/>
      <c r="AT707" s="111"/>
      <c r="AW707" s="134"/>
      <c r="AX707" s="136"/>
      <c r="AY707" s="134"/>
    </row>
    <row r="708" spans="1:51" s="110" customFormat="1" ht="20" customHeight="1">
      <c r="A708" s="125" t="s">
        <v>185</v>
      </c>
      <c r="B708" s="126" t="s">
        <v>59</v>
      </c>
      <c r="C708" s="127">
        <v>15771</v>
      </c>
      <c r="D708" s="145">
        <v>110505</v>
      </c>
      <c r="E708" s="146" t="s">
        <v>2271</v>
      </c>
      <c r="F708" s="146" t="s">
        <v>2271</v>
      </c>
      <c r="G708" s="147">
        <v>900</v>
      </c>
      <c r="H708" s="147">
        <v>4</v>
      </c>
      <c r="I708" s="146" t="s">
        <v>209</v>
      </c>
      <c r="J708" s="146" t="s">
        <v>2272</v>
      </c>
      <c r="K708" s="146" t="s">
        <v>2271</v>
      </c>
      <c r="L708" s="147">
        <v>1</v>
      </c>
      <c r="M708" s="147">
        <v>1</v>
      </c>
      <c r="N708" s="146" t="s">
        <v>1544</v>
      </c>
      <c r="O708" s="147">
        <v>90</v>
      </c>
      <c r="P708" s="147">
        <v>3</v>
      </c>
      <c r="Q708" s="147">
        <v>19</v>
      </c>
      <c r="R708" s="146" t="s">
        <v>654</v>
      </c>
      <c r="S708" s="146" t="s">
        <v>655</v>
      </c>
      <c r="T708" s="147">
        <v>244</v>
      </c>
      <c r="U708" s="146" t="s">
        <v>656</v>
      </c>
      <c r="V708" s="146" t="s">
        <v>657</v>
      </c>
      <c r="W708" s="147">
        <v>2</v>
      </c>
      <c r="X708" s="147">
        <v>2</v>
      </c>
      <c r="Y708" s="146" t="s">
        <v>194</v>
      </c>
      <c r="Z708" s="146" t="s">
        <v>195</v>
      </c>
      <c r="AA708" s="146" t="s">
        <v>196</v>
      </c>
      <c r="AB708" s="146" t="s">
        <v>187</v>
      </c>
      <c r="AC708" s="146" t="s">
        <v>209</v>
      </c>
      <c r="AD708" s="148"/>
      <c r="AE708" s="146" t="s">
        <v>209</v>
      </c>
      <c r="AF708" s="147">
        <v>-2.7344740000000001</v>
      </c>
      <c r="AG708" s="149">
        <v>140.91288299999999</v>
      </c>
      <c r="AM708" s="133" t="str" cm="1">
        <f t="array" ref="AM708">IF(ROWS($AN$2:$AN707)&lt;=$AN$2,INDEX($V$3:$V$3000,_xlfn.AGGREGATE(15,3,($B$3:$B$3000=$AM$2)/($B$3:$B$3000=$AM$2)*(ROW($B$3:$B$3000)-ROW($B$2)),ROWS($AN$2:$AN707))),"")</f>
        <v/>
      </c>
      <c r="AN708" s="134" t="str" cm="1">
        <f t="array" ref="AN708">IF(ROWS($AN$2:$AN707)&lt;=$AN$2,INDEX($F$3:$F$3000,_xlfn.AGGREGATE(15,3,($B$3:$B$3000=$AM$2)/($B$3:$B$3000=$AM$2)*(ROW($B$3:$B$3000)-ROW($B$2)),ROWS($AN$2:$AN707))),"")</f>
        <v/>
      </c>
      <c r="AO708" s="135" t="str" cm="1">
        <f t="array" ref="AO708">IF(ROWS($AN$2:$AN707)&lt;=$AN$2,INDEX($G$3:$G$3000,_xlfn.AGGREGATE(15,3,($B$3:$B$3000=$AM$2)/($B$3:$B$3000=$AM$2)*(ROW($B$3:$B$3000)-ROW($B$2)),ROWS($AN$2:$AN707))),"")</f>
        <v/>
      </c>
      <c r="AP708" s="121"/>
      <c r="AT708" s="111"/>
      <c r="AW708" s="134"/>
      <c r="AX708" s="136"/>
      <c r="AY708" s="134"/>
    </row>
    <row r="709" spans="1:51" s="110" customFormat="1" ht="20" customHeight="1">
      <c r="A709" s="125" t="s">
        <v>185</v>
      </c>
      <c r="B709" s="126" t="s">
        <v>59</v>
      </c>
      <c r="C709" s="127">
        <v>10932</v>
      </c>
      <c r="D709" s="145">
        <v>101592</v>
      </c>
      <c r="E709" s="146" t="s">
        <v>2160</v>
      </c>
      <c r="F709" s="146" t="s">
        <v>2161</v>
      </c>
      <c r="G709" s="147">
        <v>800</v>
      </c>
      <c r="H709" s="147">
        <v>4</v>
      </c>
      <c r="I709" s="146" t="s">
        <v>209</v>
      </c>
      <c r="J709" s="146" t="s">
        <v>2162</v>
      </c>
      <c r="K709" s="146" t="s">
        <v>2163</v>
      </c>
      <c r="L709" s="147">
        <v>1</v>
      </c>
      <c r="M709" s="147">
        <v>1</v>
      </c>
      <c r="N709" s="146" t="s">
        <v>1544</v>
      </c>
      <c r="O709" s="147">
        <v>70</v>
      </c>
      <c r="P709" s="147">
        <v>5</v>
      </c>
      <c r="Q709" s="147">
        <v>19</v>
      </c>
      <c r="R709" s="146" t="s">
        <v>654</v>
      </c>
      <c r="S709" s="146" t="s">
        <v>655</v>
      </c>
      <c r="T709" s="147">
        <v>244</v>
      </c>
      <c r="U709" s="146" t="s">
        <v>656</v>
      </c>
      <c r="V709" s="146" t="s">
        <v>657</v>
      </c>
      <c r="W709" s="147">
        <v>1</v>
      </c>
      <c r="X709" s="147">
        <v>2</v>
      </c>
      <c r="Y709" s="146" t="s">
        <v>194</v>
      </c>
      <c r="Z709" s="146" t="s">
        <v>195</v>
      </c>
      <c r="AA709" s="146" t="s">
        <v>196</v>
      </c>
      <c r="AB709" s="146" t="s">
        <v>187</v>
      </c>
      <c r="AC709" s="146" t="s">
        <v>187</v>
      </c>
      <c r="AD709" s="148"/>
      <c r="AE709" s="146" t="s">
        <v>209</v>
      </c>
      <c r="AF709" s="147">
        <v>-1.9551700000000001</v>
      </c>
      <c r="AG709" s="149">
        <v>137.60104999999999</v>
      </c>
      <c r="AM709" s="133" t="str" cm="1">
        <f t="array" ref="AM709">IF(ROWS($AN$2:$AN708)&lt;=$AN$2,INDEX($V$3:$V$3000,_xlfn.AGGREGATE(15,3,($B$3:$B$3000=$AM$2)/($B$3:$B$3000=$AM$2)*(ROW($B$3:$B$3000)-ROW($B$2)),ROWS($AN$2:$AN708))),"")</f>
        <v/>
      </c>
      <c r="AN709" s="134" t="str" cm="1">
        <f t="array" ref="AN709">IF(ROWS($AN$2:$AN708)&lt;=$AN$2,INDEX($F$3:$F$3000,_xlfn.AGGREGATE(15,3,($B$3:$B$3000=$AM$2)/($B$3:$B$3000=$AM$2)*(ROW($B$3:$B$3000)-ROW($B$2)),ROWS($AN$2:$AN708))),"")</f>
        <v/>
      </c>
      <c r="AO709" s="135" t="str" cm="1">
        <f t="array" ref="AO709">IF(ROWS($AN$2:$AN708)&lt;=$AN$2,INDEX($G$3:$G$3000,_xlfn.AGGREGATE(15,3,($B$3:$B$3000=$AM$2)/($B$3:$B$3000=$AM$2)*(ROW($B$3:$B$3000)-ROW($B$2)),ROWS($AN$2:$AN708))),"")</f>
        <v/>
      </c>
      <c r="AP709" s="121"/>
      <c r="AT709" s="111"/>
      <c r="AW709" s="134"/>
      <c r="AX709" s="136"/>
      <c r="AY709" s="134"/>
    </row>
    <row r="710" spans="1:51" s="110" customFormat="1" ht="20" customHeight="1">
      <c r="A710" s="125" t="s">
        <v>185</v>
      </c>
      <c r="B710" s="126" t="s">
        <v>59</v>
      </c>
      <c r="C710" s="127">
        <v>12772</v>
      </c>
      <c r="D710" s="145">
        <v>105165</v>
      </c>
      <c r="E710" s="146" t="s">
        <v>2171</v>
      </c>
      <c r="F710" s="146" t="s">
        <v>2171</v>
      </c>
      <c r="G710" s="147">
        <v>800</v>
      </c>
      <c r="H710" s="147">
        <v>4</v>
      </c>
      <c r="I710" s="146" t="s">
        <v>209</v>
      </c>
      <c r="J710" s="146" t="s">
        <v>2172</v>
      </c>
      <c r="K710" s="146" t="s">
        <v>2171</v>
      </c>
      <c r="L710" s="147">
        <v>1</v>
      </c>
      <c r="M710" s="147">
        <v>1</v>
      </c>
      <c r="N710" s="146" t="s">
        <v>1544</v>
      </c>
      <c r="O710" s="147">
        <v>60</v>
      </c>
      <c r="P710" s="147">
        <v>5</v>
      </c>
      <c r="Q710" s="147">
        <v>19</v>
      </c>
      <c r="R710" s="146" t="s">
        <v>654</v>
      </c>
      <c r="S710" s="146" t="s">
        <v>655</v>
      </c>
      <c r="T710" s="147">
        <v>244</v>
      </c>
      <c r="U710" s="146" t="s">
        <v>656</v>
      </c>
      <c r="V710" s="146" t="s">
        <v>657</v>
      </c>
      <c r="W710" s="147">
        <v>1</v>
      </c>
      <c r="X710" s="147">
        <v>2</v>
      </c>
      <c r="Y710" s="146" t="s">
        <v>194</v>
      </c>
      <c r="Z710" s="146" t="s">
        <v>195</v>
      </c>
      <c r="AA710" s="146" t="s">
        <v>196</v>
      </c>
      <c r="AB710" s="146" t="s">
        <v>187</v>
      </c>
      <c r="AC710" s="146" t="s">
        <v>187</v>
      </c>
      <c r="AD710" s="148"/>
      <c r="AE710" s="146" t="s">
        <v>209</v>
      </c>
      <c r="AF710" s="147">
        <v>-1.76434</v>
      </c>
      <c r="AG710" s="149">
        <v>132.14815999999999</v>
      </c>
      <c r="AM710" s="133" t="str" cm="1">
        <f t="array" ref="AM710">IF(ROWS($AN$2:$AN709)&lt;=$AN$2,INDEX($V$3:$V$3000,_xlfn.AGGREGATE(15,3,($B$3:$B$3000=$AM$2)/($B$3:$B$3000=$AM$2)*(ROW($B$3:$B$3000)-ROW($B$2)),ROWS($AN$2:$AN709))),"")</f>
        <v/>
      </c>
      <c r="AN710" s="134" t="str" cm="1">
        <f t="array" ref="AN710">IF(ROWS($AN$2:$AN709)&lt;=$AN$2,INDEX($F$3:$F$3000,_xlfn.AGGREGATE(15,3,($B$3:$B$3000=$AM$2)/($B$3:$B$3000=$AM$2)*(ROW($B$3:$B$3000)-ROW($B$2)),ROWS($AN$2:$AN709))),"")</f>
        <v/>
      </c>
      <c r="AO710" s="135" t="str" cm="1">
        <f t="array" ref="AO710">IF(ROWS($AN$2:$AN709)&lt;=$AN$2,INDEX($G$3:$G$3000,_xlfn.AGGREGATE(15,3,($B$3:$B$3000=$AM$2)/($B$3:$B$3000=$AM$2)*(ROW($B$3:$B$3000)-ROW($B$2)),ROWS($AN$2:$AN709))),"")</f>
        <v/>
      </c>
      <c r="AP710" s="121"/>
      <c r="AT710" s="111"/>
      <c r="AW710" s="134"/>
      <c r="AX710" s="136"/>
      <c r="AY710" s="134"/>
    </row>
    <row r="711" spans="1:51" s="110" customFormat="1" ht="20" customHeight="1">
      <c r="A711" s="125" t="s">
        <v>185</v>
      </c>
      <c r="B711" s="126" t="s">
        <v>59</v>
      </c>
      <c r="C711" s="127">
        <v>13042</v>
      </c>
      <c r="D711" s="145">
        <v>105726</v>
      </c>
      <c r="E711" s="146" t="s">
        <v>2173</v>
      </c>
      <c r="F711" s="146" t="s">
        <v>2173</v>
      </c>
      <c r="G711" s="147">
        <v>800</v>
      </c>
      <c r="H711" s="147">
        <v>4</v>
      </c>
      <c r="I711" s="146" t="s">
        <v>209</v>
      </c>
      <c r="J711" s="146" t="s">
        <v>2174</v>
      </c>
      <c r="K711" s="146" t="s">
        <v>2173</v>
      </c>
      <c r="L711" s="147">
        <v>2</v>
      </c>
      <c r="M711" s="147">
        <v>1</v>
      </c>
      <c r="N711" s="146" t="s">
        <v>1544</v>
      </c>
      <c r="O711" s="147">
        <v>70</v>
      </c>
      <c r="P711" s="147">
        <v>4</v>
      </c>
      <c r="Q711" s="147">
        <v>19</v>
      </c>
      <c r="R711" s="146" t="s">
        <v>654</v>
      </c>
      <c r="S711" s="146" t="s">
        <v>655</v>
      </c>
      <c r="T711" s="147">
        <v>244</v>
      </c>
      <c r="U711" s="146" t="s">
        <v>656</v>
      </c>
      <c r="V711" s="146" t="s">
        <v>657</v>
      </c>
      <c r="W711" s="147">
        <v>1</v>
      </c>
      <c r="X711" s="147">
        <v>2</v>
      </c>
      <c r="Y711" s="146" t="s">
        <v>194</v>
      </c>
      <c r="Z711" s="146" t="s">
        <v>195</v>
      </c>
      <c r="AA711" s="146" t="s">
        <v>196</v>
      </c>
      <c r="AB711" s="146" t="s">
        <v>187</v>
      </c>
      <c r="AC711" s="146" t="s">
        <v>187</v>
      </c>
      <c r="AD711" s="148"/>
      <c r="AE711" s="146" t="s">
        <v>209</v>
      </c>
      <c r="AF711" s="147">
        <v>-4.0889899999999999</v>
      </c>
      <c r="AG711" s="149">
        <v>140.43565000000001</v>
      </c>
      <c r="AM711" s="133" t="str" cm="1">
        <f t="array" ref="AM711">IF(ROWS($AN$2:$AN710)&lt;=$AN$2,INDEX($V$3:$V$3000,_xlfn.AGGREGATE(15,3,($B$3:$B$3000=$AM$2)/($B$3:$B$3000=$AM$2)*(ROW($B$3:$B$3000)-ROW($B$2)),ROWS($AN$2:$AN710))),"")</f>
        <v/>
      </c>
      <c r="AN711" s="134" t="str" cm="1">
        <f t="array" ref="AN711">IF(ROWS($AN$2:$AN710)&lt;=$AN$2,INDEX($F$3:$F$3000,_xlfn.AGGREGATE(15,3,($B$3:$B$3000=$AM$2)/($B$3:$B$3000=$AM$2)*(ROW($B$3:$B$3000)-ROW($B$2)),ROWS($AN$2:$AN710))),"")</f>
        <v/>
      </c>
      <c r="AO711" s="135" t="str" cm="1">
        <f t="array" ref="AO711">IF(ROWS($AN$2:$AN710)&lt;=$AN$2,INDEX($G$3:$G$3000,_xlfn.AGGREGATE(15,3,($B$3:$B$3000=$AM$2)/($B$3:$B$3000=$AM$2)*(ROW($B$3:$B$3000)-ROW($B$2)),ROWS($AN$2:$AN710))),"")</f>
        <v/>
      </c>
      <c r="AP711" s="121"/>
      <c r="AT711" s="111"/>
      <c r="AW711" s="134"/>
      <c r="AX711" s="136"/>
      <c r="AY711" s="134"/>
    </row>
    <row r="712" spans="1:51" s="110" customFormat="1" ht="20" customHeight="1">
      <c r="A712" s="125" t="s">
        <v>185</v>
      </c>
      <c r="B712" s="126" t="s">
        <v>59</v>
      </c>
      <c r="C712" s="127">
        <v>13195</v>
      </c>
      <c r="D712" s="145">
        <v>105986</v>
      </c>
      <c r="E712" s="146" t="s">
        <v>2175</v>
      </c>
      <c r="F712" s="146" t="s">
        <v>2176</v>
      </c>
      <c r="G712" s="147">
        <v>800</v>
      </c>
      <c r="H712" s="147">
        <v>4</v>
      </c>
      <c r="I712" s="146" t="s">
        <v>209</v>
      </c>
      <c r="J712" s="146" t="s">
        <v>2177</v>
      </c>
      <c r="K712" s="146" t="s">
        <v>2175</v>
      </c>
      <c r="L712" s="147">
        <v>1</v>
      </c>
      <c r="M712" s="147">
        <v>1</v>
      </c>
      <c r="N712" s="146" t="s">
        <v>1544</v>
      </c>
      <c r="O712" s="147">
        <v>66</v>
      </c>
      <c r="P712" s="147">
        <v>3</v>
      </c>
      <c r="Q712" s="147">
        <v>19</v>
      </c>
      <c r="R712" s="146" t="s">
        <v>654</v>
      </c>
      <c r="S712" s="146" t="s">
        <v>655</v>
      </c>
      <c r="T712" s="147">
        <v>244</v>
      </c>
      <c r="U712" s="146" t="s">
        <v>656</v>
      </c>
      <c r="V712" s="146" t="s">
        <v>657</v>
      </c>
      <c r="W712" s="147">
        <v>1</v>
      </c>
      <c r="X712" s="147">
        <v>2</v>
      </c>
      <c r="Y712" s="146" t="s">
        <v>194</v>
      </c>
      <c r="Z712" s="146" t="s">
        <v>195</v>
      </c>
      <c r="AA712" s="146" t="s">
        <v>196</v>
      </c>
      <c r="AB712" s="146" t="s">
        <v>187</v>
      </c>
      <c r="AC712" s="146" t="s">
        <v>187</v>
      </c>
      <c r="AD712" s="148"/>
      <c r="AE712" s="146" t="s">
        <v>209</v>
      </c>
      <c r="AF712" s="147">
        <v>-1.0225</v>
      </c>
      <c r="AG712" s="149">
        <v>130.78817000000001</v>
      </c>
      <c r="AM712" s="133" t="str" cm="1">
        <f t="array" ref="AM712">IF(ROWS($AN$2:$AN711)&lt;=$AN$2,INDEX($V$3:$V$3000,_xlfn.AGGREGATE(15,3,($B$3:$B$3000=$AM$2)/($B$3:$B$3000=$AM$2)*(ROW($B$3:$B$3000)-ROW($B$2)),ROWS($AN$2:$AN711))),"")</f>
        <v/>
      </c>
      <c r="AN712" s="134" t="str" cm="1">
        <f t="array" ref="AN712">IF(ROWS($AN$2:$AN711)&lt;=$AN$2,INDEX($F$3:$F$3000,_xlfn.AGGREGATE(15,3,($B$3:$B$3000=$AM$2)/($B$3:$B$3000=$AM$2)*(ROW($B$3:$B$3000)-ROW($B$2)),ROWS($AN$2:$AN711))),"")</f>
        <v/>
      </c>
      <c r="AO712" s="135" t="str" cm="1">
        <f t="array" ref="AO712">IF(ROWS($AN$2:$AN711)&lt;=$AN$2,INDEX($G$3:$G$3000,_xlfn.AGGREGATE(15,3,($B$3:$B$3000=$AM$2)/($B$3:$B$3000=$AM$2)*(ROW($B$3:$B$3000)-ROW($B$2)),ROWS($AN$2:$AN711))),"")</f>
        <v/>
      </c>
      <c r="AP712" s="121"/>
      <c r="AT712" s="111"/>
      <c r="AW712" s="134"/>
      <c r="AX712" s="136"/>
      <c r="AY712" s="134"/>
    </row>
    <row r="713" spans="1:51" s="110" customFormat="1" ht="20" customHeight="1">
      <c r="A713" s="125" t="s">
        <v>185</v>
      </c>
      <c r="B713" s="126" t="s">
        <v>59</v>
      </c>
      <c r="C713" s="127">
        <v>13494</v>
      </c>
      <c r="D713" s="145">
        <v>106237</v>
      </c>
      <c r="E713" s="146" t="s">
        <v>2178</v>
      </c>
      <c r="F713" s="146" t="s">
        <v>2179</v>
      </c>
      <c r="G713" s="147">
        <v>800</v>
      </c>
      <c r="H713" s="147">
        <v>4</v>
      </c>
      <c r="I713" s="146" t="s">
        <v>209</v>
      </c>
      <c r="J713" s="146" t="s">
        <v>2180</v>
      </c>
      <c r="K713" s="146" t="s">
        <v>2178</v>
      </c>
      <c r="L713" s="147">
        <v>1</v>
      </c>
      <c r="M713" s="147">
        <v>1</v>
      </c>
      <c r="N713" s="146" t="s">
        <v>1544</v>
      </c>
      <c r="O713" s="147">
        <v>68</v>
      </c>
      <c r="P713" s="147">
        <v>3</v>
      </c>
      <c r="Q713" s="147">
        <v>19</v>
      </c>
      <c r="R713" s="146" t="s">
        <v>654</v>
      </c>
      <c r="S713" s="146" t="s">
        <v>655</v>
      </c>
      <c r="T713" s="147">
        <v>244</v>
      </c>
      <c r="U713" s="146" t="s">
        <v>656</v>
      </c>
      <c r="V713" s="146" t="s">
        <v>657</v>
      </c>
      <c r="W713" s="147">
        <v>2</v>
      </c>
      <c r="X713" s="147">
        <v>2</v>
      </c>
      <c r="Y713" s="146" t="s">
        <v>194</v>
      </c>
      <c r="Z713" s="146" t="s">
        <v>195</v>
      </c>
      <c r="AA713" s="146" t="s">
        <v>196</v>
      </c>
      <c r="AB713" s="146" t="s">
        <v>187</v>
      </c>
      <c r="AC713" s="146" t="s">
        <v>187</v>
      </c>
      <c r="AD713" s="148"/>
      <c r="AE713" s="146" t="s">
        <v>209</v>
      </c>
      <c r="AF713" s="147">
        <v>-2.96462</v>
      </c>
      <c r="AG713" s="149">
        <v>140.92382000000001</v>
      </c>
      <c r="AM713" s="133" t="str" cm="1">
        <f t="array" ref="AM713">IF(ROWS($AN$2:$AN712)&lt;=$AN$2,INDEX($V$3:$V$3000,_xlfn.AGGREGATE(15,3,($B$3:$B$3000=$AM$2)/($B$3:$B$3000=$AM$2)*(ROW($B$3:$B$3000)-ROW($B$2)),ROWS($AN$2:$AN712))),"")</f>
        <v/>
      </c>
      <c r="AN713" s="134" t="str" cm="1">
        <f t="array" ref="AN713">IF(ROWS($AN$2:$AN712)&lt;=$AN$2,INDEX($F$3:$F$3000,_xlfn.AGGREGATE(15,3,($B$3:$B$3000=$AM$2)/($B$3:$B$3000=$AM$2)*(ROW($B$3:$B$3000)-ROW($B$2)),ROWS($AN$2:$AN712))),"")</f>
        <v/>
      </c>
      <c r="AO713" s="135" t="str" cm="1">
        <f t="array" ref="AO713">IF(ROWS($AN$2:$AN712)&lt;=$AN$2,INDEX($G$3:$G$3000,_xlfn.AGGREGATE(15,3,($B$3:$B$3000=$AM$2)/($B$3:$B$3000=$AM$2)*(ROW($B$3:$B$3000)-ROW($B$2)),ROWS($AN$2:$AN712))),"")</f>
        <v/>
      </c>
      <c r="AP713" s="121"/>
      <c r="AT713" s="111"/>
      <c r="AW713" s="134"/>
      <c r="AX713" s="136"/>
      <c r="AY713" s="134"/>
    </row>
    <row r="714" spans="1:51" s="110" customFormat="1" ht="20" customHeight="1">
      <c r="A714" s="125" t="s">
        <v>185</v>
      </c>
      <c r="B714" s="126" t="s">
        <v>59</v>
      </c>
      <c r="C714" s="127">
        <v>15275</v>
      </c>
      <c r="D714" s="145">
        <v>109864</v>
      </c>
      <c r="E714" s="146" t="s">
        <v>2183</v>
      </c>
      <c r="F714" s="146" t="s">
        <v>2183</v>
      </c>
      <c r="G714" s="147">
        <v>800</v>
      </c>
      <c r="H714" s="147">
        <v>4</v>
      </c>
      <c r="I714" s="146" t="s">
        <v>209</v>
      </c>
      <c r="J714" s="146" t="s">
        <v>2184</v>
      </c>
      <c r="K714" s="146" t="s">
        <v>2183</v>
      </c>
      <c r="L714" s="147">
        <v>0</v>
      </c>
      <c r="M714" s="147">
        <v>1</v>
      </c>
      <c r="N714" s="146" t="s">
        <v>1544</v>
      </c>
      <c r="O714" s="147">
        <v>90</v>
      </c>
      <c r="P714" s="147">
        <v>4</v>
      </c>
      <c r="Q714" s="147">
        <v>19</v>
      </c>
      <c r="R714" s="146" t="s">
        <v>654</v>
      </c>
      <c r="S714" s="146" t="s">
        <v>655</v>
      </c>
      <c r="T714" s="147">
        <v>244</v>
      </c>
      <c r="U714" s="146" t="s">
        <v>656</v>
      </c>
      <c r="V714" s="146" t="s">
        <v>657</v>
      </c>
      <c r="W714" s="147">
        <v>1</v>
      </c>
      <c r="X714" s="147">
        <v>2</v>
      </c>
      <c r="Y714" s="146" t="s">
        <v>194</v>
      </c>
      <c r="Z714" s="146" t="s">
        <v>195</v>
      </c>
      <c r="AA714" s="146" t="s">
        <v>196</v>
      </c>
      <c r="AB714" s="146" t="s">
        <v>187</v>
      </c>
      <c r="AC714" s="146" t="s">
        <v>187</v>
      </c>
      <c r="AD714" s="148"/>
      <c r="AE714" s="146" t="s">
        <v>209</v>
      </c>
      <c r="AF714" s="147">
        <v>-2.3675099999999998</v>
      </c>
      <c r="AG714" s="149">
        <v>140.04865000000001</v>
      </c>
      <c r="AM714" s="133" t="str" cm="1">
        <f t="array" ref="AM714">IF(ROWS($AN$2:$AN713)&lt;=$AN$2,INDEX($V$3:$V$3000,_xlfn.AGGREGATE(15,3,($B$3:$B$3000=$AM$2)/($B$3:$B$3000=$AM$2)*(ROW($B$3:$B$3000)-ROW($B$2)),ROWS($AN$2:$AN713))),"")</f>
        <v/>
      </c>
      <c r="AN714" s="134" t="str" cm="1">
        <f t="array" ref="AN714">IF(ROWS($AN$2:$AN713)&lt;=$AN$2,INDEX($F$3:$F$3000,_xlfn.AGGREGATE(15,3,($B$3:$B$3000=$AM$2)/($B$3:$B$3000=$AM$2)*(ROW($B$3:$B$3000)-ROW($B$2)),ROWS($AN$2:$AN713))),"")</f>
        <v/>
      </c>
      <c r="AO714" s="135" t="str" cm="1">
        <f t="array" ref="AO714">IF(ROWS($AN$2:$AN713)&lt;=$AN$2,INDEX($G$3:$G$3000,_xlfn.AGGREGATE(15,3,($B$3:$B$3000=$AM$2)/($B$3:$B$3000=$AM$2)*(ROW($B$3:$B$3000)-ROW($B$2)),ROWS($AN$2:$AN713))),"")</f>
        <v/>
      </c>
      <c r="AP714" s="121"/>
      <c r="AT714" s="111"/>
      <c r="AW714" s="134"/>
      <c r="AX714" s="136"/>
      <c r="AY714" s="134"/>
    </row>
    <row r="715" spans="1:51" s="110" customFormat="1" ht="20" customHeight="1">
      <c r="A715" s="125" t="s">
        <v>185</v>
      </c>
      <c r="B715" s="126" t="s">
        <v>59</v>
      </c>
      <c r="C715" s="127">
        <v>15631</v>
      </c>
      <c r="D715" s="145">
        <v>110269</v>
      </c>
      <c r="E715" s="146" t="s">
        <v>2185</v>
      </c>
      <c r="F715" s="146" t="s">
        <v>2186</v>
      </c>
      <c r="G715" s="147">
        <v>800</v>
      </c>
      <c r="H715" s="147">
        <v>4</v>
      </c>
      <c r="I715" s="146" t="s">
        <v>209</v>
      </c>
      <c r="J715" s="146" t="s">
        <v>2187</v>
      </c>
      <c r="K715" s="146" t="s">
        <v>2188</v>
      </c>
      <c r="L715" s="147">
        <v>1</v>
      </c>
      <c r="M715" s="147">
        <v>1</v>
      </c>
      <c r="N715" s="146" t="s">
        <v>1544</v>
      </c>
      <c r="O715" s="147">
        <v>68</v>
      </c>
      <c r="P715" s="147">
        <v>7</v>
      </c>
      <c r="Q715" s="147">
        <v>19</v>
      </c>
      <c r="R715" s="146" t="s">
        <v>654</v>
      </c>
      <c r="S715" s="146" t="s">
        <v>655</v>
      </c>
      <c r="T715" s="147">
        <v>244</v>
      </c>
      <c r="U715" s="146" t="s">
        <v>656</v>
      </c>
      <c r="V715" s="146" t="s">
        <v>657</v>
      </c>
      <c r="W715" s="147">
        <v>1</v>
      </c>
      <c r="X715" s="147">
        <v>2</v>
      </c>
      <c r="Y715" s="146" t="s">
        <v>194</v>
      </c>
      <c r="Z715" s="146" t="s">
        <v>195</v>
      </c>
      <c r="AA715" s="146" t="s">
        <v>196</v>
      </c>
      <c r="AB715" s="146" t="s">
        <v>187</v>
      </c>
      <c r="AC715" s="146" t="s">
        <v>187</v>
      </c>
      <c r="AD715" s="148"/>
      <c r="AE715" s="146" t="s">
        <v>209</v>
      </c>
      <c r="AF715" s="147">
        <v>-2.6663899999999998</v>
      </c>
      <c r="AG715" s="149">
        <v>140.91072</v>
      </c>
      <c r="AM715" s="133" t="str" cm="1">
        <f t="array" ref="AM715">IF(ROWS($AN$2:$AN714)&lt;=$AN$2,INDEX($V$3:$V$3000,_xlfn.AGGREGATE(15,3,($B$3:$B$3000=$AM$2)/($B$3:$B$3000=$AM$2)*(ROW($B$3:$B$3000)-ROW($B$2)),ROWS($AN$2:$AN714))),"")</f>
        <v/>
      </c>
      <c r="AN715" s="134" t="str" cm="1">
        <f t="array" ref="AN715">IF(ROWS($AN$2:$AN714)&lt;=$AN$2,INDEX($F$3:$F$3000,_xlfn.AGGREGATE(15,3,($B$3:$B$3000=$AM$2)/($B$3:$B$3000=$AM$2)*(ROW($B$3:$B$3000)-ROW($B$2)),ROWS($AN$2:$AN714))),"")</f>
        <v/>
      </c>
      <c r="AO715" s="135" t="str" cm="1">
        <f t="array" ref="AO715">IF(ROWS($AN$2:$AN714)&lt;=$AN$2,INDEX($G$3:$G$3000,_xlfn.AGGREGATE(15,3,($B$3:$B$3000=$AM$2)/($B$3:$B$3000=$AM$2)*(ROW($B$3:$B$3000)-ROW($B$2)),ROWS($AN$2:$AN714))),"")</f>
        <v/>
      </c>
      <c r="AP715" s="121"/>
      <c r="AT715" s="111"/>
      <c r="AW715" s="134"/>
      <c r="AX715" s="136"/>
      <c r="AY715" s="134"/>
    </row>
    <row r="716" spans="1:51" s="110" customFormat="1" ht="20" customHeight="1">
      <c r="A716" s="125" t="s">
        <v>185</v>
      </c>
      <c r="B716" s="126" t="s">
        <v>59</v>
      </c>
      <c r="C716" s="127">
        <v>19081</v>
      </c>
      <c r="D716" s="145">
        <v>115355</v>
      </c>
      <c r="E716" s="146" t="s">
        <v>2189</v>
      </c>
      <c r="F716" s="146" t="s">
        <v>2189</v>
      </c>
      <c r="G716" s="147">
        <v>800</v>
      </c>
      <c r="H716" s="147">
        <v>4</v>
      </c>
      <c r="I716" s="146" t="s">
        <v>209</v>
      </c>
      <c r="J716" s="146" t="s">
        <v>2190</v>
      </c>
      <c r="K716" s="146" t="s">
        <v>2191</v>
      </c>
      <c r="L716" s="147">
        <v>3</v>
      </c>
      <c r="M716" s="147">
        <v>1</v>
      </c>
      <c r="N716" s="146" t="s">
        <v>1544</v>
      </c>
      <c r="O716" s="147">
        <v>90</v>
      </c>
      <c r="P716" s="147">
        <v>3</v>
      </c>
      <c r="Q716" s="147">
        <v>19</v>
      </c>
      <c r="R716" s="146" t="s">
        <v>654</v>
      </c>
      <c r="S716" s="146" t="s">
        <v>655</v>
      </c>
      <c r="T716" s="147">
        <v>244</v>
      </c>
      <c r="U716" s="146" t="s">
        <v>656</v>
      </c>
      <c r="V716" s="146" t="s">
        <v>657</v>
      </c>
      <c r="W716" s="147">
        <v>1</v>
      </c>
      <c r="X716" s="147">
        <v>2</v>
      </c>
      <c r="Y716" s="146" t="s">
        <v>194</v>
      </c>
      <c r="Z716" s="146" t="s">
        <v>195</v>
      </c>
      <c r="AA716" s="146" t="s">
        <v>196</v>
      </c>
      <c r="AB716" s="146" t="s">
        <v>187</v>
      </c>
      <c r="AC716" s="146" t="s">
        <v>187</v>
      </c>
      <c r="AD716" s="148"/>
      <c r="AE716" s="146" t="s">
        <v>209</v>
      </c>
      <c r="AF716" s="147">
        <v>-3.1551999999999998</v>
      </c>
      <c r="AG716" s="149">
        <v>137.66589999999999</v>
      </c>
      <c r="AM716" s="133" t="str" cm="1">
        <f t="array" ref="AM716">IF(ROWS($AN$2:$AN715)&lt;=$AN$2,INDEX($V$3:$V$3000,_xlfn.AGGREGATE(15,3,($B$3:$B$3000=$AM$2)/($B$3:$B$3000=$AM$2)*(ROW($B$3:$B$3000)-ROW($B$2)),ROWS($AN$2:$AN715))),"")</f>
        <v/>
      </c>
      <c r="AN716" s="134" t="str" cm="1">
        <f t="array" ref="AN716">IF(ROWS($AN$2:$AN715)&lt;=$AN$2,INDEX($F$3:$F$3000,_xlfn.AGGREGATE(15,3,($B$3:$B$3000=$AM$2)/($B$3:$B$3000=$AM$2)*(ROW($B$3:$B$3000)-ROW($B$2)),ROWS($AN$2:$AN715))),"")</f>
        <v/>
      </c>
      <c r="AO716" s="135" t="str" cm="1">
        <f t="array" ref="AO716">IF(ROWS($AN$2:$AN715)&lt;=$AN$2,INDEX($G$3:$G$3000,_xlfn.AGGREGATE(15,3,($B$3:$B$3000=$AM$2)/($B$3:$B$3000=$AM$2)*(ROW($B$3:$B$3000)-ROW($B$2)),ROWS($AN$2:$AN715))),"")</f>
        <v/>
      </c>
      <c r="AP716" s="121"/>
      <c r="AT716" s="111"/>
      <c r="AW716" s="134"/>
      <c r="AX716" s="136"/>
      <c r="AY716" s="134"/>
    </row>
    <row r="717" spans="1:51" s="110" customFormat="1" ht="20" customHeight="1">
      <c r="A717" s="125" t="s">
        <v>185</v>
      </c>
      <c r="B717" s="126" t="s">
        <v>59</v>
      </c>
      <c r="C717" s="127">
        <v>16019</v>
      </c>
      <c r="D717" s="145">
        <v>111025</v>
      </c>
      <c r="E717" s="146" t="s">
        <v>2196</v>
      </c>
      <c r="F717" s="146" t="s">
        <v>2197</v>
      </c>
      <c r="G717" s="147">
        <v>800</v>
      </c>
      <c r="H717" s="147">
        <v>4</v>
      </c>
      <c r="I717" s="146" t="s">
        <v>209</v>
      </c>
      <c r="J717" s="146" t="s">
        <v>2198</v>
      </c>
      <c r="K717" s="146" t="s">
        <v>2196</v>
      </c>
      <c r="L717" s="147">
        <v>0</v>
      </c>
      <c r="M717" s="147">
        <v>1</v>
      </c>
      <c r="N717" s="146" t="s">
        <v>1544</v>
      </c>
      <c r="O717" s="147">
        <v>68</v>
      </c>
      <c r="P717" s="147">
        <v>3</v>
      </c>
      <c r="Q717" s="147">
        <v>19</v>
      </c>
      <c r="R717" s="146" t="s">
        <v>654</v>
      </c>
      <c r="S717" s="146" t="s">
        <v>655</v>
      </c>
      <c r="T717" s="147">
        <v>244</v>
      </c>
      <c r="U717" s="146" t="s">
        <v>656</v>
      </c>
      <c r="V717" s="146" t="s">
        <v>657</v>
      </c>
      <c r="W717" s="147">
        <v>1</v>
      </c>
      <c r="X717" s="147">
        <v>2</v>
      </c>
      <c r="Y717" s="146" t="s">
        <v>194</v>
      </c>
      <c r="Z717" s="146" t="s">
        <v>195</v>
      </c>
      <c r="AA717" s="146" t="s">
        <v>196</v>
      </c>
      <c r="AB717" s="146" t="s">
        <v>187</v>
      </c>
      <c r="AC717" s="146" t="s">
        <v>187</v>
      </c>
      <c r="AD717" s="148"/>
      <c r="AE717" s="146" t="s">
        <v>209</v>
      </c>
      <c r="AF717" s="147">
        <v>-7.4536499999999997</v>
      </c>
      <c r="AG717" s="149">
        <v>139.11626999999999</v>
      </c>
      <c r="AM717" s="133" t="str" cm="1">
        <f t="array" ref="AM717">IF(ROWS($AN$2:$AN716)&lt;=$AN$2,INDEX($V$3:$V$3000,_xlfn.AGGREGATE(15,3,($B$3:$B$3000=$AM$2)/($B$3:$B$3000=$AM$2)*(ROW($B$3:$B$3000)-ROW($B$2)),ROWS($AN$2:$AN716))),"")</f>
        <v/>
      </c>
      <c r="AN717" s="134" t="str" cm="1">
        <f t="array" ref="AN717">IF(ROWS($AN$2:$AN716)&lt;=$AN$2,INDEX($F$3:$F$3000,_xlfn.AGGREGATE(15,3,($B$3:$B$3000=$AM$2)/($B$3:$B$3000=$AM$2)*(ROW($B$3:$B$3000)-ROW($B$2)),ROWS($AN$2:$AN716))),"")</f>
        <v/>
      </c>
      <c r="AO717" s="135" t="str" cm="1">
        <f t="array" ref="AO717">IF(ROWS($AN$2:$AN716)&lt;=$AN$2,INDEX($G$3:$G$3000,_xlfn.AGGREGATE(15,3,($B$3:$B$3000=$AM$2)/($B$3:$B$3000=$AM$2)*(ROW($B$3:$B$3000)-ROW($B$2)),ROWS($AN$2:$AN716))),"")</f>
        <v/>
      </c>
      <c r="AP717" s="121"/>
      <c r="AT717" s="111"/>
      <c r="AW717" s="134"/>
      <c r="AX717" s="136"/>
      <c r="AY717" s="134"/>
    </row>
    <row r="718" spans="1:51" s="110" customFormat="1" ht="20" customHeight="1">
      <c r="A718" s="125" t="s">
        <v>185</v>
      </c>
      <c r="B718" s="126" t="s">
        <v>59</v>
      </c>
      <c r="C718" s="127">
        <v>10543</v>
      </c>
      <c r="D718" s="145">
        <v>100699</v>
      </c>
      <c r="E718" s="146" t="s">
        <v>2084</v>
      </c>
      <c r="F718" s="146" t="s">
        <v>2084</v>
      </c>
      <c r="G718" s="147">
        <v>700</v>
      </c>
      <c r="H718" s="147">
        <v>4</v>
      </c>
      <c r="I718" s="146" t="s">
        <v>209</v>
      </c>
      <c r="J718" s="146" t="s">
        <v>2085</v>
      </c>
      <c r="K718" s="146" t="s">
        <v>2086</v>
      </c>
      <c r="L718" s="147">
        <v>1</v>
      </c>
      <c r="M718" s="147">
        <v>1</v>
      </c>
      <c r="N718" s="146" t="s">
        <v>1544</v>
      </c>
      <c r="O718" s="147">
        <v>72</v>
      </c>
      <c r="P718" s="147">
        <v>3</v>
      </c>
      <c r="Q718" s="147">
        <v>19</v>
      </c>
      <c r="R718" s="146" t="s">
        <v>654</v>
      </c>
      <c r="S718" s="146" t="s">
        <v>655</v>
      </c>
      <c r="T718" s="147">
        <v>244</v>
      </c>
      <c r="U718" s="146" t="s">
        <v>656</v>
      </c>
      <c r="V718" s="146" t="s">
        <v>657</v>
      </c>
      <c r="W718" s="147">
        <v>1</v>
      </c>
      <c r="X718" s="147">
        <v>2</v>
      </c>
      <c r="Y718" s="146" t="s">
        <v>194</v>
      </c>
      <c r="Z718" s="146" t="s">
        <v>195</v>
      </c>
      <c r="AA718" s="146" t="s">
        <v>196</v>
      </c>
      <c r="AB718" s="146" t="s">
        <v>187</v>
      </c>
      <c r="AC718" s="146" t="s">
        <v>187</v>
      </c>
      <c r="AD718" s="148"/>
      <c r="AE718" s="146" t="s">
        <v>209</v>
      </c>
      <c r="AF718" s="147">
        <v>-2.70181</v>
      </c>
      <c r="AG718" s="149">
        <v>138.06601000000001</v>
      </c>
      <c r="AM718" s="133" t="str" cm="1">
        <f t="array" ref="AM718">IF(ROWS($AN$2:$AN717)&lt;=$AN$2,INDEX($V$3:$V$3000,_xlfn.AGGREGATE(15,3,($B$3:$B$3000=$AM$2)/($B$3:$B$3000=$AM$2)*(ROW($B$3:$B$3000)-ROW($B$2)),ROWS($AN$2:$AN717))),"")</f>
        <v/>
      </c>
      <c r="AN718" s="134" t="str" cm="1">
        <f t="array" ref="AN718">IF(ROWS($AN$2:$AN717)&lt;=$AN$2,INDEX($F$3:$F$3000,_xlfn.AGGREGATE(15,3,($B$3:$B$3000=$AM$2)/($B$3:$B$3000=$AM$2)*(ROW($B$3:$B$3000)-ROW($B$2)),ROWS($AN$2:$AN717))),"")</f>
        <v/>
      </c>
      <c r="AO718" s="135" t="str" cm="1">
        <f t="array" ref="AO718">IF(ROWS($AN$2:$AN717)&lt;=$AN$2,INDEX($G$3:$G$3000,_xlfn.AGGREGATE(15,3,($B$3:$B$3000=$AM$2)/($B$3:$B$3000=$AM$2)*(ROW($B$3:$B$3000)-ROW($B$2)),ROWS($AN$2:$AN717))),"")</f>
        <v/>
      </c>
      <c r="AP718" s="121"/>
      <c r="AT718" s="111"/>
      <c r="AW718" s="134"/>
      <c r="AX718" s="136"/>
      <c r="AY718" s="134"/>
    </row>
    <row r="719" spans="1:51" s="110" customFormat="1" ht="20" customHeight="1">
      <c r="A719" s="125" t="s">
        <v>185</v>
      </c>
      <c r="B719" s="126" t="s">
        <v>59</v>
      </c>
      <c r="C719" s="127">
        <v>10814</v>
      </c>
      <c r="D719" s="145">
        <v>101294</v>
      </c>
      <c r="E719" s="146" t="s">
        <v>2087</v>
      </c>
      <c r="F719" s="146" t="s">
        <v>2087</v>
      </c>
      <c r="G719" s="147">
        <v>700</v>
      </c>
      <c r="H719" s="147">
        <v>4</v>
      </c>
      <c r="I719" s="146" t="s">
        <v>209</v>
      </c>
      <c r="J719" s="146" t="s">
        <v>2088</v>
      </c>
      <c r="K719" s="146" t="s">
        <v>2087</v>
      </c>
      <c r="L719" s="147">
        <v>1</v>
      </c>
      <c r="M719" s="147">
        <v>1</v>
      </c>
      <c r="N719" s="146" t="s">
        <v>1544</v>
      </c>
      <c r="O719" s="147">
        <v>72</v>
      </c>
      <c r="P719" s="147">
        <v>5</v>
      </c>
      <c r="Q719" s="147">
        <v>19</v>
      </c>
      <c r="R719" s="146" t="s">
        <v>654</v>
      </c>
      <c r="S719" s="146" t="s">
        <v>655</v>
      </c>
      <c r="T719" s="147">
        <v>244</v>
      </c>
      <c r="U719" s="146" t="s">
        <v>656</v>
      </c>
      <c r="V719" s="146" t="s">
        <v>657</v>
      </c>
      <c r="W719" s="147">
        <v>1</v>
      </c>
      <c r="X719" s="147">
        <v>2</v>
      </c>
      <c r="Y719" s="146" t="s">
        <v>194</v>
      </c>
      <c r="Z719" s="146" t="s">
        <v>195</v>
      </c>
      <c r="AA719" s="146" t="s">
        <v>196</v>
      </c>
      <c r="AB719" s="146" t="s">
        <v>187</v>
      </c>
      <c r="AC719" s="146" t="s">
        <v>187</v>
      </c>
      <c r="AD719" s="148"/>
      <c r="AE719" s="146" t="s">
        <v>209</v>
      </c>
      <c r="AF719" s="147">
        <v>-2.17631</v>
      </c>
      <c r="AG719" s="149">
        <v>139.24555000000001</v>
      </c>
      <c r="AM719" s="133" t="str" cm="1">
        <f t="array" ref="AM719">IF(ROWS($AN$2:$AN718)&lt;=$AN$2,INDEX($V$3:$V$3000,_xlfn.AGGREGATE(15,3,($B$3:$B$3000=$AM$2)/($B$3:$B$3000=$AM$2)*(ROW($B$3:$B$3000)-ROW($B$2)),ROWS($AN$2:$AN718))),"")</f>
        <v/>
      </c>
      <c r="AN719" s="134" t="str" cm="1">
        <f t="array" ref="AN719">IF(ROWS($AN$2:$AN718)&lt;=$AN$2,INDEX($F$3:$F$3000,_xlfn.AGGREGATE(15,3,($B$3:$B$3000=$AM$2)/($B$3:$B$3000=$AM$2)*(ROW($B$3:$B$3000)-ROW($B$2)),ROWS($AN$2:$AN718))),"")</f>
        <v/>
      </c>
      <c r="AO719" s="135" t="str" cm="1">
        <f t="array" ref="AO719">IF(ROWS($AN$2:$AN718)&lt;=$AN$2,INDEX($G$3:$G$3000,_xlfn.AGGREGATE(15,3,($B$3:$B$3000=$AM$2)/($B$3:$B$3000=$AM$2)*(ROW($B$3:$B$3000)-ROW($B$2)),ROWS($AN$2:$AN718))),"")</f>
        <v/>
      </c>
      <c r="AP719" s="121"/>
      <c r="AT719" s="111"/>
      <c r="AW719" s="134"/>
      <c r="AX719" s="136"/>
      <c r="AY719" s="134"/>
    </row>
    <row r="720" spans="1:51" s="110" customFormat="1" ht="20" customHeight="1">
      <c r="A720" s="125" t="s">
        <v>185</v>
      </c>
      <c r="B720" s="126" t="s">
        <v>59</v>
      </c>
      <c r="C720" s="127">
        <v>11531</v>
      </c>
      <c r="D720" s="145">
        <v>102511</v>
      </c>
      <c r="E720" s="146" t="s">
        <v>2091</v>
      </c>
      <c r="F720" s="146" t="s">
        <v>2091</v>
      </c>
      <c r="G720" s="147">
        <v>700</v>
      </c>
      <c r="H720" s="147">
        <v>4</v>
      </c>
      <c r="I720" s="146" t="s">
        <v>209</v>
      </c>
      <c r="J720" s="146" t="s">
        <v>2092</v>
      </c>
      <c r="K720" s="146" t="s">
        <v>2091</v>
      </c>
      <c r="L720" s="147">
        <v>1</v>
      </c>
      <c r="M720" s="147">
        <v>1</v>
      </c>
      <c r="N720" s="146" t="s">
        <v>1544</v>
      </c>
      <c r="O720" s="147">
        <v>65</v>
      </c>
      <c r="P720" s="147">
        <v>6</v>
      </c>
      <c r="Q720" s="147">
        <v>19</v>
      </c>
      <c r="R720" s="146" t="s">
        <v>654</v>
      </c>
      <c r="S720" s="146" t="s">
        <v>655</v>
      </c>
      <c r="T720" s="147">
        <v>244</v>
      </c>
      <c r="U720" s="146" t="s">
        <v>656</v>
      </c>
      <c r="V720" s="146" t="s">
        <v>657</v>
      </c>
      <c r="W720" s="147">
        <v>1</v>
      </c>
      <c r="X720" s="147">
        <v>2</v>
      </c>
      <c r="Y720" s="146" t="s">
        <v>194</v>
      </c>
      <c r="Z720" s="146" t="s">
        <v>195</v>
      </c>
      <c r="AA720" s="146" t="s">
        <v>196</v>
      </c>
      <c r="AB720" s="146" t="s">
        <v>187</v>
      </c>
      <c r="AC720" s="146" t="s">
        <v>187</v>
      </c>
      <c r="AD720" s="148"/>
      <c r="AE720" s="146" t="s">
        <v>209</v>
      </c>
      <c r="AF720" s="147">
        <v>-2.5969799999999998</v>
      </c>
      <c r="AG720" s="149">
        <v>136.55287000000001</v>
      </c>
      <c r="AM720" s="133" t="str" cm="1">
        <f t="array" ref="AM720">IF(ROWS($AN$2:$AN719)&lt;=$AN$2,INDEX($V$3:$V$3000,_xlfn.AGGREGATE(15,3,($B$3:$B$3000=$AM$2)/($B$3:$B$3000=$AM$2)*(ROW($B$3:$B$3000)-ROW($B$2)),ROWS($AN$2:$AN719))),"")</f>
        <v/>
      </c>
      <c r="AN720" s="134" t="str" cm="1">
        <f t="array" ref="AN720">IF(ROWS($AN$2:$AN719)&lt;=$AN$2,INDEX($F$3:$F$3000,_xlfn.AGGREGATE(15,3,($B$3:$B$3000=$AM$2)/($B$3:$B$3000=$AM$2)*(ROW($B$3:$B$3000)-ROW($B$2)),ROWS($AN$2:$AN719))),"")</f>
        <v/>
      </c>
      <c r="AO720" s="135" t="str" cm="1">
        <f t="array" ref="AO720">IF(ROWS($AN$2:$AN719)&lt;=$AN$2,INDEX($G$3:$G$3000,_xlfn.AGGREGATE(15,3,($B$3:$B$3000=$AM$2)/($B$3:$B$3000=$AM$2)*(ROW($B$3:$B$3000)-ROW($B$2)),ROWS($AN$2:$AN719))),"")</f>
        <v/>
      </c>
      <c r="AP720" s="121"/>
      <c r="AT720" s="111"/>
      <c r="AW720" s="134"/>
      <c r="AX720" s="136"/>
      <c r="AY720" s="134"/>
    </row>
    <row r="721" spans="1:51" s="110" customFormat="1" ht="20" customHeight="1">
      <c r="A721" s="125" t="s">
        <v>185</v>
      </c>
      <c r="B721" s="126" t="s">
        <v>59</v>
      </c>
      <c r="C721" s="127">
        <v>12598</v>
      </c>
      <c r="D721" s="145">
        <v>104790</v>
      </c>
      <c r="E721" s="146" t="s">
        <v>2098</v>
      </c>
      <c r="F721" s="146" t="s">
        <v>2098</v>
      </c>
      <c r="G721" s="147">
        <v>700</v>
      </c>
      <c r="H721" s="147">
        <v>4</v>
      </c>
      <c r="I721" s="146" t="s">
        <v>209</v>
      </c>
      <c r="J721" s="146" t="s">
        <v>2099</v>
      </c>
      <c r="K721" s="146" t="s">
        <v>2098</v>
      </c>
      <c r="L721" s="147">
        <v>0</v>
      </c>
      <c r="M721" s="147">
        <v>1</v>
      </c>
      <c r="N721" s="146" t="s">
        <v>1544</v>
      </c>
      <c r="O721" s="147">
        <v>90</v>
      </c>
      <c r="P721" s="147">
        <v>5</v>
      </c>
      <c r="Q721" s="147">
        <v>19</v>
      </c>
      <c r="R721" s="146" t="s">
        <v>654</v>
      </c>
      <c r="S721" s="146" t="s">
        <v>655</v>
      </c>
      <c r="T721" s="147">
        <v>244</v>
      </c>
      <c r="U721" s="146" t="s">
        <v>656</v>
      </c>
      <c r="V721" s="146" t="s">
        <v>657</v>
      </c>
      <c r="W721" s="147">
        <v>1</v>
      </c>
      <c r="X721" s="147">
        <v>2</v>
      </c>
      <c r="Y721" s="146" t="s">
        <v>194</v>
      </c>
      <c r="Z721" s="146" t="s">
        <v>195</v>
      </c>
      <c r="AA721" s="146" t="s">
        <v>196</v>
      </c>
      <c r="AB721" s="146" t="s">
        <v>187</v>
      </c>
      <c r="AC721" s="146" t="s">
        <v>187</v>
      </c>
      <c r="AD721" s="148"/>
      <c r="AE721" s="146" t="s">
        <v>209</v>
      </c>
      <c r="AF721" s="147">
        <v>-2.5552830000000002</v>
      </c>
      <c r="AG721" s="149">
        <v>140.703451</v>
      </c>
      <c r="AM721" s="133" t="str" cm="1">
        <f t="array" ref="AM721">IF(ROWS($AN$2:$AN720)&lt;=$AN$2,INDEX($V$3:$V$3000,_xlfn.AGGREGATE(15,3,($B$3:$B$3000=$AM$2)/($B$3:$B$3000=$AM$2)*(ROW($B$3:$B$3000)-ROW($B$2)),ROWS($AN$2:$AN720))),"")</f>
        <v/>
      </c>
      <c r="AN721" s="134" t="str" cm="1">
        <f t="array" ref="AN721">IF(ROWS($AN$2:$AN720)&lt;=$AN$2,INDEX($F$3:$F$3000,_xlfn.AGGREGATE(15,3,($B$3:$B$3000=$AM$2)/($B$3:$B$3000=$AM$2)*(ROW($B$3:$B$3000)-ROW($B$2)),ROWS($AN$2:$AN720))),"")</f>
        <v/>
      </c>
      <c r="AO721" s="135" t="str" cm="1">
        <f t="array" ref="AO721">IF(ROWS($AN$2:$AN720)&lt;=$AN$2,INDEX($G$3:$G$3000,_xlfn.AGGREGATE(15,3,($B$3:$B$3000=$AM$2)/($B$3:$B$3000=$AM$2)*(ROW($B$3:$B$3000)-ROW($B$2)),ROWS($AN$2:$AN720))),"")</f>
        <v/>
      </c>
      <c r="AP721" s="121"/>
      <c r="AT721" s="111"/>
      <c r="AW721" s="134"/>
      <c r="AX721" s="136"/>
      <c r="AY721" s="134"/>
    </row>
    <row r="722" spans="1:51" s="110" customFormat="1" ht="20" customHeight="1">
      <c r="A722" s="125" t="s">
        <v>185</v>
      </c>
      <c r="B722" s="126" t="s">
        <v>59</v>
      </c>
      <c r="C722" s="127">
        <v>14305</v>
      </c>
      <c r="D722" s="145">
        <v>107865</v>
      </c>
      <c r="E722" s="146" t="s">
        <v>2103</v>
      </c>
      <c r="F722" s="146" t="s">
        <v>2103</v>
      </c>
      <c r="G722" s="147">
        <v>700</v>
      </c>
      <c r="H722" s="147">
        <v>4</v>
      </c>
      <c r="I722" s="146" t="s">
        <v>209</v>
      </c>
      <c r="J722" s="146" t="s">
        <v>2104</v>
      </c>
      <c r="K722" s="146" t="s">
        <v>2103</v>
      </c>
      <c r="L722" s="147">
        <v>1</v>
      </c>
      <c r="M722" s="147">
        <v>1</v>
      </c>
      <c r="N722" s="146" t="s">
        <v>1544</v>
      </c>
      <c r="O722" s="147">
        <v>68</v>
      </c>
      <c r="P722" s="147">
        <v>6</v>
      </c>
      <c r="Q722" s="147">
        <v>19</v>
      </c>
      <c r="R722" s="146" t="s">
        <v>654</v>
      </c>
      <c r="S722" s="146" t="s">
        <v>655</v>
      </c>
      <c r="T722" s="147">
        <v>244</v>
      </c>
      <c r="U722" s="146" t="s">
        <v>656</v>
      </c>
      <c r="V722" s="146" t="s">
        <v>657</v>
      </c>
      <c r="W722" s="147">
        <v>1</v>
      </c>
      <c r="X722" s="147">
        <v>2</v>
      </c>
      <c r="Y722" s="146" t="s">
        <v>194</v>
      </c>
      <c r="Z722" s="146" t="s">
        <v>195</v>
      </c>
      <c r="AA722" s="146" t="s">
        <v>196</v>
      </c>
      <c r="AB722" s="146" t="s">
        <v>187</v>
      </c>
      <c r="AC722" s="146" t="s">
        <v>187</v>
      </c>
      <c r="AD722" s="148"/>
      <c r="AE722" s="146" t="s">
        <v>209</v>
      </c>
      <c r="AF722" s="147">
        <v>-2.8519899999999998</v>
      </c>
      <c r="AG722" s="149">
        <v>138.63293999999999</v>
      </c>
      <c r="AM722" s="133" t="str" cm="1">
        <f t="array" ref="AM722">IF(ROWS($AN$2:$AN721)&lt;=$AN$2,INDEX($V$3:$V$3000,_xlfn.AGGREGATE(15,3,($B$3:$B$3000=$AM$2)/($B$3:$B$3000=$AM$2)*(ROW($B$3:$B$3000)-ROW($B$2)),ROWS($AN$2:$AN721))),"")</f>
        <v/>
      </c>
      <c r="AN722" s="134" t="str" cm="1">
        <f t="array" ref="AN722">IF(ROWS($AN$2:$AN721)&lt;=$AN$2,INDEX($F$3:$F$3000,_xlfn.AGGREGATE(15,3,($B$3:$B$3000=$AM$2)/($B$3:$B$3000=$AM$2)*(ROW($B$3:$B$3000)-ROW($B$2)),ROWS($AN$2:$AN721))),"")</f>
        <v/>
      </c>
      <c r="AO722" s="135" t="str" cm="1">
        <f t="array" ref="AO722">IF(ROWS($AN$2:$AN721)&lt;=$AN$2,INDEX($G$3:$G$3000,_xlfn.AGGREGATE(15,3,($B$3:$B$3000=$AM$2)/($B$3:$B$3000=$AM$2)*(ROW($B$3:$B$3000)-ROW($B$2)),ROWS($AN$2:$AN721))),"")</f>
        <v/>
      </c>
      <c r="AP722" s="121"/>
      <c r="AT722" s="111"/>
      <c r="AW722" s="134"/>
      <c r="AX722" s="136"/>
      <c r="AY722" s="134"/>
    </row>
    <row r="723" spans="1:51" s="110" customFormat="1" ht="20" customHeight="1">
      <c r="A723" s="125" t="s">
        <v>185</v>
      </c>
      <c r="B723" s="126" t="s">
        <v>59</v>
      </c>
      <c r="C723" s="127">
        <v>14670</v>
      </c>
      <c r="D723" s="145">
        <v>108567</v>
      </c>
      <c r="E723" s="146" t="s">
        <v>2107</v>
      </c>
      <c r="F723" s="146" t="s">
        <v>2108</v>
      </c>
      <c r="G723" s="147">
        <v>700</v>
      </c>
      <c r="H723" s="147">
        <v>4</v>
      </c>
      <c r="I723" s="146" t="s">
        <v>209</v>
      </c>
      <c r="J723" s="146" t="s">
        <v>2109</v>
      </c>
      <c r="K723" s="146" t="s">
        <v>2110</v>
      </c>
      <c r="L723" s="147">
        <v>1</v>
      </c>
      <c r="M723" s="147">
        <v>1</v>
      </c>
      <c r="N723" s="146" t="s">
        <v>1544</v>
      </c>
      <c r="O723" s="147">
        <v>70</v>
      </c>
      <c r="P723" s="147">
        <v>5</v>
      </c>
      <c r="Q723" s="147">
        <v>19</v>
      </c>
      <c r="R723" s="146" t="s">
        <v>654</v>
      </c>
      <c r="S723" s="146" t="s">
        <v>655</v>
      </c>
      <c r="T723" s="147">
        <v>244</v>
      </c>
      <c r="U723" s="146" t="s">
        <v>656</v>
      </c>
      <c r="V723" s="146" t="s">
        <v>657</v>
      </c>
      <c r="W723" s="147">
        <v>1</v>
      </c>
      <c r="X723" s="147">
        <v>2</v>
      </c>
      <c r="Y723" s="146" t="s">
        <v>194</v>
      </c>
      <c r="Z723" s="146" t="s">
        <v>195</v>
      </c>
      <c r="AA723" s="146" t="s">
        <v>196</v>
      </c>
      <c r="AB723" s="146" t="s">
        <v>187</v>
      </c>
      <c r="AC723" s="146" t="s">
        <v>187</v>
      </c>
      <c r="AD723" s="148"/>
      <c r="AE723" s="146" t="s">
        <v>209</v>
      </c>
      <c r="AF723" s="147">
        <v>-1.85799</v>
      </c>
      <c r="AG723" s="149">
        <v>138.34215</v>
      </c>
      <c r="AM723" s="133" t="str" cm="1">
        <f t="array" ref="AM723">IF(ROWS($AN$2:$AN722)&lt;=$AN$2,INDEX($V$3:$V$3000,_xlfn.AGGREGATE(15,3,($B$3:$B$3000=$AM$2)/($B$3:$B$3000=$AM$2)*(ROW($B$3:$B$3000)-ROW($B$2)),ROWS($AN$2:$AN722))),"")</f>
        <v/>
      </c>
      <c r="AN723" s="134" t="str" cm="1">
        <f t="array" ref="AN723">IF(ROWS($AN$2:$AN722)&lt;=$AN$2,INDEX($F$3:$F$3000,_xlfn.AGGREGATE(15,3,($B$3:$B$3000=$AM$2)/($B$3:$B$3000=$AM$2)*(ROW($B$3:$B$3000)-ROW($B$2)),ROWS($AN$2:$AN722))),"")</f>
        <v/>
      </c>
      <c r="AO723" s="135" t="str" cm="1">
        <f t="array" ref="AO723">IF(ROWS($AN$2:$AN722)&lt;=$AN$2,INDEX($G$3:$G$3000,_xlfn.AGGREGATE(15,3,($B$3:$B$3000=$AM$2)/($B$3:$B$3000=$AM$2)*(ROW($B$3:$B$3000)-ROW($B$2)),ROWS($AN$2:$AN722))),"")</f>
        <v/>
      </c>
      <c r="AP723" s="121"/>
      <c r="AT723" s="111"/>
      <c r="AW723" s="134"/>
      <c r="AX723" s="136"/>
      <c r="AY723" s="134"/>
    </row>
    <row r="724" spans="1:51" s="110" customFormat="1" ht="20" customHeight="1">
      <c r="A724" s="125" t="s">
        <v>185</v>
      </c>
      <c r="B724" s="126" t="s">
        <v>59</v>
      </c>
      <c r="C724" s="127">
        <v>15276</v>
      </c>
      <c r="D724" s="145">
        <v>109865</v>
      </c>
      <c r="E724" s="146" t="s">
        <v>2111</v>
      </c>
      <c r="F724" s="146" t="s">
        <v>2111</v>
      </c>
      <c r="G724" s="147">
        <v>700</v>
      </c>
      <c r="H724" s="147">
        <v>4</v>
      </c>
      <c r="I724" s="146" t="s">
        <v>209</v>
      </c>
      <c r="J724" s="146" t="s">
        <v>2112</v>
      </c>
      <c r="K724" s="146" t="s">
        <v>2111</v>
      </c>
      <c r="L724" s="147">
        <v>1</v>
      </c>
      <c r="M724" s="147">
        <v>1</v>
      </c>
      <c r="N724" s="146" t="s">
        <v>1544</v>
      </c>
      <c r="O724" s="147">
        <v>64</v>
      </c>
      <c r="P724" s="147">
        <v>5</v>
      </c>
      <c r="Q724" s="147">
        <v>19</v>
      </c>
      <c r="R724" s="146" t="s">
        <v>654</v>
      </c>
      <c r="S724" s="146" t="s">
        <v>655</v>
      </c>
      <c r="T724" s="147">
        <v>244</v>
      </c>
      <c r="U724" s="146" t="s">
        <v>656</v>
      </c>
      <c r="V724" s="146" t="s">
        <v>657</v>
      </c>
      <c r="W724" s="147">
        <v>1</v>
      </c>
      <c r="X724" s="147">
        <v>2</v>
      </c>
      <c r="Y724" s="146" t="s">
        <v>194</v>
      </c>
      <c r="Z724" s="146" t="s">
        <v>195</v>
      </c>
      <c r="AA724" s="146" t="s">
        <v>196</v>
      </c>
      <c r="AB724" s="146" t="s">
        <v>187</v>
      </c>
      <c r="AC724" s="146" t="s">
        <v>187</v>
      </c>
      <c r="AD724" s="148"/>
      <c r="AE724" s="146" t="s">
        <v>209</v>
      </c>
      <c r="AF724" s="147">
        <v>-3.3617499999999998</v>
      </c>
      <c r="AG724" s="149">
        <v>135.58353</v>
      </c>
      <c r="AM724" s="133" t="str" cm="1">
        <f t="array" ref="AM724">IF(ROWS($AN$2:$AN723)&lt;=$AN$2,INDEX($V$3:$V$3000,_xlfn.AGGREGATE(15,3,($B$3:$B$3000=$AM$2)/($B$3:$B$3000=$AM$2)*(ROW($B$3:$B$3000)-ROW($B$2)),ROWS($AN$2:$AN723))),"")</f>
        <v/>
      </c>
      <c r="AN724" s="134" t="str" cm="1">
        <f t="array" ref="AN724">IF(ROWS($AN$2:$AN723)&lt;=$AN$2,INDEX($F$3:$F$3000,_xlfn.AGGREGATE(15,3,($B$3:$B$3000=$AM$2)/($B$3:$B$3000=$AM$2)*(ROW($B$3:$B$3000)-ROW($B$2)),ROWS($AN$2:$AN723))),"")</f>
        <v/>
      </c>
      <c r="AO724" s="135" t="str" cm="1">
        <f t="array" ref="AO724">IF(ROWS($AN$2:$AN723)&lt;=$AN$2,INDEX($G$3:$G$3000,_xlfn.AGGREGATE(15,3,($B$3:$B$3000=$AM$2)/($B$3:$B$3000=$AM$2)*(ROW($B$3:$B$3000)-ROW($B$2)),ROWS($AN$2:$AN723))),"")</f>
        <v/>
      </c>
      <c r="AP724" s="121"/>
      <c r="AT724" s="111"/>
      <c r="AW724" s="134"/>
      <c r="AX724" s="136"/>
      <c r="AY724" s="134"/>
    </row>
    <row r="725" spans="1:51" s="110" customFormat="1" ht="20" customHeight="1">
      <c r="A725" s="125" t="s">
        <v>185</v>
      </c>
      <c r="B725" s="126" t="s">
        <v>59</v>
      </c>
      <c r="C725" s="127">
        <v>15944</v>
      </c>
      <c r="D725" s="145">
        <v>110921</v>
      </c>
      <c r="E725" s="146" t="s">
        <v>2113</v>
      </c>
      <c r="F725" s="146" t="s">
        <v>2114</v>
      </c>
      <c r="G725" s="147">
        <v>700</v>
      </c>
      <c r="H725" s="147">
        <v>4</v>
      </c>
      <c r="I725" s="146" t="s">
        <v>209</v>
      </c>
      <c r="J725" s="146" t="s">
        <v>2115</v>
      </c>
      <c r="K725" s="146" t="s">
        <v>2113</v>
      </c>
      <c r="L725" s="147">
        <v>1</v>
      </c>
      <c r="M725" s="147">
        <v>1</v>
      </c>
      <c r="N725" s="146" t="s">
        <v>1544</v>
      </c>
      <c r="O725" s="147">
        <v>70</v>
      </c>
      <c r="P725" s="147">
        <v>5</v>
      </c>
      <c r="Q725" s="147">
        <v>19</v>
      </c>
      <c r="R725" s="146" t="s">
        <v>654</v>
      </c>
      <c r="S725" s="146" t="s">
        <v>655</v>
      </c>
      <c r="T725" s="147">
        <v>244</v>
      </c>
      <c r="U725" s="146" t="s">
        <v>656</v>
      </c>
      <c r="V725" s="146" t="s">
        <v>657</v>
      </c>
      <c r="W725" s="147">
        <v>1</v>
      </c>
      <c r="X725" s="147">
        <v>2</v>
      </c>
      <c r="Y725" s="146" t="s">
        <v>194</v>
      </c>
      <c r="Z725" s="146" t="s">
        <v>195</v>
      </c>
      <c r="AA725" s="146" t="s">
        <v>196</v>
      </c>
      <c r="AB725" s="146" t="s">
        <v>187</v>
      </c>
      <c r="AC725" s="146" t="s">
        <v>187</v>
      </c>
      <c r="AD725" s="148"/>
      <c r="AE725" s="146" t="s">
        <v>209</v>
      </c>
      <c r="AF725" s="147">
        <v>-1.9443299999999999</v>
      </c>
      <c r="AG725" s="149">
        <v>132.10154</v>
      </c>
      <c r="AM725" s="133" t="str" cm="1">
        <f t="array" ref="AM725">IF(ROWS($AN$2:$AN724)&lt;=$AN$2,INDEX($V$3:$V$3000,_xlfn.AGGREGATE(15,3,($B$3:$B$3000=$AM$2)/($B$3:$B$3000=$AM$2)*(ROW($B$3:$B$3000)-ROW($B$2)),ROWS($AN$2:$AN724))),"")</f>
        <v/>
      </c>
      <c r="AN725" s="134" t="str" cm="1">
        <f t="array" ref="AN725">IF(ROWS($AN$2:$AN724)&lt;=$AN$2,INDEX($F$3:$F$3000,_xlfn.AGGREGATE(15,3,($B$3:$B$3000=$AM$2)/($B$3:$B$3000=$AM$2)*(ROW($B$3:$B$3000)-ROW($B$2)),ROWS($AN$2:$AN724))),"")</f>
        <v/>
      </c>
      <c r="AO725" s="135" t="str" cm="1">
        <f t="array" ref="AO725">IF(ROWS($AN$2:$AN724)&lt;=$AN$2,INDEX($G$3:$G$3000,_xlfn.AGGREGATE(15,3,($B$3:$B$3000=$AM$2)/($B$3:$B$3000=$AM$2)*(ROW($B$3:$B$3000)-ROW($B$2)),ROWS($AN$2:$AN724))),"")</f>
        <v/>
      </c>
      <c r="AP725" s="121"/>
      <c r="AT725" s="111"/>
      <c r="AW725" s="134"/>
      <c r="AX725" s="136"/>
      <c r="AY725" s="134"/>
    </row>
    <row r="726" spans="1:51" s="110" customFormat="1" ht="20" customHeight="1">
      <c r="A726" s="125" t="s">
        <v>185</v>
      </c>
      <c r="B726" s="126" t="s">
        <v>59</v>
      </c>
      <c r="C726" s="127">
        <v>15976</v>
      </c>
      <c r="D726" s="145">
        <v>110962</v>
      </c>
      <c r="E726" s="146" t="s">
        <v>2116</v>
      </c>
      <c r="F726" s="146" t="s">
        <v>2116</v>
      </c>
      <c r="G726" s="147">
        <v>700</v>
      </c>
      <c r="H726" s="147">
        <v>4</v>
      </c>
      <c r="I726" s="146" t="s">
        <v>209</v>
      </c>
      <c r="J726" s="146" t="s">
        <v>2117</v>
      </c>
      <c r="K726" s="146" t="s">
        <v>2118</v>
      </c>
      <c r="L726" s="147">
        <v>3</v>
      </c>
      <c r="M726" s="147">
        <v>1</v>
      </c>
      <c r="N726" s="146" t="s">
        <v>1544</v>
      </c>
      <c r="O726" s="147">
        <v>70</v>
      </c>
      <c r="P726" s="147">
        <v>7</v>
      </c>
      <c r="Q726" s="147">
        <v>19</v>
      </c>
      <c r="R726" s="146" t="s">
        <v>654</v>
      </c>
      <c r="S726" s="146" t="s">
        <v>655</v>
      </c>
      <c r="T726" s="147">
        <v>244</v>
      </c>
      <c r="U726" s="146" t="s">
        <v>656</v>
      </c>
      <c r="V726" s="146" t="s">
        <v>657</v>
      </c>
      <c r="W726" s="147">
        <v>1</v>
      </c>
      <c r="X726" s="147">
        <v>2</v>
      </c>
      <c r="Y726" s="146" t="s">
        <v>194</v>
      </c>
      <c r="Z726" s="146" t="s">
        <v>195</v>
      </c>
      <c r="AA726" s="146" t="s">
        <v>196</v>
      </c>
      <c r="AB726" s="146" t="s">
        <v>187</v>
      </c>
      <c r="AC726" s="146" t="s">
        <v>187</v>
      </c>
      <c r="AD726" s="148"/>
      <c r="AE726" s="146" t="s">
        <v>209</v>
      </c>
      <c r="AF726" s="147">
        <v>-2.1512699999999998</v>
      </c>
      <c r="AG726" s="149">
        <v>139.20104000000001</v>
      </c>
      <c r="AM726" s="133" t="str" cm="1">
        <f t="array" ref="AM726">IF(ROWS($AN$2:$AN725)&lt;=$AN$2,INDEX($V$3:$V$3000,_xlfn.AGGREGATE(15,3,($B$3:$B$3000=$AM$2)/($B$3:$B$3000=$AM$2)*(ROW($B$3:$B$3000)-ROW($B$2)),ROWS($AN$2:$AN725))),"")</f>
        <v/>
      </c>
      <c r="AN726" s="134" t="str" cm="1">
        <f t="array" ref="AN726">IF(ROWS($AN$2:$AN725)&lt;=$AN$2,INDEX($F$3:$F$3000,_xlfn.AGGREGATE(15,3,($B$3:$B$3000=$AM$2)/($B$3:$B$3000=$AM$2)*(ROW($B$3:$B$3000)-ROW($B$2)),ROWS($AN$2:$AN725))),"")</f>
        <v/>
      </c>
      <c r="AO726" s="135" t="str" cm="1">
        <f t="array" ref="AO726">IF(ROWS($AN$2:$AN725)&lt;=$AN$2,INDEX($G$3:$G$3000,_xlfn.AGGREGATE(15,3,($B$3:$B$3000=$AM$2)/($B$3:$B$3000=$AM$2)*(ROW($B$3:$B$3000)-ROW($B$2)),ROWS($AN$2:$AN725))),"")</f>
        <v/>
      </c>
      <c r="AP726" s="121"/>
      <c r="AT726" s="111"/>
      <c r="AW726" s="134"/>
      <c r="AX726" s="136"/>
      <c r="AY726" s="134"/>
    </row>
    <row r="727" spans="1:51" s="110" customFormat="1" ht="20" customHeight="1">
      <c r="A727" s="125" t="s">
        <v>185</v>
      </c>
      <c r="B727" s="126" t="s">
        <v>59</v>
      </c>
      <c r="C727" s="127">
        <v>12579</v>
      </c>
      <c r="D727" s="145">
        <v>104756</v>
      </c>
      <c r="E727" s="146" t="s">
        <v>2020</v>
      </c>
      <c r="F727" s="146" t="s">
        <v>2020</v>
      </c>
      <c r="G727" s="147">
        <v>600</v>
      </c>
      <c r="H727" s="147">
        <v>4</v>
      </c>
      <c r="I727" s="146" t="s">
        <v>209</v>
      </c>
      <c r="J727" s="146" t="s">
        <v>2021</v>
      </c>
      <c r="K727" s="146" t="s">
        <v>2020</v>
      </c>
      <c r="L727" s="147">
        <v>3</v>
      </c>
      <c r="M727" s="147">
        <v>1</v>
      </c>
      <c r="N727" s="146" t="s">
        <v>1544</v>
      </c>
      <c r="O727" s="147">
        <v>65</v>
      </c>
      <c r="P727" s="147">
        <v>6</v>
      </c>
      <c r="Q727" s="147">
        <v>19</v>
      </c>
      <c r="R727" s="146" t="s">
        <v>654</v>
      </c>
      <c r="S727" s="146" t="s">
        <v>655</v>
      </c>
      <c r="T727" s="147">
        <v>244</v>
      </c>
      <c r="U727" s="146" t="s">
        <v>656</v>
      </c>
      <c r="V727" s="146" t="s">
        <v>657</v>
      </c>
      <c r="W727" s="147">
        <v>1</v>
      </c>
      <c r="X727" s="147">
        <v>2</v>
      </c>
      <c r="Y727" s="146" t="s">
        <v>194</v>
      </c>
      <c r="Z727" s="146" t="s">
        <v>195</v>
      </c>
      <c r="AA727" s="146" t="s">
        <v>196</v>
      </c>
      <c r="AB727" s="146" t="s">
        <v>187</v>
      </c>
      <c r="AC727" s="146" t="s">
        <v>187</v>
      </c>
      <c r="AD727" s="148"/>
      <c r="AE727" s="146" t="s">
        <v>209</v>
      </c>
      <c r="AF727" s="147">
        <v>-3.3892199999999999</v>
      </c>
      <c r="AG727" s="149">
        <v>140.09984</v>
      </c>
      <c r="AM727" s="133" t="str" cm="1">
        <f t="array" ref="AM727">IF(ROWS($AN$2:$AN726)&lt;=$AN$2,INDEX($V$3:$V$3000,_xlfn.AGGREGATE(15,3,($B$3:$B$3000=$AM$2)/($B$3:$B$3000=$AM$2)*(ROW($B$3:$B$3000)-ROW($B$2)),ROWS($AN$2:$AN726))),"")</f>
        <v/>
      </c>
      <c r="AN727" s="134" t="str" cm="1">
        <f t="array" ref="AN727">IF(ROWS($AN$2:$AN726)&lt;=$AN$2,INDEX($F$3:$F$3000,_xlfn.AGGREGATE(15,3,($B$3:$B$3000=$AM$2)/($B$3:$B$3000=$AM$2)*(ROW($B$3:$B$3000)-ROW($B$2)),ROWS($AN$2:$AN726))),"")</f>
        <v/>
      </c>
      <c r="AO727" s="135" t="str" cm="1">
        <f t="array" ref="AO727">IF(ROWS($AN$2:$AN726)&lt;=$AN$2,INDEX($G$3:$G$3000,_xlfn.AGGREGATE(15,3,($B$3:$B$3000=$AM$2)/($B$3:$B$3000=$AM$2)*(ROW($B$3:$B$3000)-ROW($B$2)),ROWS($AN$2:$AN726))),"")</f>
        <v/>
      </c>
      <c r="AP727" s="121"/>
      <c r="AT727" s="111"/>
      <c r="AW727" s="134"/>
      <c r="AX727" s="136"/>
      <c r="AY727" s="134"/>
    </row>
    <row r="728" spans="1:51" s="110" customFormat="1" ht="20" customHeight="1">
      <c r="A728" s="125" t="s">
        <v>185</v>
      </c>
      <c r="B728" s="126" t="s">
        <v>59</v>
      </c>
      <c r="C728" s="127">
        <v>15111</v>
      </c>
      <c r="D728" s="145">
        <v>109588</v>
      </c>
      <c r="E728" s="146" t="s">
        <v>2033</v>
      </c>
      <c r="F728" s="146" t="s">
        <v>2034</v>
      </c>
      <c r="G728" s="147">
        <v>600</v>
      </c>
      <c r="H728" s="147">
        <v>4</v>
      </c>
      <c r="I728" s="146" t="s">
        <v>209</v>
      </c>
      <c r="J728" s="146" t="s">
        <v>2035</v>
      </c>
      <c r="K728" s="146" t="s">
        <v>2036</v>
      </c>
      <c r="L728" s="147">
        <v>2</v>
      </c>
      <c r="M728" s="147">
        <v>1</v>
      </c>
      <c r="N728" s="146" t="s">
        <v>1544</v>
      </c>
      <c r="O728" s="147">
        <v>65</v>
      </c>
      <c r="P728" s="147">
        <v>3</v>
      </c>
      <c r="Q728" s="147">
        <v>19</v>
      </c>
      <c r="R728" s="146" t="s">
        <v>654</v>
      </c>
      <c r="S728" s="146" t="s">
        <v>655</v>
      </c>
      <c r="T728" s="147">
        <v>244</v>
      </c>
      <c r="U728" s="146" t="s">
        <v>656</v>
      </c>
      <c r="V728" s="146" t="s">
        <v>657</v>
      </c>
      <c r="W728" s="147">
        <v>1</v>
      </c>
      <c r="X728" s="147">
        <v>2</v>
      </c>
      <c r="Y728" s="146" t="s">
        <v>194</v>
      </c>
      <c r="Z728" s="146" t="s">
        <v>195</v>
      </c>
      <c r="AA728" s="146" t="s">
        <v>196</v>
      </c>
      <c r="AB728" s="146" t="s">
        <v>187</v>
      </c>
      <c r="AC728" s="146" t="s">
        <v>187</v>
      </c>
      <c r="AD728" s="148"/>
      <c r="AE728" s="146" t="s">
        <v>209</v>
      </c>
      <c r="AF728" s="147">
        <v>-4.3752599999999999</v>
      </c>
      <c r="AG728" s="149">
        <v>140.90298999999999</v>
      </c>
      <c r="AM728" s="133" t="str" cm="1">
        <f t="array" ref="AM728">IF(ROWS($AN$2:$AN727)&lt;=$AN$2,INDEX($V$3:$V$3000,_xlfn.AGGREGATE(15,3,($B$3:$B$3000=$AM$2)/($B$3:$B$3000=$AM$2)*(ROW($B$3:$B$3000)-ROW($B$2)),ROWS($AN$2:$AN727))),"")</f>
        <v/>
      </c>
      <c r="AN728" s="134" t="str" cm="1">
        <f t="array" ref="AN728">IF(ROWS($AN$2:$AN727)&lt;=$AN$2,INDEX($F$3:$F$3000,_xlfn.AGGREGATE(15,3,($B$3:$B$3000=$AM$2)/($B$3:$B$3000=$AM$2)*(ROW($B$3:$B$3000)-ROW($B$2)),ROWS($AN$2:$AN727))),"")</f>
        <v/>
      </c>
      <c r="AO728" s="135" t="str" cm="1">
        <f t="array" ref="AO728">IF(ROWS($AN$2:$AN727)&lt;=$AN$2,INDEX($G$3:$G$3000,_xlfn.AGGREGATE(15,3,($B$3:$B$3000=$AM$2)/($B$3:$B$3000=$AM$2)*(ROW($B$3:$B$3000)-ROW($B$2)),ROWS($AN$2:$AN727))),"")</f>
        <v/>
      </c>
      <c r="AP728" s="121"/>
      <c r="AT728" s="111"/>
      <c r="AW728" s="134"/>
      <c r="AX728" s="136"/>
      <c r="AY728" s="134"/>
    </row>
    <row r="729" spans="1:51" s="110" customFormat="1" ht="20" customHeight="1">
      <c r="A729" s="125" t="s">
        <v>185</v>
      </c>
      <c r="B729" s="126" t="s">
        <v>59</v>
      </c>
      <c r="C729" s="127">
        <v>15831</v>
      </c>
      <c r="D729" s="145">
        <v>110635</v>
      </c>
      <c r="E729" s="146" t="s">
        <v>2037</v>
      </c>
      <c r="F729" s="146" t="s">
        <v>2037</v>
      </c>
      <c r="G729" s="147">
        <v>600</v>
      </c>
      <c r="H729" s="147">
        <v>4</v>
      </c>
      <c r="I729" s="146" t="s">
        <v>209</v>
      </c>
      <c r="J729" s="146" t="s">
        <v>2038</v>
      </c>
      <c r="K729" s="146" t="s">
        <v>2039</v>
      </c>
      <c r="L729" s="147">
        <v>0</v>
      </c>
      <c r="M729" s="147">
        <v>1</v>
      </c>
      <c r="N729" s="146" t="s">
        <v>1544</v>
      </c>
      <c r="O729" s="147">
        <v>70</v>
      </c>
      <c r="P729" s="147">
        <v>6</v>
      </c>
      <c r="Q729" s="147">
        <v>19</v>
      </c>
      <c r="R729" s="146" t="s">
        <v>654</v>
      </c>
      <c r="S729" s="146" t="s">
        <v>655</v>
      </c>
      <c r="T729" s="147">
        <v>244</v>
      </c>
      <c r="U729" s="146" t="s">
        <v>656</v>
      </c>
      <c r="V729" s="146" t="s">
        <v>657</v>
      </c>
      <c r="W729" s="147">
        <v>1</v>
      </c>
      <c r="X729" s="147">
        <v>2</v>
      </c>
      <c r="Y729" s="146" t="s">
        <v>194</v>
      </c>
      <c r="Z729" s="146" t="s">
        <v>195</v>
      </c>
      <c r="AA729" s="146" t="s">
        <v>196</v>
      </c>
      <c r="AB729" s="146" t="s">
        <v>187</v>
      </c>
      <c r="AC729" s="146" t="s">
        <v>187</v>
      </c>
      <c r="AD729" s="148"/>
      <c r="AE729" s="146" t="s">
        <v>209</v>
      </c>
      <c r="AF729" s="147">
        <v>-2.03016</v>
      </c>
      <c r="AG729" s="149">
        <v>138.98335</v>
      </c>
      <c r="AM729" s="133" t="str" cm="1">
        <f t="array" ref="AM729">IF(ROWS($AN$2:$AN728)&lt;=$AN$2,INDEX($V$3:$V$3000,_xlfn.AGGREGATE(15,3,($B$3:$B$3000=$AM$2)/($B$3:$B$3000=$AM$2)*(ROW($B$3:$B$3000)-ROW($B$2)),ROWS($AN$2:$AN728))),"")</f>
        <v/>
      </c>
      <c r="AN729" s="134" t="str" cm="1">
        <f t="array" ref="AN729">IF(ROWS($AN$2:$AN728)&lt;=$AN$2,INDEX($F$3:$F$3000,_xlfn.AGGREGATE(15,3,($B$3:$B$3000=$AM$2)/($B$3:$B$3000=$AM$2)*(ROW($B$3:$B$3000)-ROW($B$2)),ROWS($AN$2:$AN728))),"")</f>
        <v/>
      </c>
      <c r="AO729" s="135" t="str" cm="1">
        <f t="array" ref="AO729">IF(ROWS($AN$2:$AN728)&lt;=$AN$2,INDEX($G$3:$G$3000,_xlfn.AGGREGATE(15,3,($B$3:$B$3000=$AM$2)/($B$3:$B$3000=$AM$2)*(ROW($B$3:$B$3000)-ROW($B$2)),ROWS($AN$2:$AN728))),"")</f>
        <v/>
      </c>
      <c r="AP729" s="121"/>
      <c r="AT729" s="111"/>
      <c r="AW729" s="134"/>
      <c r="AX729" s="136"/>
      <c r="AY729" s="134"/>
    </row>
    <row r="730" spans="1:51" s="110" customFormat="1" ht="20" customHeight="1">
      <c r="A730" s="125" t="s">
        <v>185</v>
      </c>
      <c r="B730" s="126" t="s">
        <v>59</v>
      </c>
      <c r="C730" s="127">
        <v>10493</v>
      </c>
      <c r="D730" s="145">
        <v>100630</v>
      </c>
      <c r="E730" s="146" t="s">
        <v>1920</v>
      </c>
      <c r="F730" s="146" t="s">
        <v>1920</v>
      </c>
      <c r="G730" s="147">
        <v>500</v>
      </c>
      <c r="H730" s="147">
        <v>4</v>
      </c>
      <c r="I730" s="146" t="s">
        <v>209</v>
      </c>
      <c r="J730" s="146" t="s">
        <v>1921</v>
      </c>
      <c r="K730" s="146" t="s">
        <v>1920</v>
      </c>
      <c r="L730" s="147">
        <v>3</v>
      </c>
      <c r="M730" s="147">
        <v>1</v>
      </c>
      <c r="N730" s="146" t="s">
        <v>1544</v>
      </c>
      <c r="O730" s="147">
        <v>60</v>
      </c>
      <c r="P730" s="147">
        <v>5</v>
      </c>
      <c r="Q730" s="147">
        <v>19</v>
      </c>
      <c r="R730" s="146" t="s">
        <v>654</v>
      </c>
      <c r="S730" s="146" t="s">
        <v>655</v>
      </c>
      <c r="T730" s="147">
        <v>244</v>
      </c>
      <c r="U730" s="146" t="s">
        <v>656</v>
      </c>
      <c r="V730" s="146" t="s">
        <v>657</v>
      </c>
      <c r="W730" s="147">
        <v>1</v>
      </c>
      <c r="X730" s="147">
        <v>2</v>
      </c>
      <c r="Y730" s="146" t="s">
        <v>194</v>
      </c>
      <c r="Z730" s="146" t="s">
        <v>195</v>
      </c>
      <c r="AA730" s="146" t="s">
        <v>196</v>
      </c>
      <c r="AB730" s="146" t="s">
        <v>187</v>
      </c>
      <c r="AC730" s="146" t="s">
        <v>187</v>
      </c>
      <c r="AD730" s="148"/>
      <c r="AE730" s="146" t="s">
        <v>209</v>
      </c>
      <c r="AF730" s="147">
        <v>-3.4333900000000002</v>
      </c>
      <c r="AG730" s="149">
        <v>136.08527000000001</v>
      </c>
      <c r="AM730" s="133" t="str" cm="1">
        <f t="array" ref="AM730">IF(ROWS($AN$2:$AN729)&lt;=$AN$2,INDEX($V$3:$V$3000,_xlfn.AGGREGATE(15,3,($B$3:$B$3000=$AM$2)/($B$3:$B$3000=$AM$2)*(ROW($B$3:$B$3000)-ROW($B$2)),ROWS($AN$2:$AN729))),"")</f>
        <v/>
      </c>
      <c r="AN730" s="134" t="str" cm="1">
        <f t="array" ref="AN730">IF(ROWS($AN$2:$AN729)&lt;=$AN$2,INDEX($F$3:$F$3000,_xlfn.AGGREGATE(15,3,($B$3:$B$3000=$AM$2)/($B$3:$B$3000=$AM$2)*(ROW($B$3:$B$3000)-ROW($B$2)),ROWS($AN$2:$AN729))),"")</f>
        <v/>
      </c>
      <c r="AO730" s="135" t="str" cm="1">
        <f t="array" ref="AO730">IF(ROWS($AN$2:$AN729)&lt;=$AN$2,INDEX($G$3:$G$3000,_xlfn.AGGREGATE(15,3,($B$3:$B$3000=$AM$2)/($B$3:$B$3000=$AM$2)*(ROW($B$3:$B$3000)-ROW($B$2)),ROWS($AN$2:$AN729))),"")</f>
        <v/>
      </c>
      <c r="AP730" s="121"/>
      <c r="AT730" s="111"/>
      <c r="AW730" s="134"/>
      <c r="AX730" s="136"/>
      <c r="AY730" s="134"/>
    </row>
    <row r="731" spans="1:51" s="110" customFormat="1" ht="20" customHeight="1">
      <c r="A731" s="125" t="s">
        <v>185</v>
      </c>
      <c r="B731" s="126" t="s">
        <v>59</v>
      </c>
      <c r="C731" s="127">
        <v>19291</v>
      </c>
      <c r="D731" s="145">
        <v>115132</v>
      </c>
      <c r="E731" s="146" t="s">
        <v>1922</v>
      </c>
      <c r="F731" s="146" t="s">
        <v>1922</v>
      </c>
      <c r="G731" s="147">
        <v>500</v>
      </c>
      <c r="H731" s="147">
        <v>4</v>
      </c>
      <c r="I731" s="146" t="s">
        <v>209</v>
      </c>
      <c r="J731" s="146" t="s">
        <v>1923</v>
      </c>
      <c r="K731" s="146" t="s">
        <v>1922</v>
      </c>
      <c r="L731" s="147">
        <v>1</v>
      </c>
      <c r="M731" s="147">
        <v>1</v>
      </c>
      <c r="N731" s="146" t="s">
        <v>1544</v>
      </c>
      <c r="O731" s="147">
        <v>70</v>
      </c>
      <c r="P731" s="147">
        <v>10</v>
      </c>
      <c r="Q731" s="147">
        <v>19</v>
      </c>
      <c r="R731" s="146" t="s">
        <v>654</v>
      </c>
      <c r="S731" s="146" t="s">
        <v>655</v>
      </c>
      <c r="T731" s="147">
        <v>244</v>
      </c>
      <c r="U731" s="146" t="s">
        <v>656</v>
      </c>
      <c r="V731" s="146" t="s">
        <v>657</v>
      </c>
      <c r="W731" s="147">
        <v>1</v>
      </c>
      <c r="X731" s="147">
        <v>2</v>
      </c>
      <c r="Y731" s="146" t="s">
        <v>194</v>
      </c>
      <c r="Z731" s="146" t="s">
        <v>195</v>
      </c>
      <c r="AA731" s="146" t="s">
        <v>196</v>
      </c>
      <c r="AB731" s="146" t="s">
        <v>187</v>
      </c>
      <c r="AC731" s="146" t="s">
        <v>187</v>
      </c>
      <c r="AD731" s="148"/>
      <c r="AE731" s="146" t="s">
        <v>209</v>
      </c>
      <c r="AF731" s="147">
        <v>-5.0499000000000001</v>
      </c>
      <c r="AG731" s="149">
        <v>139.67062000000001</v>
      </c>
      <c r="AM731" s="133" t="str" cm="1">
        <f t="array" ref="AM731">IF(ROWS($AN$2:$AN730)&lt;=$AN$2,INDEX($V$3:$V$3000,_xlfn.AGGREGATE(15,3,($B$3:$B$3000=$AM$2)/($B$3:$B$3000=$AM$2)*(ROW($B$3:$B$3000)-ROW($B$2)),ROWS($AN$2:$AN730))),"")</f>
        <v/>
      </c>
      <c r="AN731" s="134" t="str" cm="1">
        <f t="array" ref="AN731">IF(ROWS($AN$2:$AN730)&lt;=$AN$2,INDEX($F$3:$F$3000,_xlfn.AGGREGATE(15,3,($B$3:$B$3000=$AM$2)/($B$3:$B$3000=$AM$2)*(ROW($B$3:$B$3000)-ROW($B$2)),ROWS($AN$2:$AN730))),"")</f>
        <v/>
      </c>
      <c r="AO731" s="135" t="str" cm="1">
        <f t="array" ref="AO731">IF(ROWS($AN$2:$AN730)&lt;=$AN$2,INDEX($G$3:$G$3000,_xlfn.AGGREGATE(15,3,($B$3:$B$3000=$AM$2)/($B$3:$B$3000=$AM$2)*(ROW($B$3:$B$3000)-ROW($B$2)),ROWS($AN$2:$AN730))),"")</f>
        <v/>
      </c>
      <c r="AP731" s="121"/>
      <c r="AT731" s="111"/>
      <c r="AW731" s="134"/>
      <c r="AX731" s="136"/>
      <c r="AY731" s="134"/>
    </row>
    <row r="732" spans="1:51" s="110" customFormat="1" ht="20" customHeight="1">
      <c r="A732" s="125" t="s">
        <v>185</v>
      </c>
      <c r="B732" s="126" t="s">
        <v>59</v>
      </c>
      <c r="C732" s="127">
        <v>10513</v>
      </c>
      <c r="D732" s="145">
        <v>100655</v>
      </c>
      <c r="E732" s="146" t="s">
        <v>1924</v>
      </c>
      <c r="F732" s="146" t="s">
        <v>1924</v>
      </c>
      <c r="G732" s="147">
        <v>500</v>
      </c>
      <c r="H732" s="147">
        <v>4</v>
      </c>
      <c r="I732" s="146" t="s">
        <v>209</v>
      </c>
      <c r="J732" s="146" t="s">
        <v>1925</v>
      </c>
      <c r="K732" s="146" t="s">
        <v>1924</v>
      </c>
      <c r="L732" s="147">
        <v>0</v>
      </c>
      <c r="M732" s="147">
        <v>1</v>
      </c>
      <c r="N732" s="146" t="s">
        <v>1544</v>
      </c>
      <c r="O732" s="147">
        <v>70</v>
      </c>
      <c r="P732" s="147">
        <v>4</v>
      </c>
      <c r="Q732" s="147">
        <v>19</v>
      </c>
      <c r="R732" s="146" t="s">
        <v>654</v>
      </c>
      <c r="S732" s="146" t="s">
        <v>655</v>
      </c>
      <c r="T732" s="147">
        <v>244</v>
      </c>
      <c r="U732" s="146" t="s">
        <v>656</v>
      </c>
      <c r="V732" s="146" t="s">
        <v>657</v>
      </c>
      <c r="W732" s="147">
        <v>1</v>
      </c>
      <c r="X732" s="147">
        <v>2</v>
      </c>
      <c r="Y732" s="146" t="s">
        <v>194</v>
      </c>
      <c r="Z732" s="146" t="s">
        <v>195</v>
      </c>
      <c r="AA732" s="146" t="s">
        <v>196</v>
      </c>
      <c r="AB732" s="146" t="s">
        <v>187</v>
      </c>
      <c r="AC732" s="146" t="s">
        <v>187</v>
      </c>
      <c r="AD732" s="148"/>
      <c r="AE732" s="146" t="s">
        <v>209</v>
      </c>
      <c r="AF732" s="147">
        <v>-3.0040200000000001</v>
      </c>
      <c r="AG732" s="149">
        <v>140.60424</v>
      </c>
      <c r="AM732" s="133" t="str" cm="1">
        <f t="array" ref="AM732">IF(ROWS($AN$2:$AN731)&lt;=$AN$2,INDEX($V$3:$V$3000,_xlfn.AGGREGATE(15,3,($B$3:$B$3000=$AM$2)/($B$3:$B$3000=$AM$2)*(ROW($B$3:$B$3000)-ROW($B$2)),ROWS($AN$2:$AN731))),"")</f>
        <v/>
      </c>
      <c r="AN732" s="134" t="str" cm="1">
        <f t="array" ref="AN732">IF(ROWS($AN$2:$AN731)&lt;=$AN$2,INDEX($F$3:$F$3000,_xlfn.AGGREGATE(15,3,($B$3:$B$3000=$AM$2)/($B$3:$B$3000=$AM$2)*(ROW($B$3:$B$3000)-ROW($B$2)),ROWS($AN$2:$AN731))),"")</f>
        <v/>
      </c>
      <c r="AO732" s="135" t="str" cm="1">
        <f t="array" ref="AO732">IF(ROWS($AN$2:$AN731)&lt;=$AN$2,INDEX($G$3:$G$3000,_xlfn.AGGREGATE(15,3,($B$3:$B$3000=$AM$2)/($B$3:$B$3000=$AM$2)*(ROW($B$3:$B$3000)-ROW($B$2)),ROWS($AN$2:$AN731))),"")</f>
        <v/>
      </c>
      <c r="AP732" s="121"/>
      <c r="AT732" s="111"/>
      <c r="AW732" s="134"/>
      <c r="AX732" s="136"/>
      <c r="AY732" s="134"/>
    </row>
    <row r="733" spans="1:51" s="110" customFormat="1" ht="20" customHeight="1">
      <c r="A733" s="125" t="s">
        <v>185</v>
      </c>
      <c r="B733" s="126" t="s">
        <v>59</v>
      </c>
      <c r="C733" s="127">
        <v>11461</v>
      </c>
      <c r="D733" s="145">
        <v>102352</v>
      </c>
      <c r="E733" s="146" t="s">
        <v>1928</v>
      </c>
      <c r="F733" s="146" t="s">
        <v>1928</v>
      </c>
      <c r="G733" s="147">
        <v>500</v>
      </c>
      <c r="H733" s="147">
        <v>4</v>
      </c>
      <c r="I733" s="146" t="s">
        <v>209</v>
      </c>
      <c r="J733" s="146" t="s">
        <v>1929</v>
      </c>
      <c r="K733" s="146" t="s">
        <v>1928</v>
      </c>
      <c r="L733" s="147">
        <v>0</v>
      </c>
      <c r="M733" s="147">
        <v>1</v>
      </c>
      <c r="N733" s="146" t="s">
        <v>1544</v>
      </c>
      <c r="O733" s="147">
        <v>68</v>
      </c>
      <c r="P733" s="147">
        <v>4</v>
      </c>
      <c r="Q733" s="147">
        <v>19</v>
      </c>
      <c r="R733" s="146" t="s">
        <v>654</v>
      </c>
      <c r="S733" s="146" t="s">
        <v>655</v>
      </c>
      <c r="T733" s="147">
        <v>244</v>
      </c>
      <c r="U733" s="146" t="s">
        <v>656</v>
      </c>
      <c r="V733" s="146" t="s">
        <v>657</v>
      </c>
      <c r="W733" s="147">
        <v>1</v>
      </c>
      <c r="X733" s="147">
        <v>2</v>
      </c>
      <c r="Y733" s="146" t="s">
        <v>194</v>
      </c>
      <c r="Z733" s="146" t="s">
        <v>195</v>
      </c>
      <c r="AA733" s="146" t="s">
        <v>196</v>
      </c>
      <c r="AB733" s="146" t="s">
        <v>187</v>
      </c>
      <c r="AC733" s="146" t="s">
        <v>187</v>
      </c>
      <c r="AD733" s="148"/>
      <c r="AE733" s="146" t="s">
        <v>209</v>
      </c>
      <c r="AF733" s="147">
        <v>-2.09111</v>
      </c>
      <c r="AG733" s="149">
        <v>139.04427999999999</v>
      </c>
      <c r="AM733" s="133" t="str" cm="1">
        <f t="array" ref="AM733">IF(ROWS($AN$2:$AN732)&lt;=$AN$2,INDEX($V$3:$V$3000,_xlfn.AGGREGATE(15,3,($B$3:$B$3000=$AM$2)/($B$3:$B$3000=$AM$2)*(ROW($B$3:$B$3000)-ROW($B$2)),ROWS($AN$2:$AN732))),"")</f>
        <v/>
      </c>
      <c r="AN733" s="134" t="str" cm="1">
        <f t="array" ref="AN733">IF(ROWS($AN$2:$AN732)&lt;=$AN$2,INDEX($F$3:$F$3000,_xlfn.AGGREGATE(15,3,($B$3:$B$3000=$AM$2)/($B$3:$B$3000=$AM$2)*(ROW($B$3:$B$3000)-ROW($B$2)),ROWS($AN$2:$AN732))),"")</f>
        <v/>
      </c>
      <c r="AO733" s="135" t="str" cm="1">
        <f t="array" ref="AO733">IF(ROWS($AN$2:$AN732)&lt;=$AN$2,INDEX($G$3:$G$3000,_xlfn.AGGREGATE(15,3,($B$3:$B$3000=$AM$2)/($B$3:$B$3000=$AM$2)*(ROW($B$3:$B$3000)-ROW($B$2)),ROWS($AN$2:$AN732))),"")</f>
        <v/>
      </c>
      <c r="AP733" s="121"/>
      <c r="AT733" s="111"/>
      <c r="AW733" s="134"/>
      <c r="AX733" s="136"/>
      <c r="AY733" s="134"/>
    </row>
    <row r="734" spans="1:51" s="110" customFormat="1" ht="20" customHeight="1">
      <c r="A734" s="125" t="s">
        <v>185</v>
      </c>
      <c r="B734" s="126" t="s">
        <v>59</v>
      </c>
      <c r="C734" s="127">
        <v>12715</v>
      </c>
      <c r="D734" s="145">
        <v>105040</v>
      </c>
      <c r="E734" s="146" t="s">
        <v>1932</v>
      </c>
      <c r="F734" s="146" t="s">
        <v>1932</v>
      </c>
      <c r="G734" s="147">
        <v>500</v>
      </c>
      <c r="H734" s="147">
        <v>4</v>
      </c>
      <c r="I734" s="146" t="s">
        <v>209</v>
      </c>
      <c r="J734" s="146" t="s">
        <v>1933</v>
      </c>
      <c r="K734" s="146" t="s">
        <v>1934</v>
      </c>
      <c r="L734" s="147">
        <v>1</v>
      </c>
      <c r="M734" s="147">
        <v>1</v>
      </c>
      <c r="N734" s="146" t="s">
        <v>1544</v>
      </c>
      <c r="O734" s="147">
        <v>72</v>
      </c>
      <c r="P734" s="147">
        <v>5</v>
      </c>
      <c r="Q734" s="147">
        <v>19</v>
      </c>
      <c r="R734" s="146" t="s">
        <v>654</v>
      </c>
      <c r="S734" s="146" t="s">
        <v>655</v>
      </c>
      <c r="T734" s="147">
        <v>244</v>
      </c>
      <c r="U734" s="146" t="s">
        <v>656</v>
      </c>
      <c r="V734" s="146" t="s">
        <v>657</v>
      </c>
      <c r="W734" s="147">
        <v>1</v>
      </c>
      <c r="X734" s="147">
        <v>2</v>
      </c>
      <c r="Y734" s="146" t="s">
        <v>194</v>
      </c>
      <c r="Z734" s="146" t="s">
        <v>195</v>
      </c>
      <c r="AA734" s="146" t="s">
        <v>196</v>
      </c>
      <c r="AB734" s="146" t="s">
        <v>187</v>
      </c>
      <c r="AC734" s="146" t="s">
        <v>187</v>
      </c>
      <c r="AD734" s="148"/>
      <c r="AE734" s="146" t="s">
        <v>209</v>
      </c>
      <c r="AF734" s="147">
        <v>-2.9839199999999999</v>
      </c>
      <c r="AG734" s="149">
        <v>137.28004999999999</v>
      </c>
      <c r="AM734" s="133" t="str" cm="1">
        <f t="array" ref="AM734">IF(ROWS($AN$2:$AN733)&lt;=$AN$2,INDEX($V$3:$V$3000,_xlfn.AGGREGATE(15,3,($B$3:$B$3000=$AM$2)/($B$3:$B$3000=$AM$2)*(ROW($B$3:$B$3000)-ROW($B$2)),ROWS($AN$2:$AN733))),"")</f>
        <v/>
      </c>
      <c r="AN734" s="134" t="str" cm="1">
        <f t="array" ref="AN734">IF(ROWS($AN$2:$AN733)&lt;=$AN$2,INDEX($F$3:$F$3000,_xlfn.AGGREGATE(15,3,($B$3:$B$3000=$AM$2)/($B$3:$B$3000=$AM$2)*(ROW($B$3:$B$3000)-ROW($B$2)),ROWS($AN$2:$AN733))),"")</f>
        <v/>
      </c>
      <c r="AO734" s="135" t="str" cm="1">
        <f t="array" ref="AO734">IF(ROWS($AN$2:$AN733)&lt;=$AN$2,INDEX($G$3:$G$3000,_xlfn.AGGREGATE(15,3,($B$3:$B$3000=$AM$2)/($B$3:$B$3000=$AM$2)*(ROW($B$3:$B$3000)-ROW($B$2)),ROWS($AN$2:$AN733))),"")</f>
        <v/>
      </c>
      <c r="AP734" s="121"/>
      <c r="AT734" s="111"/>
      <c r="AW734" s="134"/>
      <c r="AX734" s="136"/>
      <c r="AY734" s="134"/>
    </row>
    <row r="735" spans="1:51" s="110" customFormat="1" ht="20" customHeight="1">
      <c r="A735" s="125" t="s">
        <v>185</v>
      </c>
      <c r="B735" s="126" t="s">
        <v>59</v>
      </c>
      <c r="C735" s="127">
        <v>15262</v>
      </c>
      <c r="D735" s="145">
        <v>109840</v>
      </c>
      <c r="E735" s="146" t="s">
        <v>1935</v>
      </c>
      <c r="F735" s="146" t="s">
        <v>1936</v>
      </c>
      <c r="G735" s="147">
        <v>500</v>
      </c>
      <c r="H735" s="147">
        <v>4</v>
      </c>
      <c r="I735" s="146" t="s">
        <v>209</v>
      </c>
      <c r="J735" s="146" t="s">
        <v>1937</v>
      </c>
      <c r="K735" s="146" t="s">
        <v>1938</v>
      </c>
      <c r="L735" s="147">
        <v>2</v>
      </c>
      <c r="M735" s="147">
        <v>1</v>
      </c>
      <c r="N735" s="146" t="s">
        <v>1544</v>
      </c>
      <c r="O735" s="147">
        <v>70</v>
      </c>
      <c r="P735" s="147">
        <v>6</v>
      </c>
      <c r="Q735" s="147">
        <v>19</v>
      </c>
      <c r="R735" s="146" t="s">
        <v>654</v>
      </c>
      <c r="S735" s="146" t="s">
        <v>655</v>
      </c>
      <c r="T735" s="147">
        <v>244</v>
      </c>
      <c r="U735" s="146" t="s">
        <v>656</v>
      </c>
      <c r="V735" s="146" t="s">
        <v>657</v>
      </c>
      <c r="W735" s="147">
        <v>1</v>
      </c>
      <c r="X735" s="147">
        <v>2</v>
      </c>
      <c r="Y735" s="146" t="s">
        <v>194</v>
      </c>
      <c r="Z735" s="146" t="s">
        <v>195</v>
      </c>
      <c r="AA735" s="146" t="s">
        <v>196</v>
      </c>
      <c r="AB735" s="146" t="s">
        <v>187</v>
      </c>
      <c r="AC735" s="146" t="s">
        <v>187</v>
      </c>
      <c r="AD735" s="148"/>
      <c r="AE735" s="146" t="s">
        <v>209</v>
      </c>
      <c r="AF735" s="147">
        <v>-3.2336499999999999</v>
      </c>
      <c r="AG735" s="149">
        <v>138.23027999999999</v>
      </c>
      <c r="AM735" s="133" t="str" cm="1">
        <f t="array" ref="AM735">IF(ROWS($AN$2:$AN734)&lt;=$AN$2,INDEX($V$3:$V$3000,_xlfn.AGGREGATE(15,3,($B$3:$B$3000=$AM$2)/($B$3:$B$3000=$AM$2)*(ROW($B$3:$B$3000)-ROW($B$2)),ROWS($AN$2:$AN734))),"")</f>
        <v/>
      </c>
      <c r="AN735" s="134" t="str" cm="1">
        <f t="array" ref="AN735">IF(ROWS($AN$2:$AN734)&lt;=$AN$2,INDEX($F$3:$F$3000,_xlfn.AGGREGATE(15,3,($B$3:$B$3000=$AM$2)/($B$3:$B$3000=$AM$2)*(ROW($B$3:$B$3000)-ROW($B$2)),ROWS($AN$2:$AN734))),"")</f>
        <v/>
      </c>
      <c r="AO735" s="135" t="str" cm="1">
        <f t="array" ref="AO735">IF(ROWS($AN$2:$AN734)&lt;=$AN$2,INDEX($G$3:$G$3000,_xlfn.AGGREGATE(15,3,($B$3:$B$3000=$AM$2)/($B$3:$B$3000=$AM$2)*(ROW($B$3:$B$3000)-ROW($B$2)),ROWS($AN$2:$AN734))),"")</f>
        <v/>
      </c>
      <c r="AP735" s="121"/>
      <c r="AT735" s="111"/>
      <c r="AW735" s="134"/>
      <c r="AX735" s="136"/>
      <c r="AY735" s="134"/>
    </row>
    <row r="736" spans="1:51" s="110" customFormat="1" ht="20" customHeight="1">
      <c r="A736" s="125" t="s">
        <v>185</v>
      </c>
      <c r="B736" s="126" t="s">
        <v>59</v>
      </c>
      <c r="C736" s="127">
        <v>15293</v>
      </c>
      <c r="D736" s="145">
        <v>109889</v>
      </c>
      <c r="E736" s="146" t="s">
        <v>1939</v>
      </c>
      <c r="F736" s="146" t="s">
        <v>1939</v>
      </c>
      <c r="G736" s="147">
        <v>500</v>
      </c>
      <c r="H736" s="147">
        <v>4</v>
      </c>
      <c r="I736" s="146" t="s">
        <v>209</v>
      </c>
      <c r="J736" s="146" t="s">
        <v>1940</v>
      </c>
      <c r="K736" s="146" t="s">
        <v>1939</v>
      </c>
      <c r="L736" s="147">
        <v>3</v>
      </c>
      <c r="M736" s="147">
        <v>1</v>
      </c>
      <c r="N736" s="146" t="s">
        <v>1544</v>
      </c>
      <c r="O736" s="147">
        <v>55</v>
      </c>
      <c r="P736" s="147">
        <v>4</v>
      </c>
      <c r="Q736" s="147">
        <v>19</v>
      </c>
      <c r="R736" s="146" t="s">
        <v>654</v>
      </c>
      <c r="S736" s="146" t="s">
        <v>655</v>
      </c>
      <c r="T736" s="147">
        <v>244</v>
      </c>
      <c r="U736" s="146" t="s">
        <v>656</v>
      </c>
      <c r="V736" s="146" t="s">
        <v>657</v>
      </c>
      <c r="W736" s="147">
        <v>1</v>
      </c>
      <c r="X736" s="147">
        <v>2</v>
      </c>
      <c r="Y736" s="146" t="s">
        <v>194</v>
      </c>
      <c r="Z736" s="146" t="s">
        <v>195</v>
      </c>
      <c r="AA736" s="146" t="s">
        <v>196</v>
      </c>
      <c r="AB736" s="146" t="s">
        <v>187</v>
      </c>
      <c r="AC736" s="146" t="s">
        <v>187</v>
      </c>
      <c r="AD736" s="148"/>
      <c r="AE736" s="146" t="s">
        <v>209</v>
      </c>
      <c r="AF736" s="147">
        <v>-2.8763200000000002</v>
      </c>
      <c r="AG736" s="149">
        <v>136.69004000000001</v>
      </c>
      <c r="AM736" s="133" t="str" cm="1">
        <f t="array" ref="AM736">IF(ROWS($AN$2:$AN735)&lt;=$AN$2,INDEX($V$3:$V$3000,_xlfn.AGGREGATE(15,3,($B$3:$B$3000=$AM$2)/($B$3:$B$3000=$AM$2)*(ROW($B$3:$B$3000)-ROW($B$2)),ROWS($AN$2:$AN735))),"")</f>
        <v/>
      </c>
      <c r="AN736" s="134" t="str" cm="1">
        <f t="array" ref="AN736">IF(ROWS($AN$2:$AN735)&lt;=$AN$2,INDEX($F$3:$F$3000,_xlfn.AGGREGATE(15,3,($B$3:$B$3000=$AM$2)/($B$3:$B$3000=$AM$2)*(ROW($B$3:$B$3000)-ROW($B$2)),ROWS($AN$2:$AN735))),"")</f>
        <v/>
      </c>
      <c r="AO736" s="135" t="str" cm="1">
        <f t="array" ref="AO736">IF(ROWS($AN$2:$AN735)&lt;=$AN$2,INDEX($G$3:$G$3000,_xlfn.AGGREGATE(15,3,($B$3:$B$3000=$AM$2)/($B$3:$B$3000=$AM$2)*(ROW($B$3:$B$3000)-ROW($B$2)),ROWS($AN$2:$AN735))),"")</f>
        <v/>
      </c>
      <c r="AP736" s="121"/>
      <c r="AT736" s="111"/>
      <c r="AW736" s="134"/>
      <c r="AX736" s="136"/>
      <c r="AY736" s="134"/>
    </row>
    <row r="737" spans="1:51" s="110" customFormat="1" ht="20" customHeight="1">
      <c r="A737" s="125" t="s">
        <v>185</v>
      </c>
      <c r="B737" s="126" t="s">
        <v>59</v>
      </c>
      <c r="C737" s="127">
        <v>15537</v>
      </c>
      <c r="D737" s="145">
        <v>110134</v>
      </c>
      <c r="E737" s="146" t="s">
        <v>1941</v>
      </c>
      <c r="F737" s="146" t="s">
        <v>1941</v>
      </c>
      <c r="G737" s="147">
        <v>500</v>
      </c>
      <c r="H737" s="147">
        <v>4</v>
      </c>
      <c r="I737" s="146" t="s">
        <v>209</v>
      </c>
      <c r="J737" s="146" t="s">
        <v>1942</v>
      </c>
      <c r="K737" s="146" t="s">
        <v>1943</v>
      </c>
      <c r="L737" s="147">
        <v>1</v>
      </c>
      <c r="M737" s="147">
        <v>1</v>
      </c>
      <c r="N737" s="146" t="s">
        <v>1544</v>
      </c>
      <c r="O737" s="147">
        <v>65</v>
      </c>
      <c r="P737" s="147">
        <v>6</v>
      </c>
      <c r="Q737" s="147">
        <v>19</v>
      </c>
      <c r="R737" s="146" t="s">
        <v>654</v>
      </c>
      <c r="S737" s="146" t="s">
        <v>655</v>
      </c>
      <c r="T737" s="147">
        <v>244</v>
      </c>
      <c r="U737" s="146" t="s">
        <v>656</v>
      </c>
      <c r="V737" s="146" t="s">
        <v>657</v>
      </c>
      <c r="W737" s="147">
        <v>1</v>
      </c>
      <c r="X737" s="147">
        <v>2</v>
      </c>
      <c r="Y737" s="146" t="s">
        <v>194</v>
      </c>
      <c r="Z737" s="146" t="s">
        <v>195</v>
      </c>
      <c r="AA737" s="146" t="s">
        <v>196</v>
      </c>
      <c r="AB737" s="146" t="s">
        <v>187</v>
      </c>
      <c r="AC737" s="146" t="s">
        <v>187</v>
      </c>
      <c r="AD737" s="148"/>
      <c r="AE737" s="146" t="s">
        <v>209</v>
      </c>
      <c r="AF737" s="147">
        <v>-4.9442899999999996</v>
      </c>
      <c r="AG737" s="149">
        <v>139.83967000000001</v>
      </c>
      <c r="AM737" s="133" t="str" cm="1">
        <f t="array" ref="AM737">IF(ROWS($AN$2:$AN736)&lt;=$AN$2,INDEX($V$3:$V$3000,_xlfn.AGGREGATE(15,3,($B$3:$B$3000=$AM$2)/($B$3:$B$3000=$AM$2)*(ROW($B$3:$B$3000)-ROW($B$2)),ROWS($AN$2:$AN736))),"")</f>
        <v/>
      </c>
      <c r="AN737" s="134" t="str" cm="1">
        <f t="array" ref="AN737">IF(ROWS($AN$2:$AN736)&lt;=$AN$2,INDEX($F$3:$F$3000,_xlfn.AGGREGATE(15,3,($B$3:$B$3000=$AM$2)/($B$3:$B$3000=$AM$2)*(ROW($B$3:$B$3000)-ROW($B$2)),ROWS($AN$2:$AN736))),"")</f>
        <v/>
      </c>
      <c r="AO737" s="135" t="str" cm="1">
        <f t="array" ref="AO737">IF(ROWS($AN$2:$AN736)&lt;=$AN$2,INDEX($G$3:$G$3000,_xlfn.AGGREGATE(15,3,($B$3:$B$3000=$AM$2)/($B$3:$B$3000=$AM$2)*(ROW($B$3:$B$3000)-ROW($B$2)),ROWS($AN$2:$AN736))),"")</f>
        <v/>
      </c>
      <c r="AP737" s="121"/>
      <c r="AT737" s="111"/>
      <c r="AW737" s="134"/>
      <c r="AX737" s="136"/>
      <c r="AY737" s="134"/>
    </row>
    <row r="738" spans="1:51" s="110" customFormat="1" ht="20" customHeight="1">
      <c r="A738" s="125" t="s">
        <v>185</v>
      </c>
      <c r="B738" s="126" t="s">
        <v>59</v>
      </c>
      <c r="C738" s="127">
        <v>16027</v>
      </c>
      <c r="D738" s="145">
        <v>111040</v>
      </c>
      <c r="E738" s="146" t="s">
        <v>1946</v>
      </c>
      <c r="F738" s="146" t="s">
        <v>1946</v>
      </c>
      <c r="G738" s="147">
        <v>500</v>
      </c>
      <c r="H738" s="147">
        <v>4</v>
      </c>
      <c r="I738" s="146" t="s">
        <v>209</v>
      </c>
      <c r="J738" s="146" t="s">
        <v>1947</v>
      </c>
      <c r="K738" s="146" t="s">
        <v>1946</v>
      </c>
      <c r="L738" s="147">
        <v>0</v>
      </c>
      <c r="M738" s="147">
        <v>1</v>
      </c>
      <c r="N738" s="146" t="s">
        <v>1544</v>
      </c>
      <c r="O738" s="147">
        <v>60</v>
      </c>
      <c r="P738" s="147">
        <v>4</v>
      </c>
      <c r="Q738" s="147">
        <v>19</v>
      </c>
      <c r="R738" s="146" t="s">
        <v>654</v>
      </c>
      <c r="S738" s="146" t="s">
        <v>655</v>
      </c>
      <c r="T738" s="147">
        <v>244</v>
      </c>
      <c r="U738" s="146" t="s">
        <v>656</v>
      </c>
      <c r="V738" s="146" t="s">
        <v>657</v>
      </c>
      <c r="W738" s="147">
        <v>1</v>
      </c>
      <c r="X738" s="147">
        <v>2</v>
      </c>
      <c r="Y738" s="146" t="s">
        <v>194</v>
      </c>
      <c r="Z738" s="146" t="s">
        <v>195</v>
      </c>
      <c r="AA738" s="146" t="s">
        <v>196</v>
      </c>
      <c r="AB738" s="146" t="s">
        <v>187</v>
      </c>
      <c r="AC738" s="146" t="s">
        <v>187</v>
      </c>
      <c r="AD738" s="148"/>
      <c r="AE738" s="146" t="s">
        <v>209</v>
      </c>
      <c r="AF738" s="147">
        <v>-3.01668</v>
      </c>
      <c r="AG738" s="149">
        <v>134.66301999999999</v>
      </c>
      <c r="AM738" s="133" t="str" cm="1">
        <f t="array" ref="AM738">IF(ROWS($AN$2:$AN737)&lt;=$AN$2,INDEX($V$3:$V$3000,_xlfn.AGGREGATE(15,3,($B$3:$B$3000=$AM$2)/($B$3:$B$3000=$AM$2)*(ROW($B$3:$B$3000)-ROW($B$2)),ROWS($AN$2:$AN737))),"")</f>
        <v/>
      </c>
      <c r="AN738" s="134" t="str" cm="1">
        <f t="array" ref="AN738">IF(ROWS($AN$2:$AN737)&lt;=$AN$2,INDEX($F$3:$F$3000,_xlfn.AGGREGATE(15,3,($B$3:$B$3000=$AM$2)/($B$3:$B$3000=$AM$2)*(ROW($B$3:$B$3000)-ROW($B$2)),ROWS($AN$2:$AN737))),"")</f>
        <v/>
      </c>
      <c r="AO738" s="135" t="str" cm="1">
        <f t="array" ref="AO738">IF(ROWS($AN$2:$AN737)&lt;=$AN$2,INDEX($G$3:$G$3000,_xlfn.AGGREGATE(15,3,($B$3:$B$3000=$AM$2)/($B$3:$B$3000=$AM$2)*(ROW($B$3:$B$3000)-ROW($B$2)),ROWS($AN$2:$AN737))),"")</f>
        <v/>
      </c>
      <c r="AP738" s="121"/>
      <c r="AT738" s="111"/>
      <c r="AW738" s="134"/>
      <c r="AX738" s="136"/>
      <c r="AY738" s="134"/>
    </row>
    <row r="739" spans="1:51" s="110" customFormat="1" ht="20" customHeight="1">
      <c r="A739" s="125" t="s">
        <v>185</v>
      </c>
      <c r="B739" s="126" t="s">
        <v>59</v>
      </c>
      <c r="C739" s="127">
        <v>10708</v>
      </c>
      <c r="D739" s="145">
        <v>101104</v>
      </c>
      <c r="E739" s="146" t="s">
        <v>1824</v>
      </c>
      <c r="F739" s="146" t="s">
        <v>1824</v>
      </c>
      <c r="G739" s="147">
        <v>400</v>
      </c>
      <c r="H739" s="147">
        <v>4</v>
      </c>
      <c r="I739" s="146" t="s">
        <v>209</v>
      </c>
      <c r="J739" s="146" t="s">
        <v>1825</v>
      </c>
      <c r="K739" s="146" t="s">
        <v>1826</v>
      </c>
      <c r="L739" s="147">
        <v>1</v>
      </c>
      <c r="M739" s="147">
        <v>1</v>
      </c>
      <c r="N739" s="146" t="s">
        <v>1544</v>
      </c>
      <c r="O739" s="147">
        <v>60</v>
      </c>
      <c r="P739" s="147">
        <v>3</v>
      </c>
      <c r="Q739" s="147">
        <v>19</v>
      </c>
      <c r="R739" s="146" t="s">
        <v>654</v>
      </c>
      <c r="S739" s="146" t="s">
        <v>655</v>
      </c>
      <c r="T739" s="147">
        <v>244</v>
      </c>
      <c r="U739" s="146" t="s">
        <v>656</v>
      </c>
      <c r="V739" s="146" t="s">
        <v>657</v>
      </c>
      <c r="W739" s="147">
        <v>1</v>
      </c>
      <c r="X739" s="147">
        <v>2</v>
      </c>
      <c r="Y739" s="146" t="s">
        <v>194</v>
      </c>
      <c r="Z739" s="146" t="s">
        <v>195</v>
      </c>
      <c r="AA739" s="146" t="s">
        <v>196</v>
      </c>
      <c r="AB739" s="146" t="s">
        <v>187</v>
      </c>
      <c r="AC739" s="146" t="s">
        <v>187</v>
      </c>
      <c r="AD739" s="148"/>
      <c r="AE739" s="146" t="s">
        <v>209</v>
      </c>
      <c r="AF739" s="147">
        <v>-2.8483800000000001</v>
      </c>
      <c r="AG739" s="149">
        <v>138.89141000000001</v>
      </c>
      <c r="AM739" s="133" t="str" cm="1">
        <f t="array" ref="AM739">IF(ROWS($AN$2:$AN738)&lt;=$AN$2,INDEX($V$3:$V$3000,_xlfn.AGGREGATE(15,3,($B$3:$B$3000=$AM$2)/($B$3:$B$3000=$AM$2)*(ROW($B$3:$B$3000)-ROW($B$2)),ROWS($AN$2:$AN738))),"")</f>
        <v/>
      </c>
      <c r="AN739" s="134" t="str" cm="1">
        <f t="array" ref="AN739">IF(ROWS($AN$2:$AN738)&lt;=$AN$2,INDEX($F$3:$F$3000,_xlfn.AGGREGATE(15,3,($B$3:$B$3000=$AM$2)/($B$3:$B$3000=$AM$2)*(ROW($B$3:$B$3000)-ROW($B$2)),ROWS($AN$2:$AN738))),"")</f>
        <v/>
      </c>
      <c r="AO739" s="135" t="str" cm="1">
        <f t="array" ref="AO739">IF(ROWS($AN$2:$AN738)&lt;=$AN$2,INDEX($G$3:$G$3000,_xlfn.AGGREGATE(15,3,($B$3:$B$3000=$AM$2)/($B$3:$B$3000=$AM$2)*(ROW($B$3:$B$3000)-ROW($B$2)),ROWS($AN$2:$AN738))),"")</f>
        <v/>
      </c>
      <c r="AP739" s="121"/>
      <c r="AT739" s="111"/>
      <c r="AW739" s="134"/>
      <c r="AX739" s="136"/>
      <c r="AY739" s="134"/>
    </row>
    <row r="740" spans="1:51" s="110" customFormat="1" ht="20" customHeight="1">
      <c r="A740" s="125" t="s">
        <v>185</v>
      </c>
      <c r="B740" s="126" t="s">
        <v>59</v>
      </c>
      <c r="C740" s="127">
        <v>19537</v>
      </c>
      <c r="D740" s="145">
        <v>115258</v>
      </c>
      <c r="E740" s="146" t="s">
        <v>1827</v>
      </c>
      <c r="F740" s="146" t="s">
        <v>1827</v>
      </c>
      <c r="G740" s="147">
        <v>400</v>
      </c>
      <c r="H740" s="147">
        <v>4</v>
      </c>
      <c r="I740" s="146" t="s">
        <v>209</v>
      </c>
      <c r="J740" s="146" t="s">
        <v>1828</v>
      </c>
      <c r="K740" s="146" t="s">
        <v>1827</v>
      </c>
      <c r="L740" s="147">
        <v>1</v>
      </c>
      <c r="M740" s="147">
        <v>1</v>
      </c>
      <c r="N740" s="146" t="s">
        <v>1544</v>
      </c>
      <c r="O740" s="147">
        <v>70</v>
      </c>
      <c r="P740" s="147">
        <v>3</v>
      </c>
      <c r="Q740" s="147">
        <v>19</v>
      </c>
      <c r="R740" s="146" t="s">
        <v>654</v>
      </c>
      <c r="S740" s="146" t="s">
        <v>655</v>
      </c>
      <c r="T740" s="147">
        <v>244</v>
      </c>
      <c r="U740" s="146" t="s">
        <v>656</v>
      </c>
      <c r="V740" s="146" t="s">
        <v>657</v>
      </c>
      <c r="W740" s="147">
        <v>1</v>
      </c>
      <c r="X740" s="147">
        <v>2</v>
      </c>
      <c r="Y740" s="146" t="s">
        <v>194</v>
      </c>
      <c r="Z740" s="146" t="s">
        <v>195</v>
      </c>
      <c r="AA740" s="146" t="s">
        <v>196</v>
      </c>
      <c r="AB740" s="146" t="s">
        <v>187</v>
      </c>
      <c r="AC740" s="146" t="s">
        <v>187</v>
      </c>
      <c r="AD740" s="148"/>
      <c r="AE740" s="146" t="s">
        <v>209</v>
      </c>
      <c r="AF740" s="147">
        <v>-2.1942400000000002</v>
      </c>
      <c r="AG740" s="149">
        <v>130.2526</v>
      </c>
      <c r="AM740" s="133" t="str" cm="1">
        <f t="array" ref="AM740">IF(ROWS($AN$2:$AN739)&lt;=$AN$2,INDEX($V$3:$V$3000,_xlfn.AGGREGATE(15,3,($B$3:$B$3000=$AM$2)/($B$3:$B$3000=$AM$2)*(ROW($B$3:$B$3000)-ROW($B$2)),ROWS($AN$2:$AN739))),"")</f>
        <v/>
      </c>
      <c r="AN740" s="134" t="str" cm="1">
        <f t="array" ref="AN740">IF(ROWS($AN$2:$AN739)&lt;=$AN$2,INDEX($F$3:$F$3000,_xlfn.AGGREGATE(15,3,($B$3:$B$3000=$AM$2)/($B$3:$B$3000=$AM$2)*(ROW($B$3:$B$3000)-ROW($B$2)),ROWS($AN$2:$AN739))),"")</f>
        <v/>
      </c>
      <c r="AO740" s="135" t="str" cm="1">
        <f t="array" ref="AO740">IF(ROWS($AN$2:$AN739)&lt;=$AN$2,INDEX($G$3:$G$3000,_xlfn.AGGREGATE(15,3,($B$3:$B$3000=$AM$2)/($B$3:$B$3000=$AM$2)*(ROW($B$3:$B$3000)-ROW($B$2)),ROWS($AN$2:$AN739))),"")</f>
        <v/>
      </c>
      <c r="AP740" s="121"/>
      <c r="AT740" s="111"/>
      <c r="AW740" s="134"/>
      <c r="AX740" s="136"/>
      <c r="AY740" s="134"/>
    </row>
    <row r="741" spans="1:51" s="110" customFormat="1" ht="20" customHeight="1">
      <c r="A741" s="125" t="s">
        <v>185</v>
      </c>
      <c r="B741" s="126" t="s">
        <v>59</v>
      </c>
      <c r="C741" s="127">
        <v>11391</v>
      </c>
      <c r="D741" s="145">
        <v>102237</v>
      </c>
      <c r="E741" s="146" t="s">
        <v>1834</v>
      </c>
      <c r="F741" s="146" t="s">
        <v>1834</v>
      </c>
      <c r="G741" s="147">
        <v>400</v>
      </c>
      <c r="H741" s="147">
        <v>4</v>
      </c>
      <c r="I741" s="146" t="s">
        <v>209</v>
      </c>
      <c r="J741" s="146" t="s">
        <v>1835</v>
      </c>
      <c r="K741" s="146" t="s">
        <v>1836</v>
      </c>
      <c r="L741" s="147">
        <v>4</v>
      </c>
      <c r="M741" s="147">
        <v>1</v>
      </c>
      <c r="N741" s="146" t="s">
        <v>1544</v>
      </c>
      <c r="O741" s="147">
        <v>68</v>
      </c>
      <c r="P741" s="147">
        <v>3</v>
      </c>
      <c r="Q741" s="147">
        <v>19</v>
      </c>
      <c r="R741" s="146" t="s">
        <v>654</v>
      </c>
      <c r="S741" s="146" t="s">
        <v>655</v>
      </c>
      <c r="T741" s="147">
        <v>244</v>
      </c>
      <c r="U741" s="146" t="s">
        <v>656</v>
      </c>
      <c r="V741" s="146" t="s">
        <v>657</v>
      </c>
      <c r="W741" s="147">
        <v>1</v>
      </c>
      <c r="X741" s="147">
        <v>2</v>
      </c>
      <c r="Y741" s="146" t="s">
        <v>194</v>
      </c>
      <c r="Z741" s="146" t="s">
        <v>195</v>
      </c>
      <c r="AA741" s="146" t="s">
        <v>196</v>
      </c>
      <c r="AB741" s="146" t="s">
        <v>187</v>
      </c>
      <c r="AC741" s="146" t="s">
        <v>187</v>
      </c>
      <c r="AD741" s="148"/>
      <c r="AE741" s="146" t="s">
        <v>209</v>
      </c>
      <c r="AF741" s="147">
        <v>-5.5875199999999996</v>
      </c>
      <c r="AG741" s="149">
        <v>139.23353</v>
      </c>
      <c r="AM741" s="133" t="str" cm="1">
        <f t="array" ref="AM741">IF(ROWS($AN$2:$AN740)&lt;=$AN$2,INDEX($V$3:$V$3000,_xlfn.AGGREGATE(15,3,($B$3:$B$3000=$AM$2)/($B$3:$B$3000=$AM$2)*(ROW($B$3:$B$3000)-ROW($B$2)),ROWS($AN$2:$AN740))),"")</f>
        <v/>
      </c>
      <c r="AN741" s="134" t="str" cm="1">
        <f t="array" ref="AN741">IF(ROWS($AN$2:$AN740)&lt;=$AN$2,INDEX($F$3:$F$3000,_xlfn.AGGREGATE(15,3,($B$3:$B$3000=$AM$2)/($B$3:$B$3000=$AM$2)*(ROW($B$3:$B$3000)-ROW($B$2)),ROWS($AN$2:$AN740))),"")</f>
        <v/>
      </c>
      <c r="AO741" s="135" t="str" cm="1">
        <f t="array" ref="AO741">IF(ROWS($AN$2:$AN740)&lt;=$AN$2,INDEX($G$3:$G$3000,_xlfn.AGGREGATE(15,3,($B$3:$B$3000=$AM$2)/($B$3:$B$3000=$AM$2)*(ROW($B$3:$B$3000)-ROW($B$2)),ROWS($AN$2:$AN740))),"")</f>
        <v/>
      </c>
      <c r="AP741" s="121"/>
      <c r="AT741" s="111"/>
      <c r="AW741" s="134"/>
      <c r="AX741" s="136"/>
      <c r="AY741" s="134"/>
    </row>
    <row r="742" spans="1:51" s="110" customFormat="1" ht="20" customHeight="1">
      <c r="A742" s="125" t="s">
        <v>185</v>
      </c>
      <c r="B742" s="126" t="s">
        <v>59</v>
      </c>
      <c r="C742" s="127">
        <v>11218</v>
      </c>
      <c r="D742" s="145">
        <v>103037</v>
      </c>
      <c r="E742" s="146" t="s">
        <v>1839</v>
      </c>
      <c r="F742" s="146" t="s">
        <v>1839</v>
      </c>
      <c r="G742" s="147">
        <v>400</v>
      </c>
      <c r="H742" s="147">
        <v>4</v>
      </c>
      <c r="I742" s="146" t="s">
        <v>209</v>
      </c>
      <c r="J742" s="146" t="s">
        <v>1840</v>
      </c>
      <c r="K742" s="146" t="s">
        <v>1841</v>
      </c>
      <c r="L742" s="147">
        <v>1</v>
      </c>
      <c r="M742" s="147">
        <v>1</v>
      </c>
      <c r="N742" s="146" t="s">
        <v>1544</v>
      </c>
      <c r="O742" s="147">
        <v>65</v>
      </c>
      <c r="P742" s="147">
        <v>6</v>
      </c>
      <c r="Q742" s="147">
        <v>19</v>
      </c>
      <c r="R742" s="146" t="s">
        <v>654</v>
      </c>
      <c r="S742" s="146" t="s">
        <v>655</v>
      </c>
      <c r="T742" s="147">
        <v>244</v>
      </c>
      <c r="U742" s="146" t="s">
        <v>656</v>
      </c>
      <c r="V742" s="146" t="s">
        <v>657</v>
      </c>
      <c r="W742" s="147">
        <v>1</v>
      </c>
      <c r="X742" s="147">
        <v>2</v>
      </c>
      <c r="Y742" s="146" t="s">
        <v>194</v>
      </c>
      <c r="Z742" s="146" t="s">
        <v>195</v>
      </c>
      <c r="AA742" s="146" t="s">
        <v>196</v>
      </c>
      <c r="AB742" s="146" t="s">
        <v>187</v>
      </c>
      <c r="AC742" s="146" t="s">
        <v>187</v>
      </c>
      <c r="AD742" s="148"/>
      <c r="AE742" s="146" t="s">
        <v>209</v>
      </c>
      <c r="AF742" s="147">
        <v>-2.9663300000000001</v>
      </c>
      <c r="AG742" s="149">
        <v>139.28818999999999</v>
      </c>
      <c r="AM742" s="133" t="str" cm="1">
        <f t="array" ref="AM742">IF(ROWS($AN$2:$AN741)&lt;=$AN$2,INDEX($V$3:$V$3000,_xlfn.AGGREGATE(15,3,($B$3:$B$3000=$AM$2)/($B$3:$B$3000=$AM$2)*(ROW($B$3:$B$3000)-ROW($B$2)),ROWS($AN$2:$AN741))),"")</f>
        <v/>
      </c>
      <c r="AN742" s="134" t="str" cm="1">
        <f t="array" ref="AN742">IF(ROWS($AN$2:$AN741)&lt;=$AN$2,INDEX($F$3:$F$3000,_xlfn.AGGREGATE(15,3,($B$3:$B$3000=$AM$2)/($B$3:$B$3000=$AM$2)*(ROW($B$3:$B$3000)-ROW($B$2)),ROWS($AN$2:$AN741))),"")</f>
        <v/>
      </c>
      <c r="AO742" s="135" t="str" cm="1">
        <f t="array" ref="AO742">IF(ROWS($AN$2:$AN741)&lt;=$AN$2,INDEX($G$3:$G$3000,_xlfn.AGGREGATE(15,3,($B$3:$B$3000=$AM$2)/($B$3:$B$3000=$AM$2)*(ROW($B$3:$B$3000)-ROW($B$2)),ROWS($AN$2:$AN741))),"")</f>
        <v/>
      </c>
      <c r="AP742" s="121"/>
      <c r="AT742" s="111"/>
      <c r="AW742" s="134"/>
      <c r="AX742" s="136"/>
      <c r="AY742" s="134"/>
    </row>
    <row r="743" spans="1:51" s="110" customFormat="1" ht="20" customHeight="1">
      <c r="A743" s="125" t="s">
        <v>185</v>
      </c>
      <c r="B743" s="126" t="s">
        <v>59</v>
      </c>
      <c r="C743" s="127">
        <v>12604</v>
      </c>
      <c r="D743" s="145">
        <v>104800</v>
      </c>
      <c r="E743" s="146" t="s">
        <v>1844</v>
      </c>
      <c r="F743" s="146" t="s">
        <v>1844</v>
      </c>
      <c r="G743" s="147">
        <v>400</v>
      </c>
      <c r="H743" s="147">
        <v>4</v>
      </c>
      <c r="I743" s="146" t="s">
        <v>209</v>
      </c>
      <c r="J743" s="146" t="s">
        <v>1845</v>
      </c>
      <c r="K743" s="146" t="s">
        <v>1846</v>
      </c>
      <c r="L743" s="147">
        <v>0</v>
      </c>
      <c r="M743" s="147">
        <v>1</v>
      </c>
      <c r="N743" s="146" t="s">
        <v>1544</v>
      </c>
      <c r="O743" s="147">
        <v>70</v>
      </c>
      <c r="P743" s="147">
        <v>4</v>
      </c>
      <c r="Q743" s="147">
        <v>19</v>
      </c>
      <c r="R743" s="146" t="s">
        <v>654</v>
      </c>
      <c r="S743" s="146" t="s">
        <v>655</v>
      </c>
      <c r="T743" s="147">
        <v>244</v>
      </c>
      <c r="U743" s="146" t="s">
        <v>656</v>
      </c>
      <c r="V743" s="146" t="s">
        <v>657</v>
      </c>
      <c r="W743" s="147">
        <v>1</v>
      </c>
      <c r="X743" s="147">
        <v>2</v>
      </c>
      <c r="Y743" s="146" t="s">
        <v>194</v>
      </c>
      <c r="Z743" s="146" t="s">
        <v>195</v>
      </c>
      <c r="AA743" s="146" t="s">
        <v>196</v>
      </c>
      <c r="AB743" s="146" t="s">
        <v>187</v>
      </c>
      <c r="AC743" s="146" t="s">
        <v>187</v>
      </c>
      <c r="AD743" s="148"/>
      <c r="AE743" s="146" t="s">
        <v>209</v>
      </c>
      <c r="AF743" s="147">
        <v>-2.0468000000000002</v>
      </c>
      <c r="AG743" s="149">
        <v>139.02332000000001</v>
      </c>
      <c r="AM743" s="133" t="str" cm="1">
        <f t="array" ref="AM743">IF(ROWS($AN$2:$AN742)&lt;=$AN$2,INDEX($V$3:$V$3000,_xlfn.AGGREGATE(15,3,($B$3:$B$3000=$AM$2)/($B$3:$B$3000=$AM$2)*(ROW($B$3:$B$3000)-ROW($B$2)),ROWS($AN$2:$AN742))),"")</f>
        <v/>
      </c>
      <c r="AN743" s="134" t="str" cm="1">
        <f t="array" ref="AN743">IF(ROWS($AN$2:$AN742)&lt;=$AN$2,INDEX($F$3:$F$3000,_xlfn.AGGREGATE(15,3,($B$3:$B$3000=$AM$2)/($B$3:$B$3000=$AM$2)*(ROW($B$3:$B$3000)-ROW($B$2)),ROWS($AN$2:$AN742))),"")</f>
        <v/>
      </c>
      <c r="AO743" s="135" t="str" cm="1">
        <f t="array" ref="AO743">IF(ROWS($AN$2:$AN742)&lt;=$AN$2,INDEX($G$3:$G$3000,_xlfn.AGGREGATE(15,3,($B$3:$B$3000=$AM$2)/($B$3:$B$3000=$AM$2)*(ROW($B$3:$B$3000)-ROW($B$2)),ROWS($AN$2:$AN742))),"")</f>
        <v/>
      </c>
      <c r="AP743" s="121"/>
      <c r="AT743" s="111"/>
      <c r="AW743" s="134"/>
      <c r="AX743" s="136"/>
      <c r="AY743" s="134"/>
    </row>
    <row r="744" spans="1:51" s="110" customFormat="1" ht="20" customHeight="1">
      <c r="A744" s="125" t="s">
        <v>185</v>
      </c>
      <c r="B744" s="126" t="s">
        <v>59</v>
      </c>
      <c r="C744" s="127">
        <v>12807</v>
      </c>
      <c r="D744" s="145">
        <v>105250</v>
      </c>
      <c r="E744" s="146" t="s">
        <v>1849</v>
      </c>
      <c r="F744" s="146" t="s">
        <v>1849</v>
      </c>
      <c r="G744" s="147">
        <v>400</v>
      </c>
      <c r="H744" s="147">
        <v>4</v>
      </c>
      <c r="I744" s="146" t="s">
        <v>209</v>
      </c>
      <c r="J744" s="146" t="s">
        <v>1850</v>
      </c>
      <c r="K744" s="146" t="s">
        <v>1851</v>
      </c>
      <c r="L744" s="147">
        <v>1</v>
      </c>
      <c r="M744" s="147">
        <v>1</v>
      </c>
      <c r="N744" s="146" t="s">
        <v>1544</v>
      </c>
      <c r="O744" s="147">
        <v>64</v>
      </c>
      <c r="P744" s="147">
        <v>4</v>
      </c>
      <c r="Q744" s="147">
        <v>19</v>
      </c>
      <c r="R744" s="146" t="s">
        <v>654</v>
      </c>
      <c r="S744" s="146" t="s">
        <v>655</v>
      </c>
      <c r="T744" s="147">
        <v>244</v>
      </c>
      <c r="U744" s="146" t="s">
        <v>656</v>
      </c>
      <c r="V744" s="146" t="s">
        <v>657</v>
      </c>
      <c r="W744" s="147">
        <v>1</v>
      </c>
      <c r="X744" s="147">
        <v>2</v>
      </c>
      <c r="Y744" s="146" t="s">
        <v>194</v>
      </c>
      <c r="Z744" s="146" t="s">
        <v>195</v>
      </c>
      <c r="AA744" s="146" t="s">
        <v>196</v>
      </c>
      <c r="AB744" s="146" t="s">
        <v>187</v>
      </c>
      <c r="AC744" s="146" t="s">
        <v>187</v>
      </c>
      <c r="AD744" s="148"/>
      <c r="AE744" s="146" t="s">
        <v>209</v>
      </c>
      <c r="AF744" s="147">
        <v>-3.7665999999999999</v>
      </c>
      <c r="AG744" s="149">
        <v>140.16726</v>
      </c>
      <c r="AM744" s="133" t="str" cm="1">
        <f t="array" ref="AM744">IF(ROWS($AN$2:$AN743)&lt;=$AN$2,INDEX($V$3:$V$3000,_xlfn.AGGREGATE(15,3,($B$3:$B$3000=$AM$2)/($B$3:$B$3000=$AM$2)*(ROW($B$3:$B$3000)-ROW($B$2)),ROWS($AN$2:$AN743))),"")</f>
        <v/>
      </c>
      <c r="AN744" s="134" t="str" cm="1">
        <f t="array" ref="AN744">IF(ROWS($AN$2:$AN743)&lt;=$AN$2,INDEX($F$3:$F$3000,_xlfn.AGGREGATE(15,3,($B$3:$B$3000=$AM$2)/($B$3:$B$3000=$AM$2)*(ROW($B$3:$B$3000)-ROW($B$2)),ROWS($AN$2:$AN743))),"")</f>
        <v/>
      </c>
      <c r="AO744" s="135" t="str" cm="1">
        <f t="array" ref="AO744">IF(ROWS($AN$2:$AN743)&lt;=$AN$2,INDEX($G$3:$G$3000,_xlfn.AGGREGATE(15,3,($B$3:$B$3000=$AM$2)/($B$3:$B$3000=$AM$2)*(ROW($B$3:$B$3000)-ROW($B$2)),ROWS($AN$2:$AN743))),"")</f>
        <v/>
      </c>
      <c r="AP744" s="121"/>
      <c r="AT744" s="111"/>
      <c r="AW744" s="134"/>
      <c r="AX744" s="136"/>
      <c r="AY744" s="134"/>
    </row>
    <row r="745" spans="1:51" s="110" customFormat="1" ht="20" customHeight="1">
      <c r="A745" s="125" t="s">
        <v>185</v>
      </c>
      <c r="B745" s="126" t="s">
        <v>59</v>
      </c>
      <c r="C745" s="127">
        <v>12913</v>
      </c>
      <c r="D745" s="145">
        <v>105526</v>
      </c>
      <c r="E745" s="146" t="s">
        <v>1852</v>
      </c>
      <c r="F745" s="146" t="s">
        <v>1852</v>
      </c>
      <c r="G745" s="147">
        <v>400</v>
      </c>
      <c r="H745" s="147">
        <v>4</v>
      </c>
      <c r="I745" s="146" t="s">
        <v>209</v>
      </c>
      <c r="J745" s="146" t="s">
        <v>747</v>
      </c>
      <c r="K745" s="146" t="s">
        <v>746</v>
      </c>
      <c r="L745" s="147">
        <v>5</v>
      </c>
      <c r="M745" s="147">
        <v>1</v>
      </c>
      <c r="N745" s="146" t="s">
        <v>1544</v>
      </c>
      <c r="O745" s="147">
        <v>68</v>
      </c>
      <c r="P745" s="147">
        <v>4</v>
      </c>
      <c r="Q745" s="147">
        <v>19</v>
      </c>
      <c r="R745" s="146" t="s">
        <v>654</v>
      </c>
      <c r="S745" s="146" t="s">
        <v>655</v>
      </c>
      <c r="T745" s="147">
        <v>244</v>
      </c>
      <c r="U745" s="146" t="s">
        <v>656</v>
      </c>
      <c r="V745" s="146" t="s">
        <v>657</v>
      </c>
      <c r="W745" s="147">
        <v>1</v>
      </c>
      <c r="X745" s="147">
        <v>2</v>
      </c>
      <c r="Y745" s="146" t="s">
        <v>194</v>
      </c>
      <c r="Z745" s="146" t="s">
        <v>195</v>
      </c>
      <c r="AA745" s="146" t="s">
        <v>196</v>
      </c>
      <c r="AB745" s="146" t="s">
        <v>187</v>
      </c>
      <c r="AC745" s="146" t="s">
        <v>187</v>
      </c>
      <c r="AD745" s="148"/>
      <c r="AE745" s="146" t="s">
        <v>209</v>
      </c>
      <c r="AF745" s="147">
        <v>-2.57443</v>
      </c>
      <c r="AG745" s="149">
        <v>140.26244</v>
      </c>
      <c r="AM745" s="133" t="str" cm="1">
        <f t="array" ref="AM745">IF(ROWS($AN$2:$AN744)&lt;=$AN$2,INDEX($V$3:$V$3000,_xlfn.AGGREGATE(15,3,($B$3:$B$3000=$AM$2)/($B$3:$B$3000=$AM$2)*(ROW($B$3:$B$3000)-ROW($B$2)),ROWS($AN$2:$AN744))),"")</f>
        <v/>
      </c>
      <c r="AN745" s="134" t="str" cm="1">
        <f t="array" ref="AN745">IF(ROWS($AN$2:$AN744)&lt;=$AN$2,INDEX($F$3:$F$3000,_xlfn.AGGREGATE(15,3,($B$3:$B$3000=$AM$2)/($B$3:$B$3000=$AM$2)*(ROW($B$3:$B$3000)-ROW($B$2)),ROWS($AN$2:$AN744))),"")</f>
        <v/>
      </c>
      <c r="AO745" s="135" t="str" cm="1">
        <f t="array" ref="AO745">IF(ROWS($AN$2:$AN744)&lt;=$AN$2,INDEX($G$3:$G$3000,_xlfn.AGGREGATE(15,3,($B$3:$B$3000=$AM$2)/($B$3:$B$3000=$AM$2)*(ROW($B$3:$B$3000)-ROW($B$2)),ROWS($AN$2:$AN744))),"")</f>
        <v/>
      </c>
      <c r="AP745" s="121"/>
      <c r="AT745" s="111"/>
      <c r="AW745" s="134"/>
      <c r="AX745" s="136"/>
      <c r="AY745" s="134"/>
    </row>
    <row r="746" spans="1:51" s="110" customFormat="1" ht="20" customHeight="1">
      <c r="A746" s="125" t="s">
        <v>185</v>
      </c>
      <c r="B746" s="126" t="s">
        <v>59</v>
      </c>
      <c r="C746" s="127">
        <v>13777</v>
      </c>
      <c r="D746" s="145">
        <v>106734</v>
      </c>
      <c r="E746" s="146" t="s">
        <v>1855</v>
      </c>
      <c r="F746" s="146" t="s">
        <v>1855</v>
      </c>
      <c r="G746" s="147">
        <v>400</v>
      </c>
      <c r="H746" s="147">
        <v>4</v>
      </c>
      <c r="I746" s="146" t="s">
        <v>209</v>
      </c>
      <c r="J746" s="146" t="s">
        <v>1856</v>
      </c>
      <c r="K746" s="146" t="s">
        <v>1855</v>
      </c>
      <c r="L746" s="147">
        <v>1</v>
      </c>
      <c r="M746" s="147">
        <v>1</v>
      </c>
      <c r="N746" s="146" t="s">
        <v>1544</v>
      </c>
      <c r="O746" s="147">
        <v>70</v>
      </c>
      <c r="P746" s="147">
        <v>3</v>
      </c>
      <c r="Q746" s="147">
        <v>19</v>
      </c>
      <c r="R746" s="146" t="s">
        <v>654</v>
      </c>
      <c r="S746" s="146" t="s">
        <v>655</v>
      </c>
      <c r="T746" s="147">
        <v>244</v>
      </c>
      <c r="U746" s="146" t="s">
        <v>656</v>
      </c>
      <c r="V746" s="146" t="s">
        <v>657</v>
      </c>
      <c r="W746" s="147">
        <v>1</v>
      </c>
      <c r="X746" s="147">
        <v>2</v>
      </c>
      <c r="Y746" s="146" t="s">
        <v>194</v>
      </c>
      <c r="Z746" s="146" t="s">
        <v>195</v>
      </c>
      <c r="AA746" s="146" t="s">
        <v>196</v>
      </c>
      <c r="AB746" s="146" t="s">
        <v>187</v>
      </c>
      <c r="AC746" s="146" t="s">
        <v>187</v>
      </c>
      <c r="AD746" s="148"/>
      <c r="AE746" s="146" t="s">
        <v>209</v>
      </c>
      <c r="AF746" s="147">
        <v>-3.4241199999999998</v>
      </c>
      <c r="AG746" s="149">
        <v>140.58994000000001</v>
      </c>
      <c r="AM746" s="133" t="str" cm="1">
        <f t="array" ref="AM746">IF(ROWS($AN$2:$AN745)&lt;=$AN$2,INDEX($V$3:$V$3000,_xlfn.AGGREGATE(15,3,($B$3:$B$3000=$AM$2)/($B$3:$B$3000=$AM$2)*(ROW($B$3:$B$3000)-ROW($B$2)),ROWS($AN$2:$AN745))),"")</f>
        <v/>
      </c>
      <c r="AN746" s="134" t="str" cm="1">
        <f t="array" ref="AN746">IF(ROWS($AN$2:$AN745)&lt;=$AN$2,INDEX($F$3:$F$3000,_xlfn.AGGREGATE(15,3,($B$3:$B$3000=$AM$2)/($B$3:$B$3000=$AM$2)*(ROW($B$3:$B$3000)-ROW($B$2)),ROWS($AN$2:$AN745))),"")</f>
        <v/>
      </c>
      <c r="AO746" s="135" t="str" cm="1">
        <f t="array" ref="AO746">IF(ROWS($AN$2:$AN745)&lt;=$AN$2,INDEX($G$3:$G$3000,_xlfn.AGGREGATE(15,3,($B$3:$B$3000=$AM$2)/($B$3:$B$3000=$AM$2)*(ROW($B$3:$B$3000)-ROW($B$2)),ROWS($AN$2:$AN745))),"")</f>
        <v/>
      </c>
      <c r="AP746" s="121"/>
      <c r="AT746" s="111"/>
      <c r="AW746" s="134"/>
      <c r="AX746" s="136"/>
      <c r="AY746" s="134"/>
    </row>
    <row r="747" spans="1:51" s="110" customFormat="1" ht="20" customHeight="1">
      <c r="A747" s="125" t="s">
        <v>185</v>
      </c>
      <c r="B747" s="126" t="s">
        <v>59</v>
      </c>
      <c r="C747" s="127">
        <v>13779</v>
      </c>
      <c r="D747" s="145">
        <v>106738</v>
      </c>
      <c r="E747" s="146" t="s">
        <v>1857</v>
      </c>
      <c r="F747" s="146" t="s">
        <v>1857</v>
      </c>
      <c r="G747" s="147">
        <v>400</v>
      </c>
      <c r="H747" s="147">
        <v>4</v>
      </c>
      <c r="I747" s="146" t="s">
        <v>209</v>
      </c>
      <c r="J747" s="146" t="s">
        <v>1858</v>
      </c>
      <c r="K747" s="146" t="s">
        <v>1857</v>
      </c>
      <c r="L747" s="147">
        <v>0</v>
      </c>
      <c r="M747" s="147">
        <v>1</v>
      </c>
      <c r="N747" s="146" t="s">
        <v>1544</v>
      </c>
      <c r="O747" s="147">
        <v>55</v>
      </c>
      <c r="P747" s="147">
        <v>4</v>
      </c>
      <c r="Q747" s="147">
        <v>19</v>
      </c>
      <c r="R747" s="146" t="s">
        <v>654</v>
      </c>
      <c r="S747" s="146" t="s">
        <v>655</v>
      </c>
      <c r="T747" s="147">
        <v>244</v>
      </c>
      <c r="U747" s="146" t="s">
        <v>656</v>
      </c>
      <c r="V747" s="146" t="s">
        <v>657</v>
      </c>
      <c r="W747" s="147">
        <v>1</v>
      </c>
      <c r="X747" s="147">
        <v>2</v>
      </c>
      <c r="Y747" s="146" t="s">
        <v>194</v>
      </c>
      <c r="Z747" s="146" t="s">
        <v>195</v>
      </c>
      <c r="AA747" s="146" t="s">
        <v>196</v>
      </c>
      <c r="AB747" s="146" t="s">
        <v>187</v>
      </c>
      <c r="AC747" s="146" t="s">
        <v>187</v>
      </c>
      <c r="AD747" s="148"/>
      <c r="AE747" s="146" t="s">
        <v>209</v>
      </c>
      <c r="AF747" s="147">
        <v>-8.2845600000000008</v>
      </c>
      <c r="AG747" s="149">
        <v>138.79258999999999</v>
      </c>
      <c r="AM747" s="133" t="str" cm="1">
        <f t="array" ref="AM747">IF(ROWS($AN$2:$AN746)&lt;=$AN$2,INDEX($V$3:$V$3000,_xlfn.AGGREGATE(15,3,($B$3:$B$3000=$AM$2)/($B$3:$B$3000=$AM$2)*(ROW($B$3:$B$3000)-ROW($B$2)),ROWS($AN$2:$AN746))),"")</f>
        <v/>
      </c>
      <c r="AN747" s="134" t="str" cm="1">
        <f t="array" ref="AN747">IF(ROWS($AN$2:$AN746)&lt;=$AN$2,INDEX($F$3:$F$3000,_xlfn.AGGREGATE(15,3,($B$3:$B$3000=$AM$2)/($B$3:$B$3000=$AM$2)*(ROW($B$3:$B$3000)-ROW($B$2)),ROWS($AN$2:$AN746))),"")</f>
        <v/>
      </c>
      <c r="AO747" s="135" t="str" cm="1">
        <f t="array" ref="AO747">IF(ROWS($AN$2:$AN746)&lt;=$AN$2,INDEX($G$3:$G$3000,_xlfn.AGGREGATE(15,3,($B$3:$B$3000=$AM$2)/($B$3:$B$3000=$AM$2)*(ROW($B$3:$B$3000)-ROW($B$2)),ROWS($AN$2:$AN746))),"")</f>
        <v/>
      </c>
      <c r="AP747" s="121"/>
      <c r="AT747" s="111"/>
      <c r="AW747" s="134"/>
      <c r="AX747" s="136"/>
      <c r="AY747" s="134"/>
    </row>
    <row r="748" spans="1:51" s="110" customFormat="1" ht="20" customHeight="1">
      <c r="A748" s="125" t="s">
        <v>185</v>
      </c>
      <c r="B748" s="126" t="s">
        <v>59</v>
      </c>
      <c r="C748" s="127">
        <v>13827</v>
      </c>
      <c r="D748" s="145">
        <v>106815</v>
      </c>
      <c r="E748" s="146" t="s">
        <v>1859</v>
      </c>
      <c r="F748" s="146" t="s">
        <v>1859</v>
      </c>
      <c r="G748" s="147">
        <v>400</v>
      </c>
      <c r="H748" s="147">
        <v>4</v>
      </c>
      <c r="I748" s="146" t="s">
        <v>209</v>
      </c>
      <c r="J748" s="146" t="s">
        <v>1860</v>
      </c>
      <c r="K748" s="146" t="s">
        <v>1861</v>
      </c>
      <c r="L748" s="147">
        <v>2</v>
      </c>
      <c r="M748" s="147">
        <v>1</v>
      </c>
      <c r="N748" s="146" t="s">
        <v>1544</v>
      </c>
      <c r="O748" s="147">
        <v>65</v>
      </c>
      <c r="P748" s="147">
        <v>6</v>
      </c>
      <c r="Q748" s="147">
        <v>19</v>
      </c>
      <c r="R748" s="146" t="s">
        <v>654</v>
      </c>
      <c r="S748" s="146" t="s">
        <v>655</v>
      </c>
      <c r="T748" s="147">
        <v>244</v>
      </c>
      <c r="U748" s="146" t="s">
        <v>656</v>
      </c>
      <c r="V748" s="146" t="s">
        <v>657</v>
      </c>
      <c r="W748" s="147">
        <v>1</v>
      </c>
      <c r="X748" s="147">
        <v>2</v>
      </c>
      <c r="Y748" s="146" t="s">
        <v>194</v>
      </c>
      <c r="Z748" s="146" t="s">
        <v>195</v>
      </c>
      <c r="AA748" s="146" t="s">
        <v>196</v>
      </c>
      <c r="AB748" s="146" t="s">
        <v>187</v>
      </c>
      <c r="AC748" s="146" t="s">
        <v>187</v>
      </c>
      <c r="AD748" s="148"/>
      <c r="AE748" s="146" t="s">
        <v>209</v>
      </c>
      <c r="AF748" s="147">
        <v>-3.0571199999999998</v>
      </c>
      <c r="AG748" s="149">
        <v>140.44302999999999</v>
      </c>
      <c r="AM748" s="133" t="str" cm="1">
        <f t="array" ref="AM748">IF(ROWS($AN$2:$AN747)&lt;=$AN$2,INDEX($V$3:$V$3000,_xlfn.AGGREGATE(15,3,($B$3:$B$3000=$AM$2)/($B$3:$B$3000=$AM$2)*(ROW($B$3:$B$3000)-ROW($B$2)),ROWS($AN$2:$AN747))),"")</f>
        <v/>
      </c>
      <c r="AN748" s="134" t="str" cm="1">
        <f t="array" ref="AN748">IF(ROWS($AN$2:$AN747)&lt;=$AN$2,INDEX($F$3:$F$3000,_xlfn.AGGREGATE(15,3,($B$3:$B$3000=$AM$2)/($B$3:$B$3000=$AM$2)*(ROW($B$3:$B$3000)-ROW($B$2)),ROWS($AN$2:$AN747))),"")</f>
        <v/>
      </c>
      <c r="AO748" s="135" t="str" cm="1">
        <f t="array" ref="AO748">IF(ROWS($AN$2:$AN747)&lt;=$AN$2,INDEX($G$3:$G$3000,_xlfn.AGGREGATE(15,3,($B$3:$B$3000=$AM$2)/($B$3:$B$3000=$AM$2)*(ROW($B$3:$B$3000)-ROW($B$2)),ROWS($AN$2:$AN747))),"")</f>
        <v/>
      </c>
      <c r="AP748" s="121"/>
      <c r="AT748" s="111"/>
      <c r="AW748" s="134"/>
      <c r="AX748" s="136"/>
      <c r="AY748" s="134"/>
    </row>
    <row r="749" spans="1:51" s="110" customFormat="1" ht="20" customHeight="1">
      <c r="A749" s="125" t="s">
        <v>185</v>
      </c>
      <c r="B749" s="126" t="s">
        <v>59</v>
      </c>
      <c r="C749" s="127">
        <v>14778</v>
      </c>
      <c r="D749" s="145">
        <v>108738</v>
      </c>
      <c r="E749" s="146" t="s">
        <v>1867</v>
      </c>
      <c r="F749" s="146" t="s">
        <v>1867</v>
      </c>
      <c r="G749" s="147">
        <v>400</v>
      </c>
      <c r="H749" s="147">
        <v>4</v>
      </c>
      <c r="I749" s="146" t="s">
        <v>209</v>
      </c>
      <c r="J749" s="146" t="s">
        <v>1868</v>
      </c>
      <c r="K749" s="146" t="s">
        <v>1869</v>
      </c>
      <c r="L749" s="147">
        <v>3</v>
      </c>
      <c r="M749" s="147">
        <v>1</v>
      </c>
      <c r="N749" s="146" t="s">
        <v>1544</v>
      </c>
      <c r="O749" s="147">
        <v>70</v>
      </c>
      <c r="P749" s="147">
        <v>3</v>
      </c>
      <c r="Q749" s="147">
        <v>19</v>
      </c>
      <c r="R749" s="146" t="s">
        <v>654</v>
      </c>
      <c r="S749" s="146" t="s">
        <v>655</v>
      </c>
      <c r="T749" s="147">
        <v>244</v>
      </c>
      <c r="U749" s="146" t="s">
        <v>656</v>
      </c>
      <c r="V749" s="146" t="s">
        <v>657</v>
      </c>
      <c r="W749" s="147">
        <v>1</v>
      </c>
      <c r="X749" s="147">
        <v>2</v>
      </c>
      <c r="Y749" s="146" t="s">
        <v>194</v>
      </c>
      <c r="Z749" s="146" t="s">
        <v>195</v>
      </c>
      <c r="AA749" s="146" t="s">
        <v>196</v>
      </c>
      <c r="AB749" s="146" t="s">
        <v>187</v>
      </c>
      <c r="AC749" s="146" t="s">
        <v>187</v>
      </c>
      <c r="AD749" s="148"/>
      <c r="AE749" s="146" t="s">
        <v>209</v>
      </c>
      <c r="AF749" s="147">
        <v>-2.16192979482418</v>
      </c>
      <c r="AG749" s="149">
        <v>138.35421957737199</v>
      </c>
      <c r="AM749" s="133" t="str" cm="1">
        <f t="array" ref="AM749">IF(ROWS($AN$2:$AN748)&lt;=$AN$2,INDEX($V$3:$V$3000,_xlfn.AGGREGATE(15,3,($B$3:$B$3000=$AM$2)/($B$3:$B$3000=$AM$2)*(ROW($B$3:$B$3000)-ROW($B$2)),ROWS($AN$2:$AN748))),"")</f>
        <v/>
      </c>
      <c r="AN749" s="134" t="str" cm="1">
        <f t="array" ref="AN749">IF(ROWS($AN$2:$AN748)&lt;=$AN$2,INDEX($F$3:$F$3000,_xlfn.AGGREGATE(15,3,($B$3:$B$3000=$AM$2)/($B$3:$B$3000=$AM$2)*(ROW($B$3:$B$3000)-ROW($B$2)),ROWS($AN$2:$AN748))),"")</f>
        <v/>
      </c>
      <c r="AO749" s="135" t="str" cm="1">
        <f t="array" ref="AO749">IF(ROWS($AN$2:$AN748)&lt;=$AN$2,INDEX($G$3:$G$3000,_xlfn.AGGREGATE(15,3,($B$3:$B$3000=$AM$2)/($B$3:$B$3000=$AM$2)*(ROW($B$3:$B$3000)-ROW($B$2)),ROWS($AN$2:$AN748))),"")</f>
        <v/>
      </c>
      <c r="AP749" s="121"/>
      <c r="AT749" s="111"/>
      <c r="AW749" s="134"/>
      <c r="AX749" s="136"/>
      <c r="AY749" s="134"/>
    </row>
    <row r="750" spans="1:51" s="110" customFormat="1" ht="20" customHeight="1">
      <c r="A750" s="125" t="s">
        <v>185</v>
      </c>
      <c r="B750" s="126" t="s">
        <v>59</v>
      </c>
      <c r="C750" s="127">
        <v>14788</v>
      </c>
      <c r="D750" s="145">
        <v>108756</v>
      </c>
      <c r="E750" s="146" t="s">
        <v>1870</v>
      </c>
      <c r="F750" s="146" t="s">
        <v>1870</v>
      </c>
      <c r="G750" s="147">
        <v>400</v>
      </c>
      <c r="H750" s="147">
        <v>4</v>
      </c>
      <c r="I750" s="146" t="s">
        <v>209</v>
      </c>
      <c r="J750" s="146" t="s">
        <v>1871</v>
      </c>
      <c r="K750" s="146" t="s">
        <v>1870</v>
      </c>
      <c r="L750" s="147">
        <v>1</v>
      </c>
      <c r="M750" s="147">
        <v>1</v>
      </c>
      <c r="N750" s="146" t="s">
        <v>1544</v>
      </c>
      <c r="O750" s="147">
        <v>75</v>
      </c>
      <c r="P750" s="147">
        <v>7</v>
      </c>
      <c r="Q750" s="147">
        <v>19</v>
      </c>
      <c r="R750" s="146" t="s">
        <v>654</v>
      </c>
      <c r="S750" s="146" t="s">
        <v>655</v>
      </c>
      <c r="T750" s="147">
        <v>244</v>
      </c>
      <c r="U750" s="146" t="s">
        <v>656</v>
      </c>
      <c r="V750" s="146" t="s">
        <v>657</v>
      </c>
      <c r="W750" s="147">
        <v>1</v>
      </c>
      <c r="X750" s="147">
        <v>2</v>
      </c>
      <c r="Y750" s="146" t="s">
        <v>194</v>
      </c>
      <c r="Z750" s="146" t="s">
        <v>195</v>
      </c>
      <c r="AA750" s="146" t="s">
        <v>196</v>
      </c>
      <c r="AB750" s="146" t="s">
        <v>187</v>
      </c>
      <c r="AC750" s="146" t="s">
        <v>187</v>
      </c>
      <c r="AD750" s="148"/>
      <c r="AE750" s="146" t="s">
        <v>209</v>
      </c>
      <c r="AF750" s="147">
        <v>-3.21787</v>
      </c>
      <c r="AG750" s="149">
        <v>139.59875</v>
      </c>
      <c r="AM750" s="133" t="str" cm="1">
        <f t="array" ref="AM750">IF(ROWS($AN$2:$AN749)&lt;=$AN$2,INDEX($V$3:$V$3000,_xlfn.AGGREGATE(15,3,($B$3:$B$3000=$AM$2)/($B$3:$B$3000=$AM$2)*(ROW($B$3:$B$3000)-ROW($B$2)),ROWS($AN$2:$AN749))),"")</f>
        <v/>
      </c>
      <c r="AN750" s="134" t="str" cm="1">
        <f t="array" ref="AN750">IF(ROWS($AN$2:$AN749)&lt;=$AN$2,INDEX($F$3:$F$3000,_xlfn.AGGREGATE(15,3,($B$3:$B$3000=$AM$2)/($B$3:$B$3000=$AM$2)*(ROW($B$3:$B$3000)-ROW($B$2)),ROWS($AN$2:$AN749))),"")</f>
        <v/>
      </c>
      <c r="AO750" s="135" t="str" cm="1">
        <f t="array" ref="AO750">IF(ROWS($AN$2:$AN749)&lt;=$AN$2,INDEX($G$3:$G$3000,_xlfn.AGGREGATE(15,3,($B$3:$B$3000=$AM$2)/($B$3:$B$3000=$AM$2)*(ROW($B$3:$B$3000)-ROW($B$2)),ROWS($AN$2:$AN749))),"")</f>
        <v/>
      </c>
      <c r="AP750" s="121"/>
      <c r="AT750" s="111"/>
      <c r="AW750" s="134"/>
      <c r="AX750" s="136"/>
      <c r="AY750" s="134"/>
    </row>
    <row r="751" spans="1:51" s="110" customFormat="1" ht="20" customHeight="1">
      <c r="A751" s="125" t="s">
        <v>185</v>
      </c>
      <c r="B751" s="126" t="s">
        <v>59</v>
      </c>
      <c r="C751" s="127">
        <v>14792</v>
      </c>
      <c r="D751" s="145">
        <v>108760</v>
      </c>
      <c r="E751" s="146" t="s">
        <v>1872</v>
      </c>
      <c r="F751" s="146" t="s">
        <v>1872</v>
      </c>
      <c r="G751" s="147">
        <v>400</v>
      </c>
      <c r="H751" s="147">
        <v>4</v>
      </c>
      <c r="I751" s="146" t="s">
        <v>209</v>
      </c>
      <c r="J751" s="146" t="s">
        <v>1873</v>
      </c>
      <c r="K751" s="146" t="s">
        <v>1872</v>
      </c>
      <c r="L751" s="147">
        <v>1</v>
      </c>
      <c r="M751" s="147">
        <v>1</v>
      </c>
      <c r="N751" s="146" t="s">
        <v>1544</v>
      </c>
      <c r="O751" s="147">
        <v>65</v>
      </c>
      <c r="P751" s="147">
        <v>4</v>
      </c>
      <c r="Q751" s="147">
        <v>19</v>
      </c>
      <c r="R751" s="146" t="s">
        <v>654</v>
      </c>
      <c r="S751" s="146" t="s">
        <v>655</v>
      </c>
      <c r="T751" s="147">
        <v>244</v>
      </c>
      <c r="U751" s="146" t="s">
        <v>656</v>
      </c>
      <c r="V751" s="146" t="s">
        <v>657</v>
      </c>
      <c r="W751" s="147">
        <v>1</v>
      </c>
      <c r="X751" s="147">
        <v>2</v>
      </c>
      <c r="Y751" s="146" t="s">
        <v>194</v>
      </c>
      <c r="Z751" s="146" t="s">
        <v>195</v>
      </c>
      <c r="AA751" s="146" t="s">
        <v>196</v>
      </c>
      <c r="AB751" s="146" t="s">
        <v>187</v>
      </c>
      <c r="AC751" s="146" t="s">
        <v>187</v>
      </c>
      <c r="AD751" s="148"/>
      <c r="AE751" s="146" t="s">
        <v>209</v>
      </c>
      <c r="AF751" s="147">
        <v>-1.9121900000000001</v>
      </c>
      <c r="AG751" s="149">
        <v>136.29548</v>
      </c>
      <c r="AM751" s="133" t="str" cm="1">
        <f t="array" ref="AM751">IF(ROWS($AN$2:$AN750)&lt;=$AN$2,INDEX($V$3:$V$3000,_xlfn.AGGREGATE(15,3,($B$3:$B$3000=$AM$2)/($B$3:$B$3000=$AM$2)*(ROW($B$3:$B$3000)-ROW($B$2)),ROWS($AN$2:$AN750))),"")</f>
        <v/>
      </c>
      <c r="AN751" s="134" t="str" cm="1">
        <f t="array" ref="AN751">IF(ROWS($AN$2:$AN750)&lt;=$AN$2,INDEX($F$3:$F$3000,_xlfn.AGGREGATE(15,3,($B$3:$B$3000=$AM$2)/($B$3:$B$3000=$AM$2)*(ROW($B$3:$B$3000)-ROW($B$2)),ROWS($AN$2:$AN750))),"")</f>
        <v/>
      </c>
      <c r="AO751" s="135" t="str" cm="1">
        <f t="array" ref="AO751">IF(ROWS($AN$2:$AN750)&lt;=$AN$2,INDEX($G$3:$G$3000,_xlfn.AGGREGATE(15,3,($B$3:$B$3000=$AM$2)/($B$3:$B$3000=$AM$2)*(ROW($B$3:$B$3000)-ROW($B$2)),ROWS($AN$2:$AN750))),"")</f>
        <v/>
      </c>
      <c r="AP751" s="121"/>
      <c r="AT751" s="111"/>
      <c r="AW751" s="134"/>
      <c r="AX751" s="136"/>
      <c r="AY751" s="134"/>
    </row>
    <row r="752" spans="1:51" s="110" customFormat="1" ht="20" customHeight="1">
      <c r="A752" s="125" t="s">
        <v>185</v>
      </c>
      <c r="B752" s="126" t="s">
        <v>59</v>
      </c>
      <c r="C752" s="127">
        <v>19542</v>
      </c>
      <c r="D752" s="145">
        <v>115435</v>
      </c>
      <c r="E752" s="146" t="s">
        <v>1881</v>
      </c>
      <c r="F752" s="146" t="s">
        <v>1881</v>
      </c>
      <c r="G752" s="147">
        <v>400</v>
      </c>
      <c r="H752" s="147">
        <v>4</v>
      </c>
      <c r="I752" s="146" t="s">
        <v>209</v>
      </c>
      <c r="J752" s="146" t="s">
        <v>1882</v>
      </c>
      <c r="K752" s="146" t="s">
        <v>1881</v>
      </c>
      <c r="L752" s="147">
        <v>0</v>
      </c>
      <c r="M752" s="147">
        <v>1</v>
      </c>
      <c r="N752" s="146" t="s">
        <v>1544</v>
      </c>
      <c r="O752" s="147">
        <v>60</v>
      </c>
      <c r="P752" s="147">
        <v>4</v>
      </c>
      <c r="Q752" s="147">
        <v>19</v>
      </c>
      <c r="R752" s="146" t="s">
        <v>654</v>
      </c>
      <c r="S752" s="146" t="s">
        <v>655</v>
      </c>
      <c r="T752" s="147">
        <v>244</v>
      </c>
      <c r="U752" s="146" t="s">
        <v>656</v>
      </c>
      <c r="V752" s="146" t="s">
        <v>657</v>
      </c>
      <c r="W752" s="147">
        <v>1</v>
      </c>
      <c r="X752" s="147">
        <v>2</v>
      </c>
      <c r="Y752" s="146" t="s">
        <v>194</v>
      </c>
      <c r="Z752" s="146" t="s">
        <v>195</v>
      </c>
      <c r="AA752" s="146" t="s">
        <v>196</v>
      </c>
      <c r="AB752" s="146" t="s">
        <v>187</v>
      </c>
      <c r="AC752" s="146" t="s">
        <v>187</v>
      </c>
      <c r="AD752" s="148"/>
      <c r="AE752" s="146" t="s">
        <v>209</v>
      </c>
      <c r="AF752" s="147">
        <v>-0.31260500000000002</v>
      </c>
      <c r="AG752" s="149">
        <v>131.19779399999999</v>
      </c>
      <c r="AM752" s="133" t="str" cm="1">
        <f t="array" ref="AM752">IF(ROWS($AN$2:$AN751)&lt;=$AN$2,INDEX($V$3:$V$3000,_xlfn.AGGREGATE(15,3,($B$3:$B$3000=$AM$2)/($B$3:$B$3000=$AM$2)*(ROW($B$3:$B$3000)-ROW($B$2)),ROWS($AN$2:$AN751))),"")</f>
        <v/>
      </c>
      <c r="AN752" s="134" t="str" cm="1">
        <f t="array" ref="AN752">IF(ROWS($AN$2:$AN751)&lt;=$AN$2,INDEX($F$3:$F$3000,_xlfn.AGGREGATE(15,3,($B$3:$B$3000=$AM$2)/($B$3:$B$3000=$AM$2)*(ROW($B$3:$B$3000)-ROW($B$2)),ROWS($AN$2:$AN751))),"")</f>
        <v/>
      </c>
      <c r="AO752" s="135" t="str" cm="1">
        <f t="array" ref="AO752">IF(ROWS($AN$2:$AN751)&lt;=$AN$2,INDEX($G$3:$G$3000,_xlfn.AGGREGATE(15,3,($B$3:$B$3000=$AM$2)/($B$3:$B$3000=$AM$2)*(ROW($B$3:$B$3000)-ROW($B$2)),ROWS($AN$2:$AN751))),"")</f>
        <v/>
      </c>
      <c r="AP752" s="121"/>
      <c r="AT752" s="111"/>
      <c r="AW752" s="134"/>
      <c r="AX752" s="136"/>
      <c r="AY752" s="134"/>
    </row>
    <row r="753" spans="1:51" s="110" customFormat="1" ht="20" customHeight="1">
      <c r="A753" s="125" t="s">
        <v>185</v>
      </c>
      <c r="B753" s="126" t="s">
        <v>59</v>
      </c>
      <c r="C753" s="127">
        <v>18952</v>
      </c>
      <c r="D753" s="145">
        <v>115410</v>
      </c>
      <c r="E753" s="146" t="s">
        <v>1760</v>
      </c>
      <c r="F753" s="146" t="s">
        <v>1760</v>
      </c>
      <c r="G753" s="147">
        <v>300</v>
      </c>
      <c r="H753" s="147">
        <v>4</v>
      </c>
      <c r="I753" s="146" t="s">
        <v>209</v>
      </c>
      <c r="J753" s="146" t="s">
        <v>1761</v>
      </c>
      <c r="K753" s="146" t="s">
        <v>1760</v>
      </c>
      <c r="L753" s="147">
        <v>0</v>
      </c>
      <c r="M753" s="147">
        <v>1</v>
      </c>
      <c r="N753" s="146" t="s">
        <v>1544</v>
      </c>
      <c r="O753" s="147">
        <v>80</v>
      </c>
      <c r="P753" s="147">
        <v>5</v>
      </c>
      <c r="Q753" s="147">
        <v>19</v>
      </c>
      <c r="R753" s="146" t="s">
        <v>654</v>
      </c>
      <c r="S753" s="146" t="s">
        <v>655</v>
      </c>
      <c r="T753" s="147">
        <v>244</v>
      </c>
      <c r="U753" s="146" t="s">
        <v>656</v>
      </c>
      <c r="V753" s="146" t="s">
        <v>657</v>
      </c>
      <c r="W753" s="147">
        <v>1</v>
      </c>
      <c r="X753" s="147">
        <v>2</v>
      </c>
      <c r="Y753" s="146" t="s">
        <v>194</v>
      </c>
      <c r="Z753" s="146" t="s">
        <v>195</v>
      </c>
      <c r="AA753" s="146" t="s">
        <v>196</v>
      </c>
      <c r="AB753" s="146" t="s">
        <v>187</v>
      </c>
      <c r="AC753" s="146" t="s">
        <v>187</v>
      </c>
      <c r="AD753" s="148"/>
      <c r="AE753" s="146" t="s">
        <v>209</v>
      </c>
      <c r="AF753" s="147">
        <v>-2.3963899999999998</v>
      </c>
      <c r="AG753" s="149">
        <v>139.84610000000001</v>
      </c>
      <c r="AM753" s="133" t="str" cm="1">
        <f t="array" ref="AM753">IF(ROWS($AN$2:$AN752)&lt;=$AN$2,INDEX($V$3:$V$3000,_xlfn.AGGREGATE(15,3,($B$3:$B$3000=$AM$2)/($B$3:$B$3000=$AM$2)*(ROW($B$3:$B$3000)-ROW($B$2)),ROWS($AN$2:$AN752))),"")</f>
        <v/>
      </c>
      <c r="AN753" s="134" t="str" cm="1">
        <f t="array" ref="AN753">IF(ROWS($AN$2:$AN752)&lt;=$AN$2,INDEX($F$3:$F$3000,_xlfn.AGGREGATE(15,3,($B$3:$B$3000=$AM$2)/($B$3:$B$3000=$AM$2)*(ROW($B$3:$B$3000)-ROW($B$2)),ROWS($AN$2:$AN752))),"")</f>
        <v/>
      </c>
      <c r="AO753" s="135" t="str" cm="1">
        <f t="array" ref="AO753">IF(ROWS($AN$2:$AN752)&lt;=$AN$2,INDEX($G$3:$G$3000,_xlfn.AGGREGATE(15,3,($B$3:$B$3000=$AM$2)/($B$3:$B$3000=$AM$2)*(ROW($B$3:$B$3000)-ROW($B$2)),ROWS($AN$2:$AN752))),"")</f>
        <v/>
      </c>
      <c r="AP753" s="121"/>
      <c r="AT753" s="111"/>
      <c r="AW753" s="134"/>
      <c r="AX753" s="136"/>
      <c r="AY753" s="134"/>
    </row>
    <row r="754" spans="1:51" s="110" customFormat="1" ht="20" customHeight="1">
      <c r="A754" s="125" t="s">
        <v>185</v>
      </c>
      <c r="B754" s="126" t="s">
        <v>59</v>
      </c>
      <c r="C754" s="127">
        <v>13059</v>
      </c>
      <c r="D754" s="145">
        <v>105766</v>
      </c>
      <c r="E754" s="146" t="s">
        <v>1762</v>
      </c>
      <c r="F754" s="146" t="s">
        <v>1762</v>
      </c>
      <c r="G754" s="147">
        <v>300</v>
      </c>
      <c r="H754" s="147">
        <v>4</v>
      </c>
      <c r="I754" s="146" t="s">
        <v>209</v>
      </c>
      <c r="J754" s="146" t="s">
        <v>1763</v>
      </c>
      <c r="K754" s="146" t="s">
        <v>1762</v>
      </c>
      <c r="L754" s="147">
        <v>0</v>
      </c>
      <c r="M754" s="147">
        <v>1</v>
      </c>
      <c r="N754" s="146" t="s">
        <v>1544</v>
      </c>
      <c r="O754" s="147">
        <v>80</v>
      </c>
      <c r="P754" s="147">
        <v>10</v>
      </c>
      <c r="Q754" s="147">
        <v>19</v>
      </c>
      <c r="R754" s="146" t="s">
        <v>654</v>
      </c>
      <c r="S754" s="146" t="s">
        <v>655</v>
      </c>
      <c r="T754" s="147">
        <v>244</v>
      </c>
      <c r="U754" s="146" t="s">
        <v>656</v>
      </c>
      <c r="V754" s="146" t="s">
        <v>657</v>
      </c>
      <c r="W754" s="147">
        <v>1</v>
      </c>
      <c r="X754" s="147">
        <v>2</v>
      </c>
      <c r="Y754" s="146" t="s">
        <v>194</v>
      </c>
      <c r="Z754" s="146" t="s">
        <v>195</v>
      </c>
      <c r="AA754" s="146" t="s">
        <v>196</v>
      </c>
      <c r="AB754" s="146" t="s">
        <v>187</v>
      </c>
      <c r="AC754" s="146" t="s">
        <v>187</v>
      </c>
      <c r="AD754" s="148"/>
      <c r="AE754" s="146" t="s">
        <v>209</v>
      </c>
      <c r="AF754" s="147">
        <v>-1.605089</v>
      </c>
      <c r="AG754" s="149">
        <v>138.727676</v>
      </c>
      <c r="AM754" s="133" t="str" cm="1">
        <f t="array" ref="AM754">IF(ROWS($AN$2:$AN753)&lt;=$AN$2,INDEX($V$3:$V$3000,_xlfn.AGGREGATE(15,3,($B$3:$B$3000=$AM$2)/($B$3:$B$3000=$AM$2)*(ROW($B$3:$B$3000)-ROW($B$2)),ROWS($AN$2:$AN753))),"")</f>
        <v/>
      </c>
      <c r="AN754" s="134" t="str" cm="1">
        <f t="array" ref="AN754">IF(ROWS($AN$2:$AN753)&lt;=$AN$2,INDEX($F$3:$F$3000,_xlfn.AGGREGATE(15,3,($B$3:$B$3000=$AM$2)/($B$3:$B$3000=$AM$2)*(ROW($B$3:$B$3000)-ROW($B$2)),ROWS($AN$2:$AN753))),"")</f>
        <v/>
      </c>
      <c r="AO754" s="135" t="str" cm="1">
        <f t="array" ref="AO754">IF(ROWS($AN$2:$AN753)&lt;=$AN$2,INDEX($G$3:$G$3000,_xlfn.AGGREGATE(15,3,($B$3:$B$3000=$AM$2)/($B$3:$B$3000=$AM$2)*(ROW($B$3:$B$3000)-ROW($B$2)),ROWS($AN$2:$AN753))),"")</f>
        <v/>
      </c>
      <c r="AP754" s="121"/>
      <c r="AT754" s="111"/>
      <c r="AW754" s="134"/>
      <c r="AX754" s="136"/>
      <c r="AY754" s="134"/>
    </row>
    <row r="755" spans="1:51" s="110" customFormat="1" ht="20" customHeight="1">
      <c r="A755" s="125" t="s">
        <v>185</v>
      </c>
      <c r="B755" s="126" t="s">
        <v>59</v>
      </c>
      <c r="C755" s="127">
        <v>14522</v>
      </c>
      <c r="D755" s="145">
        <v>108306</v>
      </c>
      <c r="E755" s="146" t="s">
        <v>1769</v>
      </c>
      <c r="F755" s="146" t="s">
        <v>1769</v>
      </c>
      <c r="G755" s="147">
        <v>300</v>
      </c>
      <c r="H755" s="147">
        <v>4</v>
      </c>
      <c r="I755" s="146" t="s">
        <v>209</v>
      </c>
      <c r="J755" s="146" t="s">
        <v>1770</v>
      </c>
      <c r="K755" s="146" t="s">
        <v>1769</v>
      </c>
      <c r="L755" s="147">
        <v>1</v>
      </c>
      <c r="M755" s="147">
        <v>1</v>
      </c>
      <c r="N755" s="146" t="s">
        <v>1544</v>
      </c>
      <c r="O755" s="147">
        <v>75</v>
      </c>
      <c r="P755" s="147">
        <v>4</v>
      </c>
      <c r="Q755" s="147">
        <v>19</v>
      </c>
      <c r="R755" s="146" t="s">
        <v>654</v>
      </c>
      <c r="S755" s="146" t="s">
        <v>655</v>
      </c>
      <c r="T755" s="147">
        <v>244</v>
      </c>
      <c r="U755" s="146" t="s">
        <v>656</v>
      </c>
      <c r="V755" s="146" t="s">
        <v>657</v>
      </c>
      <c r="W755" s="147">
        <v>1</v>
      </c>
      <c r="X755" s="147">
        <v>2</v>
      </c>
      <c r="Y755" s="146" t="s">
        <v>194</v>
      </c>
      <c r="Z755" s="146" t="s">
        <v>195</v>
      </c>
      <c r="AA755" s="146" t="s">
        <v>196</v>
      </c>
      <c r="AB755" s="146" t="s">
        <v>187</v>
      </c>
      <c r="AC755" s="146" t="s">
        <v>187</v>
      </c>
      <c r="AD755" s="148"/>
      <c r="AE755" s="146" t="s">
        <v>209</v>
      </c>
      <c r="AF755" s="147">
        <v>-2.3507400000000001</v>
      </c>
      <c r="AG755" s="149">
        <v>136.40698</v>
      </c>
      <c r="AM755" s="133" t="str" cm="1">
        <f t="array" ref="AM755">IF(ROWS($AN$2:$AN754)&lt;=$AN$2,INDEX($V$3:$V$3000,_xlfn.AGGREGATE(15,3,($B$3:$B$3000=$AM$2)/($B$3:$B$3000=$AM$2)*(ROW($B$3:$B$3000)-ROW($B$2)),ROWS($AN$2:$AN754))),"")</f>
        <v/>
      </c>
      <c r="AN755" s="134" t="str" cm="1">
        <f t="array" ref="AN755">IF(ROWS($AN$2:$AN754)&lt;=$AN$2,INDEX($F$3:$F$3000,_xlfn.AGGREGATE(15,3,($B$3:$B$3000=$AM$2)/($B$3:$B$3000=$AM$2)*(ROW($B$3:$B$3000)-ROW($B$2)),ROWS($AN$2:$AN754))),"")</f>
        <v/>
      </c>
      <c r="AO755" s="135" t="str" cm="1">
        <f t="array" ref="AO755">IF(ROWS($AN$2:$AN754)&lt;=$AN$2,INDEX($G$3:$G$3000,_xlfn.AGGREGATE(15,3,($B$3:$B$3000=$AM$2)/($B$3:$B$3000=$AM$2)*(ROW($B$3:$B$3000)-ROW($B$2)),ROWS($AN$2:$AN754))),"")</f>
        <v/>
      </c>
      <c r="AP755" s="121"/>
      <c r="AT755" s="111"/>
      <c r="AW755" s="134"/>
      <c r="AX755" s="136"/>
      <c r="AY755" s="134"/>
    </row>
    <row r="756" spans="1:51" s="110" customFormat="1" ht="20" customHeight="1">
      <c r="A756" s="125" t="s">
        <v>185</v>
      </c>
      <c r="B756" s="126" t="s">
        <v>59</v>
      </c>
      <c r="C756" s="127">
        <v>15076</v>
      </c>
      <c r="D756" s="145">
        <v>109532</v>
      </c>
      <c r="E756" s="146" t="s">
        <v>1774</v>
      </c>
      <c r="F756" s="146" t="s">
        <v>1775</v>
      </c>
      <c r="G756" s="147">
        <v>300</v>
      </c>
      <c r="H756" s="147">
        <v>4</v>
      </c>
      <c r="I756" s="146" t="s">
        <v>209</v>
      </c>
      <c r="J756" s="146" t="s">
        <v>1776</v>
      </c>
      <c r="K756" s="146" t="s">
        <v>1774</v>
      </c>
      <c r="L756" s="147">
        <v>1</v>
      </c>
      <c r="M756" s="147">
        <v>1</v>
      </c>
      <c r="N756" s="146" t="s">
        <v>1544</v>
      </c>
      <c r="O756" s="147">
        <v>80</v>
      </c>
      <c r="P756" s="147">
        <v>10</v>
      </c>
      <c r="Q756" s="147">
        <v>19</v>
      </c>
      <c r="R756" s="146" t="s">
        <v>654</v>
      </c>
      <c r="S756" s="146" t="s">
        <v>655</v>
      </c>
      <c r="T756" s="147">
        <v>244</v>
      </c>
      <c r="U756" s="146" t="s">
        <v>656</v>
      </c>
      <c r="V756" s="146" t="s">
        <v>657</v>
      </c>
      <c r="W756" s="147">
        <v>2</v>
      </c>
      <c r="X756" s="147">
        <v>2</v>
      </c>
      <c r="Y756" s="146" t="s">
        <v>194</v>
      </c>
      <c r="Z756" s="146" t="s">
        <v>195</v>
      </c>
      <c r="AA756" s="146" t="s">
        <v>196</v>
      </c>
      <c r="AB756" s="146" t="s">
        <v>187</v>
      </c>
      <c r="AC756" s="146" t="s">
        <v>187</v>
      </c>
      <c r="AD756" s="148"/>
      <c r="AE756" s="146" t="s">
        <v>209</v>
      </c>
      <c r="AF756" s="147">
        <v>-3.4267500000000002</v>
      </c>
      <c r="AG756" s="149">
        <v>140.94745</v>
      </c>
      <c r="AM756" s="133" t="str" cm="1">
        <f t="array" ref="AM756">IF(ROWS($AN$2:$AN755)&lt;=$AN$2,INDEX($V$3:$V$3000,_xlfn.AGGREGATE(15,3,($B$3:$B$3000=$AM$2)/($B$3:$B$3000=$AM$2)*(ROW($B$3:$B$3000)-ROW($B$2)),ROWS($AN$2:$AN755))),"")</f>
        <v/>
      </c>
      <c r="AN756" s="134" t="str" cm="1">
        <f t="array" ref="AN756">IF(ROWS($AN$2:$AN755)&lt;=$AN$2,INDEX($F$3:$F$3000,_xlfn.AGGREGATE(15,3,($B$3:$B$3000=$AM$2)/($B$3:$B$3000=$AM$2)*(ROW($B$3:$B$3000)-ROW($B$2)),ROWS($AN$2:$AN755))),"")</f>
        <v/>
      </c>
      <c r="AO756" s="135" t="str" cm="1">
        <f t="array" ref="AO756">IF(ROWS($AN$2:$AN755)&lt;=$AN$2,INDEX($G$3:$G$3000,_xlfn.AGGREGATE(15,3,($B$3:$B$3000=$AM$2)/($B$3:$B$3000=$AM$2)*(ROW($B$3:$B$3000)-ROW($B$2)),ROWS($AN$2:$AN755))),"")</f>
        <v/>
      </c>
      <c r="AP756" s="121"/>
      <c r="AT756" s="111"/>
      <c r="AW756" s="134"/>
      <c r="AX756" s="136"/>
      <c r="AY756" s="134"/>
    </row>
    <row r="757" spans="1:51" s="110" customFormat="1" ht="20" customHeight="1">
      <c r="A757" s="125" t="s">
        <v>185</v>
      </c>
      <c r="B757" s="126" t="s">
        <v>59</v>
      </c>
      <c r="C757" s="127">
        <v>15261</v>
      </c>
      <c r="D757" s="145">
        <v>109839</v>
      </c>
      <c r="E757" s="146" t="s">
        <v>1777</v>
      </c>
      <c r="F757" s="146" t="s">
        <v>1777</v>
      </c>
      <c r="G757" s="147">
        <v>300</v>
      </c>
      <c r="H757" s="147">
        <v>4</v>
      </c>
      <c r="I757" s="146" t="s">
        <v>209</v>
      </c>
      <c r="J757" s="146" t="s">
        <v>1586</v>
      </c>
      <c r="K757" s="146" t="s">
        <v>1587</v>
      </c>
      <c r="L757" s="147">
        <v>1</v>
      </c>
      <c r="M757" s="147">
        <v>1</v>
      </c>
      <c r="N757" s="146" t="s">
        <v>1544</v>
      </c>
      <c r="O757" s="147">
        <v>64</v>
      </c>
      <c r="P757" s="147">
        <v>3</v>
      </c>
      <c r="Q757" s="147">
        <v>19</v>
      </c>
      <c r="R757" s="146" t="s">
        <v>654</v>
      </c>
      <c r="S757" s="146" t="s">
        <v>655</v>
      </c>
      <c r="T757" s="147">
        <v>244</v>
      </c>
      <c r="U757" s="146" t="s">
        <v>656</v>
      </c>
      <c r="V757" s="146" t="s">
        <v>657</v>
      </c>
      <c r="W757" s="147">
        <v>1</v>
      </c>
      <c r="X757" s="147">
        <v>2</v>
      </c>
      <c r="Y757" s="146" t="s">
        <v>194</v>
      </c>
      <c r="Z757" s="146" t="s">
        <v>195</v>
      </c>
      <c r="AA757" s="146" t="s">
        <v>196</v>
      </c>
      <c r="AB757" s="146" t="s">
        <v>187</v>
      </c>
      <c r="AC757" s="146" t="s">
        <v>187</v>
      </c>
      <c r="AD757" s="148"/>
      <c r="AE757" s="146" t="s">
        <v>209</v>
      </c>
      <c r="AF757" s="147">
        <v>-2.9660299999999999</v>
      </c>
      <c r="AG757" s="149">
        <v>138.24994000000001</v>
      </c>
      <c r="AM757" s="133" t="str" cm="1">
        <f t="array" ref="AM757">IF(ROWS($AN$2:$AN756)&lt;=$AN$2,INDEX($V$3:$V$3000,_xlfn.AGGREGATE(15,3,($B$3:$B$3000=$AM$2)/($B$3:$B$3000=$AM$2)*(ROW($B$3:$B$3000)-ROW($B$2)),ROWS($AN$2:$AN756))),"")</f>
        <v/>
      </c>
      <c r="AN757" s="134" t="str" cm="1">
        <f t="array" ref="AN757">IF(ROWS($AN$2:$AN756)&lt;=$AN$2,INDEX($F$3:$F$3000,_xlfn.AGGREGATE(15,3,($B$3:$B$3000=$AM$2)/($B$3:$B$3000=$AM$2)*(ROW($B$3:$B$3000)-ROW($B$2)),ROWS($AN$2:$AN756))),"")</f>
        <v/>
      </c>
      <c r="AO757" s="135" t="str" cm="1">
        <f t="array" ref="AO757">IF(ROWS($AN$2:$AN756)&lt;=$AN$2,INDEX($G$3:$G$3000,_xlfn.AGGREGATE(15,3,($B$3:$B$3000=$AM$2)/($B$3:$B$3000=$AM$2)*(ROW($B$3:$B$3000)-ROW($B$2)),ROWS($AN$2:$AN756))),"")</f>
        <v/>
      </c>
      <c r="AP757" s="121"/>
      <c r="AT757" s="111"/>
      <c r="AW757" s="134"/>
      <c r="AX757" s="136"/>
      <c r="AY757" s="134"/>
    </row>
    <row r="758" spans="1:51" s="110" customFormat="1" ht="20" customHeight="1">
      <c r="A758" s="125" t="s">
        <v>185</v>
      </c>
      <c r="B758" s="126" t="s">
        <v>59</v>
      </c>
      <c r="C758" s="127">
        <v>15292</v>
      </c>
      <c r="D758" s="145">
        <v>109887</v>
      </c>
      <c r="E758" s="146" t="s">
        <v>1778</v>
      </c>
      <c r="F758" s="146" t="s">
        <v>1779</v>
      </c>
      <c r="G758" s="147">
        <v>300</v>
      </c>
      <c r="H758" s="147">
        <v>4</v>
      </c>
      <c r="I758" s="146" t="s">
        <v>209</v>
      </c>
      <c r="J758" s="146" t="s">
        <v>1780</v>
      </c>
      <c r="K758" s="146" t="s">
        <v>1781</v>
      </c>
      <c r="L758" s="147">
        <v>2</v>
      </c>
      <c r="M758" s="147">
        <v>1</v>
      </c>
      <c r="N758" s="146" t="s">
        <v>1544</v>
      </c>
      <c r="O758" s="147">
        <v>60</v>
      </c>
      <c r="P758" s="147">
        <v>5</v>
      </c>
      <c r="Q758" s="147">
        <v>19</v>
      </c>
      <c r="R758" s="146" t="s">
        <v>654</v>
      </c>
      <c r="S758" s="146" t="s">
        <v>655</v>
      </c>
      <c r="T758" s="147">
        <v>244</v>
      </c>
      <c r="U758" s="146" t="s">
        <v>656</v>
      </c>
      <c r="V758" s="146" t="s">
        <v>657</v>
      </c>
      <c r="W758" s="147">
        <v>1</v>
      </c>
      <c r="X758" s="147">
        <v>2</v>
      </c>
      <c r="Y758" s="146" t="s">
        <v>194</v>
      </c>
      <c r="Z758" s="146" t="s">
        <v>195</v>
      </c>
      <c r="AA758" s="146" t="s">
        <v>196</v>
      </c>
      <c r="AB758" s="146" t="s">
        <v>187</v>
      </c>
      <c r="AC758" s="146" t="s">
        <v>187</v>
      </c>
      <c r="AD758" s="148"/>
      <c r="AE758" s="146" t="s">
        <v>209</v>
      </c>
      <c r="AF758" s="147">
        <v>-2.4920200000000001</v>
      </c>
      <c r="AG758" s="149">
        <v>138.20817</v>
      </c>
      <c r="AM758" s="133" t="str" cm="1">
        <f t="array" ref="AM758">IF(ROWS($AN$2:$AN757)&lt;=$AN$2,INDEX($V$3:$V$3000,_xlfn.AGGREGATE(15,3,($B$3:$B$3000=$AM$2)/($B$3:$B$3000=$AM$2)*(ROW($B$3:$B$3000)-ROW($B$2)),ROWS($AN$2:$AN757))),"")</f>
        <v/>
      </c>
      <c r="AN758" s="134" t="str" cm="1">
        <f t="array" ref="AN758">IF(ROWS($AN$2:$AN757)&lt;=$AN$2,INDEX($F$3:$F$3000,_xlfn.AGGREGATE(15,3,($B$3:$B$3000=$AM$2)/($B$3:$B$3000=$AM$2)*(ROW($B$3:$B$3000)-ROW($B$2)),ROWS($AN$2:$AN757))),"")</f>
        <v/>
      </c>
      <c r="AO758" s="135" t="str" cm="1">
        <f t="array" ref="AO758">IF(ROWS($AN$2:$AN757)&lt;=$AN$2,INDEX($G$3:$G$3000,_xlfn.AGGREGATE(15,3,($B$3:$B$3000=$AM$2)/($B$3:$B$3000=$AM$2)*(ROW($B$3:$B$3000)-ROW($B$2)),ROWS($AN$2:$AN757))),"")</f>
        <v/>
      </c>
      <c r="AP758" s="121"/>
      <c r="AT758" s="111"/>
      <c r="AW758" s="134"/>
      <c r="AX758" s="136"/>
      <c r="AY758" s="134"/>
    </row>
    <row r="759" spans="1:51" s="110" customFormat="1" ht="20" customHeight="1">
      <c r="A759" s="125" t="s">
        <v>185</v>
      </c>
      <c r="B759" s="126" t="s">
        <v>59</v>
      </c>
      <c r="C759" s="127">
        <v>15527</v>
      </c>
      <c r="D759" s="145">
        <v>110122</v>
      </c>
      <c r="E759" s="146" t="s">
        <v>1782</v>
      </c>
      <c r="F759" s="146" t="s">
        <v>1782</v>
      </c>
      <c r="G759" s="147">
        <v>300</v>
      </c>
      <c r="H759" s="147">
        <v>4</v>
      </c>
      <c r="I759" s="146" t="s">
        <v>209</v>
      </c>
      <c r="J759" s="146" t="s">
        <v>1783</v>
      </c>
      <c r="K759" s="146" t="s">
        <v>1782</v>
      </c>
      <c r="L759" s="147">
        <v>1</v>
      </c>
      <c r="M759" s="147">
        <v>1</v>
      </c>
      <c r="N759" s="146" t="s">
        <v>1544</v>
      </c>
      <c r="O759" s="147">
        <v>76</v>
      </c>
      <c r="P759" s="147">
        <v>5</v>
      </c>
      <c r="Q759" s="147">
        <v>19</v>
      </c>
      <c r="R759" s="146" t="s">
        <v>654</v>
      </c>
      <c r="S759" s="146" t="s">
        <v>655</v>
      </c>
      <c r="T759" s="147">
        <v>244</v>
      </c>
      <c r="U759" s="146" t="s">
        <v>656</v>
      </c>
      <c r="V759" s="146" t="s">
        <v>657</v>
      </c>
      <c r="W759" s="147">
        <v>1</v>
      </c>
      <c r="X759" s="147">
        <v>2</v>
      </c>
      <c r="Y759" s="146" t="s">
        <v>194</v>
      </c>
      <c r="Z759" s="146" t="s">
        <v>195</v>
      </c>
      <c r="AA759" s="146" t="s">
        <v>196</v>
      </c>
      <c r="AB759" s="146" t="s">
        <v>187</v>
      </c>
      <c r="AC759" s="146" t="s">
        <v>187</v>
      </c>
      <c r="AD759" s="148"/>
      <c r="AE759" s="146" t="s">
        <v>209</v>
      </c>
      <c r="AF759" s="147">
        <v>-3.7698399999999999</v>
      </c>
      <c r="AG759" s="149">
        <v>140.61634000000001</v>
      </c>
      <c r="AM759" s="133" t="str" cm="1">
        <f t="array" ref="AM759">IF(ROWS($AN$2:$AN758)&lt;=$AN$2,INDEX($V$3:$V$3000,_xlfn.AGGREGATE(15,3,($B$3:$B$3000=$AM$2)/($B$3:$B$3000=$AM$2)*(ROW($B$3:$B$3000)-ROW($B$2)),ROWS($AN$2:$AN758))),"")</f>
        <v/>
      </c>
      <c r="AN759" s="134" t="str" cm="1">
        <f t="array" ref="AN759">IF(ROWS($AN$2:$AN758)&lt;=$AN$2,INDEX($F$3:$F$3000,_xlfn.AGGREGATE(15,3,($B$3:$B$3000=$AM$2)/($B$3:$B$3000=$AM$2)*(ROW($B$3:$B$3000)-ROW($B$2)),ROWS($AN$2:$AN758))),"")</f>
        <v/>
      </c>
      <c r="AO759" s="135" t="str" cm="1">
        <f t="array" ref="AO759">IF(ROWS($AN$2:$AN758)&lt;=$AN$2,INDEX($G$3:$G$3000,_xlfn.AGGREGATE(15,3,($B$3:$B$3000=$AM$2)/($B$3:$B$3000=$AM$2)*(ROW($B$3:$B$3000)-ROW($B$2)),ROWS($AN$2:$AN758))),"")</f>
        <v/>
      </c>
      <c r="AP759" s="121"/>
      <c r="AT759" s="111"/>
      <c r="AW759" s="134"/>
      <c r="AX759" s="136"/>
      <c r="AY759" s="134"/>
    </row>
    <row r="760" spans="1:51" s="110" customFormat="1" ht="20" customHeight="1">
      <c r="A760" s="125" t="s">
        <v>185</v>
      </c>
      <c r="B760" s="126" t="s">
        <v>59</v>
      </c>
      <c r="C760" s="127">
        <v>15868</v>
      </c>
      <c r="D760" s="145">
        <v>110692</v>
      </c>
      <c r="E760" s="146" t="s">
        <v>1784</v>
      </c>
      <c r="F760" s="146" t="s">
        <v>1784</v>
      </c>
      <c r="G760" s="147">
        <v>300</v>
      </c>
      <c r="H760" s="147">
        <v>4</v>
      </c>
      <c r="I760" s="146" t="s">
        <v>209</v>
      </c>
      <c r="J760" s="146" t="s">
        <v>1785</v>
      </c>
      <c r="K760" s="146" t="s">
        <v>1784</v>
      </c>
      <c r="L760" s="147">
        <v>0</v>
      </c>
      <c r="M760" s="147">
        <v>1</v>
      </c>
      <c r="N760" s="146" t="s">
        <v>1544</v>
      </c>
      <c r="O760" s="147">
        <v>60</v>
      </c>
      <c r="P760" s="147">
        <v>4</v>
      </c>
      <c r="Q760" s="147">
        <v>19</v>
      </c>
      <c r="R760" s="146" t="s">
        <v>654</v>
      </c>
      <c r="S760" s="146" t="s">
        <v>655</v>
      </c>
      <c r="T760" s="147">
        <v>244</v>
      </c>
      <c r="U760" s="146" t="s">
        <v>656</v>
      </c>
      <c r="V760" s="146" t="s">
        <v>657</v>
      </c>
      <c r="W760" s="147">
        <v>1</v>
      </c>
      <c r="X760" s="147">
        <v>2</v>
      </c>
      <c r="Y760" s="146" t="s">
        <v>194</v>
      </c>
      <c r="Z760" s="146" t="s">
        <v>195</v>
      </c>
      <c r="AA760" s="146" t="s">
        <v>196</v>
      </c>
      <c r="AB760" s="146" t="s">
        <v>187</v>
      </c>
      <c r="AC760" s="146" t="s">
        <v>187</v>
      </c>
      <c r="AD760" s="148"/>
      <c r="AE760" s="146" t="s">
        <v>209</v>
      </c>
      <c r="AF760" s="147">
        <v>-2.47729</v>
      </c>
      <c r="AG760" s="149">
        <v>139.30393000000001</v>
      </c>
      <c r="AM760" s="133" t="str" cm="1">
        <f t="array" ref="AM760">IF(ROWS($AN$2:$AN759)&lt;=$AN$2,INDEX($V$3:$V$3000,_xlfn.AGGREGATE(15,3,($B$3:$B$3000=$AM$2)/($B$3:$B$3000=$AM$2)*(ROW($B$3:$B$3000)-ROW($B$2)),ROWS($AN$2:$AN759))),"")</f>
        <v/>
      </c>
      <c r="AN760" s="134" t="str" cm="1">
        <f t="array" ref="AN760">IF(ROWS($AN$2:$AN759)&lt;=$AN$2,INDEX($F$3:$F$3000,_xlfn.AGGREGATE(15,3,($B$3:$B$3000=$AM$2)/($B$3:$B$3000=$AM$2)*(ROW($B$3:$B$3000)-ROW($B$2)),ROWS($AN$2:$AN759))),"")</f>
        <v/>
      </c>
      <c r="AO760" s="135" t="str" cm="1">
        <f t="array" ref="AO760">IF(ROWS($AN$2:$AN759)&lt;=$AN$2,INDEX($G$3:$G$3000,_xlfn.AGGREGATE(15,3,($B$3:$B$3000=$AM$2)/($B$3:$B$3000=$AM$2)*(ROW($B$3:$B$3000)-ROW($B$2)),ROWS($AN$2:$AN759))),"")</f>
        <v/>
      </c>
      <c r="AP760" s="121"/>
      <c r="AT760" s="111"/>
      <c r="AW760" s="134"/>
      <c r="AX760" s="136"/>
      <c r="AY760" s="134"/>
    </row>
    <row r="761" spans="1:51" s="110" customFormat="1" ht="20" customHeight="1">
      <c r="A761" s="125" t="s">
        <v>185</v>
      </c>
      <c r="B761" s="126" t="s">
        <v>59</v>
      </c>
      <c r="C761" s="127">
        <v>15426</v>
      </c>
      <c r="D761" s="145">
        <v>110880</v>
      </c>
      <c r="E761" s="146" t="s">
        <v>1786</v>
      </c>
      <c r="F761" s="146" t="s">
        <v>1787</v>
      </c>
      <c r="G761" s="147">
        <v>300</v>
      </c>
      <c r="H761" s="147">
        <v>4</v>
      </c>
      <c r="I761" s="146" t="s">
        <v>209</v>
      </c>
      <c r="J761" s="146" t="s">
        <v>1788</v>
      </c>
      <c r="K761" s="146" t="s">
        <v>1786</v>
      </c>
      <c r="L761" s="147">
        <v>1</v>
      </c>
      <c r="M761" s="147">
        <v>1</v>
      </c>
      <c r="N761" s="146" t="s">
        <v>1544</v>
      </c>
      <c r="O761" s="147">
        <v>70</v>
      </c>
      <c r="P761" s="147">
        <v>4</v>
      </c>
      <c r="Q761" s="147">
        <v>19</v>
      </c>
      <c r="R761" s="146" t="s">
        <v>654</v>
      </c>
      <c r="S761" s="146" t="s">
        <v>655</v>
      </c>
      <c r="T761" s="147">
        <v>244</v>
      </c>
      <c r="U761" s="146" t="s">
        <v>656</v>
      </c>
      <c r="V761" s="146" t="s">
        <v>657</v>
      </c>
      <c r="W761" s="147">
        <v>2</v>
      </c>
      <c r="X761" s="147">
        <v>2</v>
      </c>
      <c r="Y761" s="146" t="s">
        <v>194</v>
      </c>
      <c r="Z761" s="146" t="s">
        <v>195</v>
      </c>
      <c r="AA761" s="146" t="s">
        <v>196</v>
      </c>
      <c r="AB761" s="146" t="s">
        <v>187</v>
      </c>
      <c r="AC761" s="146" t="s">
        <v>187</v>
      </c>
      <c r="AD761" s="148"/>
      <c r="AE761" s="146" t="s">
        <v>209</v>
      </c>
      <c r="AF761" s="147">
        <v>-2.7787929999999998</v>
      </c>
      <c r="AG761" s="149">
        <v>140.96204499999999</v>
      </c>
      <c r="AM761" s="133" t="str" cm="1">
        <f t="array" ref="AM761">IF(ROWS($AN$2:$AN760)&lt;=$AN$2,INDEX($V$3:$V$3000,_xlfn.AGGREGATE(15,3,($B$3:$B$3000=$AM$2)/($B$3:$B$3000=$AM$2)*(ROW($B$3:$B$3000)-ROW($B$2)),ROWS($AN$2:$AN760))),"")</f>
        <v/>
      </c>
      <c r="AN761" s="134" t="str" cm="1">
        <f t="array" ref="AN761">IF(ROWS($AN$2:$AN760)&lt;=$AN$2,INDEX($F$3:$F$3000,_xlfn.AGGREGATE(15,3,($B$3:$B$3000=$AM$2)/($B$3:$B$3000=$AM$2)*(ROW($B$3:$B$3000)-ROW($B$2)),ROWS($AN$2:$AN760))),"")</f>
        <v/>
      </c>
      <c r="AO761" s="135" t="str" cm="1">
        <f t="array" ref="AO761">IF(ROWS($AN$2:$AN760)&lt;=$AN$2,INDEX($G$3:$G$3000,_xlfn.AGGREGATE(15,3,($B$3:$B$3000=$AM$2)/($B$3:$B$3000=$AM$2)*(ROW($B$3:$B$3000)-ROW($B$2)),ROWS($AN$2:$AN760))),"")</f>
        <v/>
      </c>
      <c r="AP761" s="121"/>
      <c r="AT761" s="111"/>
      <c r="AW761" s="134"/>
      <c r="AX761" s="136"/>
      <c r="AY761" s="134"/>
    </row>
    <row r="762" spans="1:51" s="110" customFormat="1" ht="20" customHeight="1">
      <c r="A762" s="125" t="s">
        <v>185</v>
      </c>
      <c r="B762" s="126" t="s">
        <v>59</v>
      </c>
      <c r="C762" s="127">
        <v>15937</v>
      </c>
      <c r="D762" s="145">
        <v>110914</v>
      </c>
      <c r="E762" s="146" t="s">
        <v>1789</v>
      </c>
      <c r="F762" s="146" t="s">
        <v>1790</v>
      </c>
      <c r="G762" s="147">
        <v>300</v>
      </c>
      <c r="H762" s="147">
        <v>4</v>
      </c>
      <c r="I762" s="146" t="s">
        <v>209</v>
      </c>
      <c r="J762" s="146" t="s">
        <v>1791</v>
      </c>
      <c r="K762" s="146" t="s">
        <v>1792</v>
      </c>
      <c r="L762" s="147">
        <v>0</v>
      </c>
      <c r="M762" s="147">
        <v>1</v>
      </c>
      <c r="N762" s="146" t="s">
        <v>1544</v>
      </c>
      <c r="O762" s="147">
        <v>72</v>
      </c>
      <c r="P762" s="147">
        <v>4</v>
      </c>
      <c r="Q762" s="147">
        <v>19</v>
      </c>
      <c r="R762" s="146" t="s">
        <v>654</v>
      </c>
      <c r="S762" s="146" t="s">
        <v>655</v>
      </c>
      <c r="T762" s="147">
        <v>244</v>
      </c>
      <c r="U762" s="146" t="s">
        <v>656</v>
      </c>
      <c r="V762" s="146" t="s">
        <v>657</v>
      </c>
      <c r="W762" s="147">
        <v>1</v>
      </c>
      <c r="X762" s="147">
        <v>2</v>
      </c>
      <c r="Y762" s="146" t="s">
        <v>194</v>
      </c>
      <c r="Z762" s="146" t="s">
        <v>195</v>
      </c>
      <c r="AA762" s="146" t="s">
        <v>196</v>
      </c>
      <c r="AB762" s="146" t="s">
        <v>187</v>
      </c>
      <c r="AC762" s="146" t="s">
        <v>187</v>
      </c>
      <c r="AD762" s="148"/>
      <c r="AE762" s="146" t="s">
        <v>209</v>
      </c>
      <c r="AF762" s="147">
        <v>-3.49579</v>
      </c>
      <c r="AG762" s="149">
        <v>140.80994999999999</v>
      </c>
      <c r="AM762" s="133" t="str" cm="1">
        <f t="array" ref="AM762">IF(ROWS($AN$2:$AN761)&lt;=$AN$2,INDEX($V$3:$V$3000,_xlfn.AGGREGATE(15,3,($B$3:$B$3000=$AM$2)/($B$3:$B$3000=$AM$2)*(ROW($B$3:$B$3000)-ROW($B$2)),ROWS($AN$2:$AN761))),"")</f>
        <v/>
      </c>
      <c r="AN762" s="134" t="str" cm="1">
        <f t="array" ref="AN762">IF(ROWS($AN$2:$AN761)&lt;=$AN$2,INDEX($F$3:$F$3000,_xlfn.AGGREGATE(15,3,($B$3:$B$3000=$AM$2)/($B$3:$B$3000=$AM$2)*(ROW($B$3:$B$3000)-ROW($B$2)),ROWS($AN$2:$AN761))),"")</f>
        <v/>
      </c>
      <c r="AO762" s="135" t="str" cm="1">
        <f t="array" ref="AO762">IF(ROWS($AN$2:$AN761)&lt;=$AN$2,INDEX($G$3:$G$3000,_xlfn.AGGREGATE(15,3,($B$3:$B$3000=$AM$2)/($B$3:$B$3000=$AM$2)*(ROW($B$3:$B$3000)-ROW($B$2)),ROWS($AN$2:$AN761))),"")</f>
        <v/>
      </c>
      <c r="AP762" s="121"/>
      <c r="AT762" s="111"/>
      <c r="AW762" s="134"/>
      <c r="AX762" s="136"/>
      <c r="AY762" s="134"/>
    </row>
    <row r="763" spans="1:51" s="110" customFormat="1" ht="20" customHeight="1">
      <c r="A763" s="125" t="s">
        <v>185</v>
      </c>
      <c r="B763" s="126" t="s">
        <v>59</v>
      </c>
      <c r="C763" s="127">
        <v>15996</v>
      </c>
      <c r="D763" s="145">
        <v>110990</v>
      </c>
      <c r="E763" s="146" t="s">
        <v>1793</v>
      </c>
      <c r="F763" s="146" t="s">
        <v>1793</v>
      </c>
      <c r="G763" s="147">
        <v>300</v>
      </c>
      <c r="H763" s="147">
        <v>4</v>
      </c>
      <c r="I763" s="146" t="s">
        <v>209</v>
      </c>
      <c r="J763" s="146" t="s">
        <v>1794</v>
      </c>
      <c r="K763" s="146" t="s">
        <v>1793</v>
      </c>
      <c r="L763" s="147">
        <v>0</v>
      </c>
      <c r="M763" s="147">
        <v>1</v>
      </c>
      <c r="N763" s="146" t="s">
        <v>1544</v>
      </c>
      <c r="O763" s="147">
        <v>70</v>
      </c>
      <c r="P763" s="147">
        <v>5</v>
      </c>
      <c r="Q763" s="147">
        <v>19</v>
      </c>
      <c r="R763" s="146" t="s">
        <v>654</v>
      </c>
      <c r="S763" s="146" t="s">
        <v>655</v>
      </c>
      <c r="T763" s="147">
        <v>244</v>
      </c>
      <c r="U763" s="146" t="s">
        <v>656</v>
      </c>
      <c r="V763" s="146" t="s">
        <v>657</v>
      </c>
      <c r="W763" s="147">
        <v>1</v>
      </c>
      <c r="X763" s="147">
        <v>2</v>
      </c>
      <c r="Y763" s="146" t="s">
        <v>194</v>
      </c>
      <c r="Z763" s="146" t="s">
        <v>195</v>
      </c>
      <c r="AA763" s="146" t="s">
        <v>196</v>
      </c>
      <c r="AB763" s="146" t="s">
        <v>187</v>
      </c>
      <c r="AC763" s="146" t="s">
        <v>187</v>
      </c>
      <c r="AD763" s="148"/>
      <c r="AE763" s="146" t="s">
        <v>209</v>
      </c>
      <c r="AF763" s="147">
        <v>-2.1229629999999999</v>
      </c>
      <c r="AG763" s="149">
        <v>139.50793200000001</v>
      </c>
      <c r="AM763" s="133" t="str" cm="1">
        <f t="array" ref="AM763">IF(ROWS($AN$2:$AN762)&lt;=$AN$2,INDEX($V$3:$V$3000,_xlfn.AGGREGATE(15,3,($B$3:$B$3000=$AM$2)/($B$3:$B$3000=$AM$2)*(ROW($B$3:$B$3000)-ROW($B$2)),ROWS($AN$2:$AN762))),"")</f>
        <v/>
      </c>
      <c r="AN763" s="134" t="str" cm="1">
        <f t="array" ref="AN763">IF(ROWS($AN$2:$AN762)&lt;=$AN$2,INDEX($F$3:$F$3000,_xlfn.AGGREGATE(15,3,($B$3:$B$3000=$AM$2)/($B$3:$B$3000=$AM$2)*(ROW($B$3:$B$3000)-ROW($B$2)),ROWS($AN$2:$AN762))),"")</f>
        <v/>
      </c>
      <c r="AO763" s="135" t="str" cm="1">
        <f t="array" ref="AO763">IF(ROWS($AN$2:$AN762)&lt;=$AN$2,INDEX($G$3:$G$3000,_xlfn.AGGREGATE(15,3,($B$3:$B$3000=$AM$2)/($B$3:$B$3000=$AM$2)*(ROW($B$3:$B$3000)-ROW($B$2)),ROWS($AN$2:$AN762))),"")</f>
        <v/>
      </c>
      <c r="AP763" s="121"/>
      <c r="AT763" s="111"/>
      <c r="AW763" s="134"/>
      <c r="AX763" s="136"/>
      <c r="AY763" s="134"/>
    </row>
    <row r="764" spans="1:51" s="110" customFormat="1" ht="20" customHeight="1">
      <c r="A764" s="125" t="s">
        <v>185</v>
      </c>
      <c r="B764" s="126" t="s">
        <v>59</v>
      </c>
      <c r="C764" s="127">
        <v>10505</v>
      </c>
      <c r="D764" s="145">
        <v>100647</v>
      </c>
      <c r="E764" s="146" t="s">
        <v>1642</v>
      </c>
      <c r="F764" s="146" t="s">
        <v>1642</v>
      </c>
      <c r="G764" s="147">
        <v>200</v>
      </c>
      <c r="H764" s="147">
        <v>4</v>
      </c>
      <c r="I764" s="146" t="s">
        <v>209</v>
      </c>
      <c r="J764" s="146" t="s">
        <v>1643</v>
      </c>
      <c r="K764" s="146" t="s">
        <v>1642</v>
      </c>
      <c r="L764" s="147">
        <v>0</v>
      </c>
      <c r="M764" s="147">
        <v>1</v>
      </c>
      <c r="N764" s="146" t="s">
        <v>1544</v>
      </c>
      <c r="O764" s="147">
        <v>55</v>
      </c>
      <c r="P764" s="147">
        <v>4</v>
      </c>
      <c r="Q764" s="147">
        <v>19</v>
      </c>
      <c r="R764" s="146" t="s">
        <v>654</v>
      </c>
      <c r="S764" s="146" t="s">
        <v>655</v>
      </c>
      <c r="T764" s="147">
        <v>244</v>
      </c>
      <c r="U764" s="146" t="s">
        <v>656</v>
      </c>
      <c r="V764" s="146" t="s">
        <v>657</v>
      </c>
      <c r="W764" s="147">
        <v>1</v>
      </c>
      <c r="X764" s="147">
        <v>2</v>
      </c>
      <c r="Y764" s="146" t="s">
        <v>194</v>
      </c>
      <c r="Z764" s="146" t="s">
        <v>195</v>
      </c>
      <c r="AA764" s="146" t="s">
        <v>196</v>
      </c>
      <c r="AB764" s="146" t="s">
        <v>187</v>
      </c>
      <c r="AC764" s="146" t="s">
        <v>187</v>
      </c>
      <c r="AD764" s="148"/>
      <c r="AE764" s="146" t="s">
        <v>209</v>
      </c>
      <c r="AF764" s="147">
        <v>-2.66188</v>
      </c>
      <c r="AG764" s="149">
        <v>136.22058999999999</v>
      </c>
      <c r="AM764" s="133" t="str" cm="1">
        <f t="array" ref="AM764">IF(ROWS($AN$2:$AN763)&lt;=$AN$2,INDEX($V$3:$V$3000,_xlfn.AGGREGATE(15,3,($B$3:$B$3000=$AM$2)/($B$3:$B$3000=$AM$2)*(ROW($B$3:$B$3000)-ROW($B$2)),ROWS($AN$2:$AN763))),"")</f>
        <v/>
      </c>
      <c r="AN764" s="134" t="str" cm="1">
        <f t="array" ref="AN764">IF(ROWS($AN$2:$AN763)&lt;=$AN$2,INDEX($F$3:$F$3000,_xlfn.AGGREGATE(15,3,($B$3:$B$3000=$AM$2)/($B$3:$B$3000=$AM$2)*(ROW($B$3:$B$3000)-ROW($B$2)),ROWS($AN$2:$AN763))),"")</f>
        <v/>
      </c>
      <c r="AO764" s="135" t="str" cm="1">
        <f t="array" ref="AO764">IF(ROWS($AN$2:$AN763)&lt;=$AN$2,INDEX($G$3:$G$3000,_xlfn.AGGREGATE(15,3,($B$3:$B$3000=$AM$2)/($B$3:$B$3000=$AM$2)*(ROW($B$3:$B$3000)-ROW($B$2)),ROWS($AN$2:$AN763))),"")</f>
        <v/>
      </c>
      <c r="AP764" s="121"/>
      <c r="AT764" s="111"/>
      <c r="AW764" s="134"/>
      <c r="AX764" s="136"/>
      <c r="AY764" s="134"/>
    </row>
    <row r="765" spans="1:51" s="110" customFormat="1" ht="20" customHeight="1">
      <c r="A765" s="125" t="s">
        <v>185</v>
      </c>
      <c r="B765" s="126" t="s">
        <v>59</v>
      </c>
      <c r="C765" s="127">
        <v>10757</v>
      </c>
      <c r="D765" s="145">
        <v>101192</v>
      </c>
      <c r="E765" s="146" t="s">
        <v>1644</v>
      </c>
      <c r="F765" s="146" t="s">
        <v>1644</v>
      </c>
      <c r="G765" s="147">
        <v>200</v>
      </c>
      <c r="H765" s="147">
        <v>4</v>
      </c>
      <c r="I765" s="146" t="s">
        <v>209</v>
      </c>
      <c r="J765" s="146" t="s">
        <v>1645</v>
      </c>
      <c r="K765" s="146" t="s">
        <v>1644</v>
      </c>
      <c r="L765" s="147">
        <v>0</v>
      </c>
      <c r="M765" s="147">
        <v>1</v>
      </c>
      <c r="N765" s="146" t="s">
        <v>1544</v>
      </c>
      <c r="O765" s="147">
        <v>60</v>
      </c>
      <c r="P765" s="147">
        <v>5</v>
      </c>
      <c r="Q765" s="147">
        <v>19</v>
      </c>
      <c r="R765" s="146" t="s">
        <v>654</v>
      </c>
      <c r="S765" s="146" t="s">
        <v>655</v>
      </c>
      <c r="T765" s="147">
        <v>244</v>
      </c>
      <c r="U765" s="146" t="s">
        <v>656</v>
      </c>
      <c r="V765" s="146" t="s">
        <v>657</v>
      </c>
      <c r="W765" s="147">
        <v>1</v>
      </c>
      <c r="X765" s="147">
        <v>2</v>
      </c>
      <c r="Y765" s="146" t="s">
        <v>194</v>
      </c>
      <c r="Z765" s="146" t="s">
        <v>195</v>
      </c>
      <c r="AA765" s="146" t="s">
        <v>196</v>
      </c>
      <c r="AB765" s="146" t="s">
        <v>187</v>
      </c>
      <c r="AC765" s="146" t="s">
        <v>187</v>
      </c>
      <c r="AD765" s="148"/>
      <c r="AE765" s="146" t="s">
        <v>209</v>
      </c>
      <c r="AF765" s="147">
        <v>-2.7503500000000001</v>
      </c>
      <c r="AG765" s="149">
        <v>132.57539</v>
      </c>
      <c r="AM765" s="133" t="str" cm="1">
        <f t="array" ref="AM765">IF(ROWS($AN$2:$AN764)&lt;=$AN$2,INDEX($V$3:$V$3000,_xlfn.AGGREGATE(15,3,($B$3:$B$3000=$AM$2)/($B$3:$B$3000=$AM$2)*(ROW($B$3:$B$3000)-ROW($B$2)),ROWS($AN$2:$AN764))),"")</f>
        <v/>
      </c>
      <c r="AN765" s="134" t="str" cm="1">
        <f t="array" ref="AN765">IF(ROWS($AN$2:$AN764)&lt;=$AN$2,INDEX($F$3:$F$3000,_xlfn.AGGREGATE(15,3,($B$3:$B$3000=$AM$2)/($B$3:$B$3000=$AM$2)*(ROW($B$3:$B$3000)-ROW($B$2)),ROWS($AN$2:$AN764))),"")</f>
        <v/>
      </c>
      <c r="AO765" s="135" t="str" cm="1">
        <f t="array" ref="AO765">IF(ROWS($AN$2:$AN764)&lt;=$AN$2,INDEX($G$3:$G$3000,_xlfn.AGGREGATE(15,3,($B$3:$B$3000=$AM$2)/($B$3:$B$3000=$AM$2)*(ROW($B$3:$B$3000)-ROW($B$2)),ROWS($AN$2:$AN764))),"")</f>
        <v/>
      </c>
      <c r="AP765" s="121"/>
      <c r="AT765" s="111"/>
      <c r="AW765" s="134"/>
      <c r="AX765" s="136"/>
      <c r="AY765" s="134"/>
    </row>
    <row r="766" spans="1:51" s="110" customFormat="1" ht="20" customHeight="1">
      <c r="A766" s="125" t="s">
        <v>185</v>
      </c>
      <c r="B766" s="126" t="s">
        <v>59</v>
      </c>
      <c r="C766" s="127">
        <v>19770</v>
      </c>
      <c r="D766" s="145">
        <v>101594</v>
      </c>
      <c r="E766" s="146" t="s">
        <v>1646</v>
      </c>
      <c r="F766" s="146" t="s">
        <v>1646</v>
      </c>
      <c r="G766" s="147">
        <v>200</v>
      </c>
      <c r="H766" s="147">
        <v>4</v>
      </c>
      <c r="I766" s="146" t="s">
        <v>209</v>
      </c>
      <c r="J766" s="146" t="s">
        <v>1647</v>
      </c>
      <c r="K766" s="146" t="s">
        <v>1648</v>
      </c>
      <c r="L766" s="147">
        <v>0</v>
      </c>
      <c r="M766" s="147">
        <v>1</v>
      </c>
      <c r="N766" s="146" t="s">
        <v>1544</v>
      </c>
      <c r="O766" s="147">
        <v>63</v>
      </c>
      <c r="P766" s="147">
        <v>5</v>
      </c>
      <c r="Q766" s="147">
        <v>19</v>
      </c>
      <c r="R766" s="146" t="s">
        <v>654</v>
      </c>
      <c r="S766" s="146" t="s">
        <v>655</v>
      </c>
      <c r="T766" s="147">
        <v>244</v>
      </c>
      <c r="U766" s="146" t="s">
        <v>656</v>
      </c>
      <c r="V766" s="146" t="s">
        <v>657</v>
      </c>
      <c r="W766" s="147">
        <v>1</v>
      </c>
      <c r="X766" s="147">
        <v>2</v>
      </c>
      <c r="Y766" s="146" t="s">
        <v>194</v>
      </c>
      <c r="Z766" s="146" t="s">
        <v>195</v>
      </c>
      <c r="AA766" s="146" t="s">
        <v>196</v>
      </c>
      <c r="AB766" s="146" t="s">
        <v>187</v>
      </c>
      <c r="AC766" s="146" t="s">
        <v>187</v>
      </c>
      <c r="AD766" s="148"/>
      <c r="AE766" s="146" t="s">
        <v>209</v>
      </c>
      <c r="AF766" s="147">
        <v>-2.0937700000000001</v>
      </c>
      <c r="AG766" s="149">
        <v>139.16982999999999</v>
      </c>
      <c r="AM766" s="133" t="str" cm="1">
        <f t="array" ref="AM766">IF(ROWS($AN$2:$AN765)&lt;=$AN$2,INDEX($V$3:$V$3000,_xlfn.AGGREGATE(15,3,($B$3:$B$3000=$AM$2)/($B$3:$B$3000=$AM$2)*(ROW($B$3:$B$3000)-ROW($B$2)),ROWS($AN$2:$AN765))),"")</f>
        <v/>
      </c>
      <c r="AN766" s="134" t="str" cm="1">
        <f t="array" ref="AN766">IF(ROWS($AN$2:$AN765)&lt;=$AN$2,INDEX($F$3:$F$3000,_xlfn.AGGREGATE(15,3,($B$3:$B$3000=$AM$2)/($B$3:$B$3000=$AM$2)*(ROW($B$3:$B$3000)-ROW($B$2)),ROWS($AN$2:$AN765))),"")</f>
        <v/>
      </c>
      <c r="AO766" s="135" t="str" cm="1">
        <f t="array" ref="AO766">IF(ROWS($AN$2:$AN765)&lt;=$AN$2,INDEX($G$3:$G$3000,_xlfn.AGGREGATE(15,3,($B$3:$B$3000=$AM$2)/($B$3:$B$3000=$AM$2)*(ROW($B$3:$B$3000)-ROW($B$2)),ROWS($AN$2:$AN765))),"")</f>
        <v/>
      </c>
      <c r="AP766" s="121"/>
      <c r="AT766" s="111"/>
      <c r="AW766" s="134"/>
      <c r="AX766" s="136"/>
      <c r="AY766" s="134"/>
    </row>
    <row r="767" spans="1:51" s="110" customFormat="1" ht="20" customHeight="1">
      <c r="A767" s="125" t="s">
        <v>185</v>
      </c>
      <c r="B767" s="126" t="s">
        <v>59</v>
      </c>
      <c r="C767" s="127">
        <v>11647</v>
      </c>
      <c r="D767" s="145">
        <v>102774</v>
      </c>
      <c r="E767" s="146" t="s">
        <v>1651</v>
      </c>
      <c r="F767" s="146" t="s">
        <v>1651</v>
      </c>
      <c r="G767" s="147">
        <v>200</v>
      </c>
      <c r="H767" s="147">
        <v>4</v>
      </c>
      <c r="I767" s="146" t="s">
        <v>209</v>
      </c>
      <c r="J767" s="146" t="s">
        <v>1652</v>
      </c>
      <c r="K767" s="146" t="s">
        <v>1651</v>
      </c>
      <c r="L767" s="147">
        <v>0</v>
      </c>
      <c r="M767" s="147">
        <v>1</v>
      </c>
      <c r="N767" s="146" t="s">
        <v>1544</v>
      </c>
      <c r="O767" s="147">
        <v>70</v>
      </c>
      <c r="P767" s="147">
        <v>5</v>
      </c>
      <c r="Q767" s="147">
        <v>19</v>
      </c>
      <c r="R767" s="146" t="s">
        <v>654</v>
      </c>
      <c r="S767" s="146" t="s">
        <v>655</v>
      </c>
      <c r="T767" s="147">
        <v>244</v>
      </c>
      <c r="U767" s="146" t="s">
        <v>656</v>
      </c>
      <c r="V767" s="146" t="s">
        <v>657</v>
      </c>
      <c r="W767" s="147">
        <v>1</v>
      </c>
      <c r="X767" s="147">
        <v>2</v>
      </c>
      <c r="Y767" s="146" t="s">
        <v>194</v>
      </c>
      <c r="Z767" s="146" t="s">
        <v>195</v>
      </c>
      <c r="AA767" s="146" t="s">
        <v>196</v>
      </c>
      <c r="AB767" s="146" t="s">
        <v>187</v>
      </c>
      <c r="AC767" s="146" t="s">
        <v>187</v>
      </c>
      <c r="AD767" s="148"/>
      <c r="AE767" s="146" t="s">
        <v>209</v>
      </c>
      <c r="AF767" s="147">
        <v>-1.3790560000000001</v>
      </c>
      <c r="AG767" s="149">
        <v>130.92344600000001</v>
      </c>
      <c r="AM767" s="133" t="str" cm="1">
        <f t="array" ref="AM767">IF(ROWS($AN$2:$AN766)&lt;=$AN$2,INDEX($V$3:$V$3000,_xlfn.AGGREGATE(15,3,($B$3:$B$3000=$AM$2)/($B$3:$B$3000=$AM$2)*(ROW($B$3:$B$3000)-ROW($B$2)),ROWS($AN$2:$AN766))),"")</f>
        <v/>
      </c>
      <c r="AN767" s="134" t="str" cm="1">
        <f t="array" ref="AN767">IF(ROWS($AN$2:$AN766)&lt;=$AN$2,INDEX($F$3:$F$3000,_xlfn.AGGREGATE(15,3,($B$3:$B$3000=$AM$2)/($B$3:$B$3000=$AM$2)*(ROW($B$3:$B$3000)-ROW($B$2)),ROWS($AN$2:$AN766))),"")</f>
        <v/>
      </c>
      <c r="AO767" s="135" t="str" cm="1">
        <f t="array" ref="AO767">IF(ROWS($AN$2:$AN766)&lt;=$AN$2,INDEX($G$3:$G$3000,_xlfn.AGGREGATE(15,3,($B$3:$B$3000=$AM$2)/($B$3:$B$3000=$AM$2)*(ROW($B$3:$B$3000)-ROW($B$2)),ROWS($AN$2:$AN766))),"")</f>
        <v/>
      </c>
      <c r="AP767" s="121"/>
      <c r="AT767" s="111"/>
      <c r="AW767" s="134"/>
      <c r="AX767" s="136"/>
      <c r="AY767" s="134"/>
    </row>
    <row r="768" spans="1:51" s="110" customFormat="1" ht="20" customHeight="1">
      <c r="A768" s="125" t="s">
        <v>185</v>
      </c>
      <c r="B768" s="126" t="s">
        <v>59</v>
      </c>
      <c r="C768" s="127">
        <v>12282</v>
      </c>
      <c r="D768" s="145">
        <v>104109</v>
      </c>
      <c r="E768" s="146" t="s">
        <v>1655</v>
      </c>
      <c r="F768" s="146" t="s">
        <v>1656</v>
      </c>
      <c r="G768" s="147">
        <v>200</v>
      </c>
      <c r="H768" s="147">
        <v>4</v>
      </c>
      <c r="I768" s="146" t="s">
        <v>209</v>
      </c>
      <c r="J768" s="146" t="s">
        <v>1657</v>
      </c>
      <c r="K768" s="146" t="s">
        <v>1655</v>
      </c>
      <c r="L768" s="147">
        <v>1</v>
      </c>
      <c r="M768" s="147">
        <v>1</v>
      </c>
      <c r="N768" s="146" t="s">
        <v>1544</v>
      </c>
      <c r="O768" s="147">
        <v>65</v>
      </c>
      <c r="P768" s="147">
        <v>4</v>
      </c>
      <c r="Q768" s="147">
        <v>19</v>
      </c>
      <c r="R768" s="146" t="s">
        <v>654</v>
      </c>
      <c r="S768" s="146" t="s">
        <v>655</v>
      </c>
      <c r="T768" s="147">
        <v>244</v>
      </c>
      <c r="U768" s="146" t="s">
        <v>656</v>
      </c>
      <c r="V768" s="146" t="s">
        <v>657</v>
      </c>
      <c r="W768" s="147">
        <v>1</v>
      </c>
      <c r="X768" s="147">
        <v>2</v>
      </c>
      <c r="Y768" s="146" t="s">
        <v>194</v>
      </c>
      <c r="Z768" s="146" t="s">
        <v>195</v>
      </c>
      <c r="AA768" s="146" t="s">
        <v>196</v>
      </c>
      <c r="AB768" s="146" t="s">
        <v>187</v>
      </c>
      <c r="AC768" s="146" t="s">
        <v>187</v>
      </c>
      <c r="AD768" s="148"/>
      <c r="AE768" s="146" t="s">
        <v>209</v>
      </c>
      <c r="AF768" s="147">
        <v>-2.2715200000000002</v>
      </c>
      <c r="AG768" s="149">
        <v>139.14884000000001</v>
      </c>
      <c r="AM768" s="133" t="str" cm="1">
        <f t="array" ref="AM768">IF(ROWS($AN$2:$AN767)&lt;=$AN$2,INDEX($V$3:$V$3000,_xlfn.AGGREGATE(15,3,($B$3:$B$3000=$AM$2)/($B$3:$B$3000=$AM$2)*(ROW($B$3:$B$3000)-ROW($B$2)),ROWS($AN$2:$AN767))),"")</f>
        <v/>
      </c>
      <c r="AN768" s="134" t="str" cm="1">
        <f t="array" ref="AN768">IF(ROWS($AN$2:$AN767)&lt;=$AN$2,INDEX($F$3:$F$3000,_xlfn.AGGREGATE(15,3,($B$3:$B$3000=$AM$2)/($B$3:$B$3000=$AM$2)*(ROW($B$3:$B$3000)-ROW($B$2)),ROWS($AN$2:$AN767))),"")</f>
        <v/>
      </c>
      <c r="AO768" s="135" t="str" cm="1">
        <f t="array" ref="AO768">IF(ROWS($AN$2:$AN767)&lt;=$AN$2,INDEX($G$3:$G$3000,_xlfn.AGGREGATE(15,3,($B$3:$B$3000=$AM$2)/($B$3:$B$3000=$AM$2)*(ROW($B$3:$B$3000)-ROW($B$2)),ROWS($AN$2:$AN767))),"")</f>
        <v/>
      </c>
      <c r="AP768" s="121"/>
      <c r="AT768" s="111"/>
      <c r="AW768" s="134"/>
      <c r="AX768" s="136"/>
      <c r="AY768" s="134"/>
    </row>
    <row r="769" spans="1:51" s="110" customFormat="1" ht="20" customHeight="1">
      <c r="A769" s="125" t="s">
        <v>185</v>
      </c>
      <c r="B769" s="126" t="s">
        <v>59</v>
      </c>
      <c r="C769" s="127">
        <v>12506</v>
      </c>
      <c r="D769" s="145">
        <v>104601</v>
      </c>
      <c r="E769" s="146" t="s">
        <v>1662</v>
      </c>
      <c r="F769" s="146" t="s">
        <v>1662</v>
      </c>
      <c r="G769" s="147">
        <v>200</v>
      </c>
      <c r="H769" s="147">
        <v>4</v>
      </c>
      <c r="I769" s="146" t="s">
        <v>209</v>
      </c>
      <c r="J769" s="146" t="s">
        <v>1663</v>
      </c>
      <c r="K769" s="146" t="s">
        <v>1664</v>
      </c>
      <c r="L769" s="147">
        <v>1</v>
      </c>
      <c r="M769" s="147">
        <v>1</v>
      </c>
      <c r="N769" s="146" t="s">
        <v>1544</v>
      </c>
      <c r="O769" s="147">
        <v>65</v>
      </c>
      <c r="P769" s="147">
        <v>6</v>
      </c>
      <c r="Q769" s="147">
        <v>19</v>
      </c>
      <c r="R769" s="146" t="s">
        <v>654</v>
      </c>
      <c r="S769" s="146" t="s">
        <v>655</v>
      </c>
      <c r="T769" s="147">
        <v>244</v>
      </c>
      <c r="U769" s="146" t="s">
        <v>656</v>
      </c>
      <c r="V769" s="146" t="s">
        <v>657</v>
      </c>
      <c r="W769" s="147">
        <v>2</v>
      </c>
      <c r="X769" s="147">
        <v>2</v>
      </c>
      <c r="Y769" s="146" t="s">
        <v>194</v>
      </c>
      <c r="Z769" s="146" t="s">
        <v>195</v>
      </c>
      <c r="AA769" s="146" t="s">
        <v>196</v>
      </c>
      <c r="AB769" s="146" t="s">
        <v>187</v>
      </c>
      <c r="AC769" s="146" t="s">
        <v>187</v>
      </c>
      <c r="AD769" s="148"/>
      <c r="AE769" s="146" t="s">
        <v>209</v>
      </c>
      <c r="AF769" s="147">
        <v>-8.5521499999999993</v>
      </c>
      <c r="AG769" s="149">
        <v>140.86965000000001</v>
      </c>
      <c r="AM769" s="133" t="str" cm="1">
        <f t="array" ref="AM769">IF(ROWS($AN$2:$AN768)&lt;=$AN$2,INDEX($V$3:$V$3000,_xlfn.AGGREGATE(15,3,($B$3:$B$3000=$AM$2)/($B$3:$B$3000=$AM$2)*(ROW($B$3:$B$3000)-ROW($B$2)),ROWS($AN$2:$AN768))),"")</f>
        <v/>
      </c>
      <c r="AN769" s="134" t="str" cm="1">
        <f t="array" ref="AN769">IF(ROWS($AN$2:$AN768)&lt;=$AN$2,INDEX($F$3:$F$3000,_xlfn.AGGREGATE(15,3,($B$3:$B$3000=$AM$2)/($B$3:$B$3000=$AM$2)*(ROW($B$3:$B$3000)-ROW($B$2)),ROWS($AN$2:$AN768))),"")</f>
        <v/>
      </c>
      <c r="AO769" s="135" t="str" cm="1">
        <f t="array" ref="AO769">IF(ROWS($AN$2:$AN768)&lt;=$AN$2,INDEX($G$3:$G$3000,_xlfn.AGGREGATE(15,3,($B$3:$B$3000=$AM$2)/($B$3:$B$3000=$AM$2)*(ROW($B$3:$B$3000)-ROW($B$2)),ROWS($AN$2:$AN768))),"")</f>
        <v/>
      </c>
      <c r="AP769" s="121"/>
      <c r="AT769" s="111"/>
      <c r="AW769" s="134"/>
      <c r="AX769" s="136"/>
      <c r="AY769" s="134"/>
    </row>
    <row r="770" spans="1:51" s="110" customFormat="1" ht="20" customHeight="1">
      <c r="A770" s="125" t="s">
        <v>185</v>
      </c>
      <c r="B770" s="126" t="s">
        <v>59</v>
      </c>
      <c r="C770" s="127">
        <v>12515</v>
      </c>
      <c r="D770" s="145">
        <v>104616</v>
      </c>
      <c r="E770" s="146" t="s">
        <v>1665</v>
      </c>
      <c r="F770" s="146" t="s">
        <v>1665</v>
      </c>
      <c r="G770" s="147">
        <v>200</v>
      </c>
      <c r="H770" s="147">
        <v>4</v>
      </c>
      <c r="I770" s="146" t="s">
        <v>209</v>
      </c>
      <c r="J770" s="146" t="s">
        <v>1666</v>
      </c>
      <c r="K770" s="146" t="s">
        <v>1665</v>
      </c>
      <c r="L770" s="147">
        <v>1</v>
      </c>
      <c r="M770" s="147">
        <v>1</v>
      </c>
      <c r="N770" s="146" t="s">
        <v>1544</v>
      </c>
      <c r="O770" s="147">
        <v>60</v>
      </c>
      <c r="P770" s="147">
        <v>3</v>
      </c>
      <c r="Q770" s="147">
        <v>19</v>
      </c>
      <c r="R770" s="146" t="s">
        <v>654</v>
      </c>
      <c r="S770" s="146" t="s">
        <v>655</v>
      </c>
      <c r="T770" s="147">
        <v>244</v>
      </c>
      <c r="U770" s="146" t="s">
        <v>656</v>
      </c>
      <c r="V770" s="146" t="s">
        <v>657</v>
      </c>
      <c r="W770" s="147">
        <v>1</v>
      </c>
      <c r="X770" s="147">
        <v>2</v>
      </c>
      <c r="Y770" s="146" t="s">
        <v>194</v>
      </c>
      <c r="Z770" s="146" t="s">
        <v>195</v>
      </c>
      <c r="AA770" s="146" t="s">
        <v>196</v>
      </c>
      <c r="AB770" s="146" t="s">
        <v>187</v>
      </c>
      <c r="AC770" s="146" t="s">
        <v>187</v>
      </c>
      <c r="AD770" s="148"/>
      <c r="AE770" s="146" t="s">
        <v>209</v>
      </c>
      <c r="AF770" s="147">
        <v>-3.4901800000000001</v>
      </c>
      <c r="AG770" s="149">
        <v>139.72645</v>
      </c>
      <c r="AM770" s="133" t="str" cm="1">
        <f t="array" ref="AM770">IF(ROWS($AN$2:$AN769)&lt;=$AN$2,INDEX($V$3:$V$3000,_xlfn.AGGREGATE(15,3,($B$3:$B$3000=$AM$2)/($B$3:$B$3000=$AM$2)*(ROW($B$3:$B$3000)-ROW($B$2)),ROWS($AN$2:$AN769))),"")</f>
        <v/>
      </c>
      <c r="AN770" s="134" t="str" cm="1">
        <f t="array" ref="AN770">IF(ROWS($AN$2:$AN769)&lt;=$AN$2,INDEX($F$3:$F$3000,_xlfn.AGGREGATE(15,3,($B$3:$B$3000=$AM$2)/($B$3:$B$3000=$AM$2)*(ROW($B$3:$B$3000)-ROW($B$2)),ROWS($AN$2:$AN769))),"")</f>
        <v/>
      </c>
      <c r="AO770" s="135" t="str" cm="1">
        <f t="array" ref="AO770">IF(ROWS($AN$2:$AN769)&lt;=$AN$2,INDEX($G$3:$G$3000,_xlfn.AGGREGATE(15,3,($B$3:$B$3000=$AM$2)/($B$3:$B$3000=$AM$2)*(ROW($B$3:$B$3000)-ROW($B$2)),ROWS($AN$2:$AN769))),"")</f>
        <v/>
      </c>
      <c r="AP770" s="121"/>
      <c r="AT770" s="111"/>
      <c r="AW770" s="134"/>
      <c r="AX770" s="136"/>
      <c r="AY770" s="134"/>
    </row>
    <row r="771" spans="1:51" s="110" customFormat="1" ht="20" customHeight="1">
      <c r="A771" s="125" t="s">
        <v>185</v>
      </c>
      <c r="B771" s="126" t="s">
        <v>59</v>
      </c>
      <c r="C771" s="127">
        <v>13425</v>
      </c>
      <c r="D771" s="145">
        <v>106094</v>
      </c>
      <c r="E771" s="146" t="s">
        <v>1672</v>
      </c>
      <c r="F771" s="146" t="s">
        <v>1672</v>
      </c>
      <c r="G771" s="147">
        <v>200</v>
      </c>
      <c r="H771" s="147">
        <v>4</v>
      </c>
      <c r="I771" s="146" t="s">
        <v>209</v>
      </c>
      <c r="J771" s="146" t="s">
        <v>1673</v>
      </c>
      <c r="K771" s="146" t="s">
        <v>1672</v>
      </c>
      <c r="L771" s="147">
        <v>1</v>
      </c>
      <c r="M771" s="147">
        <v>1</v>
      </c>
      <c r="N771" s="146" t="s">
        <v>1544</v>
      </c>
      <c r="O771" s="147">
        <v>65</v>
      </c>
      <c r="P771" s="147">
        <v>4</v>
      </c>
      <c r="Q771" s="147">
        <v>19</v>
      </c>
      <c r="R771" s="146" t="s">
        <v>654</v>
      </c>
      <c r="S771" s="146" t="s">
        <v>655</v>
      </c>
      <c r="T771" s="147">
        <v>244</v>
      </c>
      <c r="U771" s="146" t="s">
        <v>656</v>
      </c>
      <c r="V771" s="146" t="s">
        <v>657</v>
      </c>
      <c r="W771" s="147">
        <v>1</v>
      </c>
      <c r="X771" s="147">
        <v>2</v>
      </c>
      <c r="Y771" s="146" t="s">
        <v>194</v>
      </c>
      <c r="Z771" s="146" t="s">
        <v>195</v>
      </c>
      <c r="AA771" s="146" t="s">
        <v>196</v>
      </c>
      <c r="AB771" s="146" t="s">
        <v>187</v>
      </c>
      <c r="AC771" s="146" t="s">
        <v>187</v>
      </c>
      <c r="AD771" s="148"/>
      <c r="AE771" s="146" t="s">
        <v>209</v>
      </c>
      <c r="AF771" s="147">
        <v>-7.74946</v>
      </c>
      <c r="AG771" s="149">
        <v>139.28742</v>
      </c>
      <c r="AM771" s="133" t="str" cm="1">
        <f t="array" ref="AM771">IF(ROWS($AN$2:$AN770)&lt;=$AN$2,INDEX($V$3:$V$3000,_xlfn.AGGREGATE(15,3,($B$3:$B$3000=$AM$2)/($B$3:$B$3000=$AM$2)*(ROW($B$3:$B$3000)-ROW($B$2)),ROWS($AN$2:$AN770))),"")</f>
        <v/>
      </c>
      <c r="AN771" s="134" t="str" cm="1">
        <f t="array" ref="AN771">IF(ROWS($AN$2:$AN770)&lt;=$AN$2,INDEX($F$3:$F$3000,_xlfn.AGGREGATE(15,3,($B$3:$B$3000=$AM$2)/($B$3:$B$3000=$AM$2)*(ROW($B$3:$B$3000)-ROW($B$2)),ROWS($AN$2:$AN770))),"")</f>
        <v/>
      </c>
      <c r="AO771" s="135" t="str" cm="1">
        <f t="array" ref="AO771">IF(ROWS($AN$2:$AN770)&lt;=$AN$2,INDEX($G$3:$G$3000,_xlfn.AGGREGATE(15,3,($B$3:$B$3000=$AM$2)/($B$3:$B$3000=$AM$2)*(ROW($B$3:$B$3000)-ROW($B$2)),ROWS($AN$2:$AN770))),"")</f>
        <v/>
      </c>
      <c r="AP771" s="121"/>
      <c r="AT771" s="111"/>
      <c r="AW771" s="134"/>
      <c r="AX771" s="136"/>
      <c r="AY771" s="134"/>
    </row>
    <row r="772" spans="1:51" s="110" customFormat="1" ht="20" customHeight="1">
      <c r="A772" s="125" t="s">
        <v>185</v>
      </c>
      <c r="B772" s="126" t="s">
        <v>59</v>
      </c>
      <c r="C772" s="127">
        <v>19174</v>
      </c>
      <c r="D772" s="145">
        <v>113996</v>
      </c>
      <c r="E772" s="146" t="s">
        <v>1674</v>
      </c>
      <c r="F772" s="146" t="s">
        <v>1674</v>
      </c>
      <c r="G772" s="147">
        <v>200</v>
      </c>
      <c r="H772" s="147">
        <v>4</v>
      </c>
      <c r="I772" s="146" t="s">
        <v>209</v>
      </c>
      <c r="J772" s="146" t="s">
        <v>1675</v>
      </c>
      <c r="K772" s="146" t="s">
        <v>1674</v>
      </c>
      <c r="L772" s="147">
        <v>3</v>
      </c>
      <c r="M772" s="147">
        <v>1</v>
      </c>
      <c r="N772" s="146" t="s">
        <v>1544</v>
      </c>
      <c r="O772" s="147">
        <v>60</v>
      </c>
      <c r="P772" s="147">
        <v>3</v>
      </c>
      <c r="Q772" s="147">
        <v>19</v>
      </c>
      <c r="R772" s="146" t="s">
        <v>654</v>
      </c>
      <c r="S772" s="146" t="s">
        <v>655</v>
      </c>
      <c r="T772" s="147">
        <v>244</v>
      </c>
      <c r="U772" s="146" t="s">
        <v>656</v>
      </c>
      <c r="V772" s="146" t="s">
        <v>657</v>
      </c>
      <c r="W772" s="147">
        <v>1</v>
      </c>
      <c r="X772" s="147">
        <v>2</v>
      </c>
      <c r="Y772" s="146" t="s">
        <v>194</v>
      </c>
      <c r="Z772" s="146" t="s">
        <v>195</v>
      </c>
      <c r="AA772" s="146" t="s">
        <v>196</v>
      </c>
      <c r="AB772" s="146" t="s">
        <v>187</v>
      </c>
      <c r="AC772" s="146" t="s">
        <v>187</v>
      </c>
      <c r="AD772" s="148"/>
      <c r="AE772" s="146" t="s">
        <v>209</v>
      </c>
      <c r="AF772" s="147">
        <v>-2.87737</v>
      </c>
      <c r="AG772" s="149">
        <v>137.95354</v>
      </c>
      <c r="AM772" s="133" t="str" cm="1">
        <f t="array" ref="AM772">IF(ROWS($AN$2:$AN771)&lt;=$AN$2,INDEX($V$3:$V$3000,_xlfn.AGGREGATE(15,3,($B$3:$B$3000=$AM$2)/($B$3:$B$3000=$AM$2)*(ROW($B$3:$B$3000)-ROW($B$2)),ROWS($AN$2:$AN771))),"")</f>
        <v/>
      </c>
      <c r="AN772" s="134" t="str" cm="1">
        <f t="array" ref="AN772">IF(ROWS($AN$2:$AN771)&lt;=$AN$2,INDEX($F$3:$F$3000,_xlfn.AGGREGATE(15,3,($B$3:$B$3000=$AM$2)/($B$3:$B$3000=$AM$2)*(ROW($B$3:$B$3000)-ROW($B$2)),ROWS($AN$2:$AN771))),"")</f>
        <v/>
      </c>
      <c r="AO772" s="135" t="str" cm="1">
        <f t="array" ref="AO772">IF(ROWS($AN$2:$AN771)&lt;=$AN$2,INDEX($G$3:$G$3000,_xlfn.AGGREGATE(15,3,($B$3:$B$3000=$AM$2)/($B$3:$B$3000=$AM$2)*(ROW($B$3:$B$3000)-ROW($B$2)),ROWS($AN$2:$AN771))),"")</f>
        <v/>
      </c>
      <c r="AP772" s="121"/>
      <c r="AT772" s="111"/>
      <c r="AW772" s="134"/>
      <c r="AX772" s="136"/>
      <c r="AY772" s="134"/>
    </row>
    <row r="773" spans="1:51" s="110" customFormat="1" ht="20" customHeight="1">
      <c r="A773" s="125" t="s">
        <v>185</v>
      </c>
      <c r="B773" s="126" t="s">
        <v>59</v>
      </c>
      <c r="C773" s="127">
        <v>14346</v>
      </c>
      <c r="D773" s="145">
        <v>107952</v>
      </c>
      <c r="E773" s="146" t="s">
        <v>1676</v>
      </c>
      <c r="F773" s="146" t="s">
        <v>1676</v>
      </c>
      <c r="G773" s="147">
        <v>200</v>
      </c>
      <c r="H773" s="147">
        <v>4</v>
      </c>
      <c r="I773" s="146" t="s">
        <v>209</v>
      </c>
      <c r="J773" s="146" t="s">
        <v>1677</v>
      </c>
      <c r="K773" s="146" t="s">
        <v>1678</v>
      </c>
      <c r="L773" s="147">
        <v>1</v>
      </c>
      <c r="M773" s="147">
        <v>1</v>
      </c>
      <c r="N773" s="146" t="s">
        <v>1544</v>
      </c>
      <c r="O773" s="147">
        <v>60</v>
      </c>
      <c r="P773" s="147">
        <v>3</v>
      </c>
      <c r="Q773" s="147">
        <v>19</v>
      </c>
      <c r="R773" s="146" t="s">
        <v>654</v>
      </c>
      <c r="S773" s="146" t="s">
        <v>655</v>
      </c>
      <c r="T773" s="147">
        <v>244</v>
      </c>
      <c r="U773" s="146" t="s">
        <v>656</v>
      </c>
      <c r="V773" s="146" t="s">
        <v>657</v>
      </c>
      <c r="W773" s="147">
        <v>1</v>
      </c>
      <c r="X773" s="147">
        <v>2</v>
      </c>
      <c r="Y773" s="146" t="s">
        <v>194</v>
      </c>
      <c r="Z773" s="146" t="s">
        <v>195</v>
      </c>
      <c r="AA773" s="146" t="s">
        <v>196</v>
      </c>
      <c r="AB773" s="146" t="s">
        <v>187</v>
      </c>
      <c r="AC773" s="146" t="s">
        <v>187</v>
      </c>
      <c r="AD773" s="148"/>
      <c r="AE773" s="146" t="s">
        <v>209</v>
      </c>
      <c r="AF773" s="147">
        <v>-1.6834100000000001</v>
      </c>
      <c r="AG773" s="149">
        <v>138.00196</v>
      </c>
      <c r="AM773" s="133" t="str" cm="1">
        <f t="array" ref="AM773">IF(ROWS($AN$2:$AN772)&lt;=$AN$2,INDEX($V$3:$V$3000,_xlfn.AGGREGATE(15,3,($B$3:$B$3000=$AM$2)/($B$3:$B$3000=$AM$2)*(ROW($B$3:$B$3000)-ROW($B$2)),ROWS($AN$2:$AN772))),"")</f>
        <v/>
      </c>
      <c r="AN773" s="134" t="str" cm="1">
        <f t="array" ref="AN773">IF(ROWS($AN$2:$AN772)&lt;=$AN$2,INDEX($F$3:$F$3000,_xlfn.AGGREGATE(15,3,($B$3:$B$3000=$AM$2)/($B$3:$B$3000=$AM$2)*(ROW($B$3:$B$3000)-ROW($B$2)),ROWS($AN$2:$AN772))),"")</f>
        <v/>
      </c>
      <c r="AO773" s="135" t="str" cm="1">
        <f t="array" ref="AO773">IF(ROWS($AN$2:$AN772)&lt;=$AN$2,INDEX($G$3:$G$3000,_xlfn.AGGREGATE(15,3,($B$3:$B$3000=$AM$2)/($B$3:$B$3000=$AM$2)*(ROW($B$3:$B$3000)-ROW($B$2)),ROWS($AN$2:$AN772))),"")</f>
        <v/>
      </c>
      <c r="AP773" s="121"/>
      <c r="AT773" s="111"/>
      <c r="AW773" s="134"/>
      <c r="AX773" s="136"/>
      <c r="AY773" s="134"/>
    </row>
    <row r="774" spans="1:51" s="110" customFormat="1" ht="20" customHeight="1">
      <c r="A774" s="125" t="s">
        <v>185</v>
      </c>
      <c r="B774" s="126" t="s">
        <v>59</v>
      </c>
      <c r="C774" s="127">
        <v>14787</v>
      </c>
      <c r="D774" s="145">
        <v>108754</v>
      </c>
      <c r="E774" s="146" t="s">
        <v>1684</v>
      </c>
      <c r="F774" s="146" t="s">
        <v>1684</v>
      </c>
      <c r="G774" s="147">
        <v>200</v>
      </c>
      <c r="H774" s="147">
        <v>4</v>
      </c>
      <c r="I774" s="146" t="s">
        <v>209</v>
      </c>
      <c r="J774" s="146" t="s">
        <v>1685</v>
      </c>
      <c r="K774" s="146" t="s">
        <v>1684</v>
      </c>
      <c r="L774" s="147">
        <v>1</v>
      </c>
      <c r="M774" s="147">
        <v>1</v>
      </c>
      <c r="N774" s="146" t="s">
        <v>1544</v>
      </c>
      <c r="O774" s="147">
        <v>70</v>
      </c>
      <c r="P774" s="147">
        <v>3</v>
      </c>
      <c r="Q774" s="147">
        <v>19</v>
      </c>
      <c r="R774" s="146" t="s">
        <v>654</v>
      </c>
      <c r="S774" s="146" t="s">
        <v>655</v>
      </c>
      <c r="T774" s="147">
        <v>244</v>
      </c>
      <c r="U774" s="146" t="s">
        <v>656</v>
      </c>
      <c r="V774" s="146" t="s">
        <v>657</v>
      </c>
      <c r="W774" s="147">
        <v>1</v>
      </c>
      <c r="X774" s="147">
        <v>2</v>
      </c>
      <c r="Y774" s="146" t="s">
        <v>194</v>
      </c>
      <c r="Z774" s="146" t="s">
        <v>195</v>
      </c>
      <c r="AA774" s="146" t="s">
        <v>196</v>
      </c>
      <c r="AB774" s="146" t="s">
        <v>187</v>
      </c>
      <c r="AC774" s="146" t="s">
        <v>187</v>
      </c>
      <c r="AD774" s="148"/>
      <c r="AE774" s="146" t="s">
        <v>209</v>
      </c>
      <c r="AF774" s="147">
        <v>-2.39954</v>
      </c>
      <c r="AG774" s="149">
        <v>136.83599000000001</v>
      </c>
      <c r="AM774" s="133" t="str" cm="1">
        <f t="array" ref="AM774">IF(ROWS($AN$2:$AN773)&lt;=$AN$2,INDEX($V$3:$V$3000,_xlfn.AGGREGATE(15,3,($B$3:$B$3000=$AM$2)/($B$3:$B$3000=$AM$2)*(ROW($B$3:$B$3000)-ROW($B$2)),ROWS($AN$2:$AN773))),"")</f>
        <v/>
      </c>
      <c r="AN774" s="134" t="str" cm="1">
        <f t="array" ref="AN774">IF(ROWS($AN$2:$AN773)&lt;=$AN$2,INDEX($F$3:$F$3000,_xlfn.AGGREGATE(15,3,($B$3:$B$3000=$AM$2)/($B$3:$B$3000=$AM$2)*(ROW($B$3:$B$3000)-ROW($B$2)),ROWS($AN$2:$AN773))),"")</f>
        <v/>
      </c>
      <c r="AO774" s="135" t="str" cm="1">
        <f t="array" ref="AO774">IF(ROWS($AN$2:$AN773)&lt;=$AN$2,INDEX($G$3:$G$3000,_xlfn.AGGREGATE(15,3,($B$3:$B$3000=$AM$2)/($B$3:$B$3000=$AM$2)*(ROW($B$3:$B$3000)-ROW($B$2)),ROWS($AN$2:$AN773))),"")</f>
        <v/>
      </c>
      <c r="AP774" s="121"/>
      <c r="AT774" s="111"/>
      <c r="AW774" s="134"/>
      <c r="AX774" s="136"/>
      <c r="AY774" s="134"/>
    </row>
    <row r="775" spans="1:51" s="110" customFormat="1" ht="20" customHeight="1">
      <c r="A775" s="125" t="s">
        <v>185</v>
      </c>
      <c r="B775" s="126" t="s">
        <v>59</v>
      </c>
      <c r="C775" s="127">
        <v>15574</v>
      </c>
      <c r="D775" s="145">
        <v>110186</v>
      </c>
      <c r="E775" s="146" t="s">
        <v>1686</v>
      </c>
      <c r="F775" s="146" t="s">
        <v>1686</v>
      </c>
      <c r="G775" s="147">
        <v>200</v>
      </c>
      <c r="H775" s="147">
        <v>4</v>
      </c>
      <c r="I775" s="146" t="s">
        <v>209</v>
      </c>
      <c r="J775" s="146" t="s">
        <v>1687</v>
      </c>
      <c r="K775" s="146" t="s">
        <v>1686</v>
      </c>
      <c r="L775" s="147">
        <v>0</v>
      </c>
      <c r="M775" s="147">
        <v>1</v>
      </c>
      <c r="N775" s="146" t="s">
        <v>1544</v>
      </c>
      <c r="O775" s="147">
        <v>70</v>
      </c>
      <c r="P775" s="147">
        <v>3</v>
      </c>
      <c r="Q775" s="147">
        <v>19</v>
      </c>
      <c r="R775" s="146" t="s">
        <v>654</v>
      </c>
      <c r="S775" s="146" t="s">
        <v>655</v>
      </c>
      <c r="T775" s="147">
        <v>244</v>
      </c>
      <c r="U775" s="146" t="s">
        <v>656</v>
      </c>
      <c r="V775" s="146" t="s">
        <v>657</v>
      </c>
      <c r="W775" s="147">
        <v>1</v>
      </c>
      <c r="X775" s="147">
        <v>2</v>
      </c>
      <c r="Y775" s="146" t="s">
        <v>194</v>
      </c>
      <c r="Z775" s="146" t="s">
        <v>195</v>
      </c>
      <c r="AA775" s="146" t="s">
        <v>196</v>
      </c>
      <c r="AB775" s="146" t="s">
        <v>187</v>
      </c>
      <c r="AC775" s="146" t="s">
        <v>187</v>
      </c>
      <c r="AD775" s="148"/>
      <c r="AE775" s="146" t="s">
        <v>209</v>
      </c>
      <c r="AF775" s="147">
        <v>-3.8352499999999998</v>
      </c>
      <c r="AG775" s="149">
        <v>140.76828</v>
      </c>
      <c r="AM775" s="133" t="str" cm="1">
        <f t="array" ref="AM775">IF(ROWS($AN$2:$AN774)&lt;=$AN$2,INDEX($V$3:$V$3000,_xlfn.AGGREGATE(15,3,($B$3:$B$3000=$AM$2)/($B$3:$B$3000=$AM$2)*(ROW($B$3:$B$3000)-ROW($B$2)),ROWS($AN$2:$AN774))),"")</f>
        <v/>
      </c>
      <c r="AN775" s="134" t="str" cm="1">
        <f t="array" ref="AN775">IF(ROWS($AN$2:$AN774)&lt;=$AN$2,INDEX($F$3:$F$3000,_xlfn.AGGREGATE(15,3,($B$3:$B$3000=$AM$2)/($B$3:$B$3000=$AM$2)*(ROW($B$3:$B$3000)-ROW($B$2)),ROWS($AN$2:$AN774))),"")</f>
        <v/>
      </c>
      <c r="AO775" s="135" t="str" cm="1">
        <f t="array" ref="AO775">IF(ROWS($AN$2:$AN774)&lt;=$AN$2,INDEX($G$3:$G$3000,_xlfn.AGGREGATE(15,3,($B$3:$B$3000=$AM$2)/($B$3:$B$3000=$AM$2)*(ROW($B$3:$B$3000)-ROW($B$2)),ROWS($AN$2:$AN774))),"")</f>
        <v/>
      </c>
      <c r="AP775" s="121"/>
      <c r="AT775" s="111"/>
      <c r="AW775" s="134"/>
      <c r="AX775" s="136"/>
      <c r="AY775" s="134"/>
    </row>
    <row r="776" spans="1:51" s="110" customFormat="1" ht="20" customHeight="1">
      <c r="A776" s="125" t="s">
        <v>185</v>
      </c>
      <c r="B776" s="126" t="s">
        <v>59</v>
      </c>
      <c r="C776" s="127">
        <v>15911</v>
      </c>
      <c r="D776" s="145">
        <v>110750</v>
      </c>
      <c r="E776" s="146" t="s">
        <v>1691</v>
      </c>
      <c r="F776" s="146" t="s">
        <v>1692</v>
      </c>
      <c r="G776" s="147">
        <v>200</v>
      </c>
      <c r="H776" s="147">
        <v>4</v>
      </c>
      <c r="I776" s="146" t="s">
        <v>209</v>
      </c>
      <c r="J776" s="146" t="s">
        <v>1693</v>
      </c>
      <c r="K776" s="146" t="s">
        <v>1694</v>
      </c>
      <c r="L776" s="147">
        <v>1</v>
      </c>
      <c r="M776" s="147">
        <v>1</v>
      </c>
      <c r="N776" s="146" t="s">
        <v>1544</v>
      </c>
      <c r="O776" s="147">
        <v>62</v>
      </c>
      <c r="P776" s="147">
        <v>7</v>
      </c>
      <c r="Q776" s="147">
        <v>19</v>
      </c>
      <c r="R776" s="146" t="s">
        <v>654</v>
      </c>
      <c r="S776" s="146" t="s">
        <v>655</v>
      </c>
      <c r="T776" s="147">
        <v>244</v>
      </c>
      <c r="U776" s="146" t="s">
        <v>656</v>
      </c>
      <c r="V776" s="146" t="s">
        <v>657</v>
      </c>
      <c r="W776" s="147">
        <v>1</v>
      </c>
      <c r="X776" s="147">
        <v>2</v>
      </c>
      <c r="Y776" s="146" t="s">
        <v>194</v>
      </c>
      <c r="Z776" s="146" t="s">
        <v>195</v>
      </c>
      <c r="AA776" s="146" t="s">
        <v>196</v>
      </c>
      <c r="AB776" s="146" t="s">
        <v>187</v>
      </c>
      <c r="AC776" s="146" t="s">
        <v>187</v>
      </c>
      <c r="AD776" s="148"/>
      <c r="AE776" s="146" t="s">
        <v>209</v>
      </c>
      <c r="AF776" s="147">
        <v>-3.1619600000000001</v>
      </c>
      <c r="AG776" s="149">
        <v>138.48481000000001</v>
      </c>
      <c r="AM776" s="133" t="str" cm="1">
        <f t="array" ref="AM776">IF(ROWS($AN$2:$AN775)&lt;=$AN$2,INDEX($V$3:$V$3000,_xlfn.AGGREGATE(15,3,($B$3:$B$3000=$AM$2)/($B$3:$B$3000=$AM$2)*(ROW($B$3:$B$3000)-ROW($B$2)),ROWS($AN$2:$AN775))),"")</f>
        <v/>
      </c>
      <c r="AN776" s="134" t="str" cm="1">
        <f t="array" ref="AN776">IF(ROWS($AN$2:$AN775)&lt;=$AN$2,INDEX($F$3:$F$3000,_xlfn.AGGREGATE(15,3,($B$3:$B$3000=$AM$2)/($B$3:$B$3000=$AM$2)*(ROW($B$3:$B$3000)-ROW($B$2)),ROWS($AN$2:$AN775))),"")</f>
        <v/>
      </c>
      <c r="AO776" s="135" t="str" cm="1">
        <f t="array" ref="AO776">IF(ROWS($AN$2:$AN775)&lt;=$AN$2,INDEX($G$3:$G$3000,_xlfn.AGGREGATE(15,3,($B$3:$B$3000=$AM$2)/($B$3:$B$3000=$AM$2)*(ROW($B$3:$B$3000)-ROW($B$2)),ROWS($AN$2:$AN775))),"")</f>
        <v/>
      </c>
      <c r="AP776" s="121"/>
      <c r="AT776" s="111"/>
      <c r="AW776" s="134"/>
      <c r="AX776" s="136"/>
      <c r="AY776" s="134"/>
    </row>
    <row r="777" spans="1:51" s="110" customFormat="1" ht="20" customHeight="1">
      <c r="A777" s="125" t="s">
        <v>185</v>
      </c>
      <c r="B777" s="126" t="s">
        <v>59</v>
      </c>
      <c r="C777" s="127">
        <v>19296</v>
      </c>
      <c r="D777" s="145">
        <v>115366</v>
      </c>
      <c r="E777" s="146" t="s">
        <v>1578</v>
      </c>
      <c r="F777" s="146" t="s">
        <v>1578</v>
      </c>
      <c r="G777" s="147">
        <v>100</v>
      </c>
      <c r="H777" s="147">
        <v>4</v>
      </c>
      <c r="I777" s="146" t="s">
        <v>209</v>
      </c>
      <c r="J777" s="146" t="s">
        <v>1579</v>
      </c>
      <c r="K777" s="146" t="s">
        <v>1578</v>
      </c>
      <c r="L777" s="147">
        <v>1</v>
      </c>
      <c r="M777" s="147">
        <v>1</v>
      </c>
      <c r="N777" s="146" t="s">
        <v>1544</v>
      </c>
      <c r="O777" s="147">
        <v>60</v>
      </c>
      <c r="P777" s="147">
        <v>3</v>
      </c>
      <c r="Q777" s="147">
        <v>19</v>
      </c>
      <c r="R777" s="146" t="s">
        <v>654</v>
      </c>
      <c r="S777" s="146" t="s">
        <v>655</v>
      </c>
      <c r="T777" s="147">
        <v>244</v>
      </c>
      <c r="U777" s="146" t="s">
        <v>656</v>
      </c>
      <c r="V777" s="146" t="s">
        <v>657</v>
      </c>
      <c r="W777" s="147">
        <v>1</v>
      </c>
      <c r="X777" s="147">
        <v>2</v>
      </c>
      <c r="Y777" s="146" t="s">
        <v>194</v>
      </c>
      <c r="Z777" s="146" t="s">
        <v>195</v>
      </c>
      <c r="AA777" s="146" t="s">
        <v>196</v>
      </c>
      <c r="AB777" s="146" t="s">
        <v>187</v>
      </c>
      <c r="AC777" s="146" t="s">
        <v>187</v>
      </c>
      <c r="AD777" s="148"/>
      <c r="AE777" s="146" t="s">
        <v>209</v>
      </c>
      <c r="AF777" s="147">
        <v>-8.9009099999999997</v>
      </c>
      <c r="AG777" s="149">
        <v>140.93021999999999</v>
      </c>
      <c r="AM777" s="133" t="str" cm="1">
        <f t="array" ref="AM777">IF(ROWS($AN$2:$AN776)&lt;=$AN$2,INDEX($V$3:$V$3000,_xlfn.AGGREGATE(15,3,($B$3:$B$3000=$AM$2)/($B$3:$B$3000=$AM$2)*(ROW($B$3:$B$3000)-ROW($B$2)),ROWS($AN$2:$AN776))),"")</f>
        <v/>
      </c>
      <c r="AN777" s="134" t="str" cm="1">
        <f t="array" ref="AN777">IF(ROWS($AN$2:$AN776)&lt;=$AN$2,INDEX($F$3:$F$3000,_xlfn.AGGREGATE(15,3,($B$3:$B$3000=$AM$2)/($B$3:$B$3000=$AM$2)*(ROW($B$3:$B$3000)-ROW($B$2)),ROWS($AN$2:$AN776))),"")</f>
        <v/>
      </c>
      <c r="AO777" s="135" t="str" cm="1">
        <f t="array" ref="AO777">IF(ROWS($AN$2:$AN776)&lt;=$AN$2,INDEX($G$3:$G$3000,_xlfn.AGGREGATE(15,3,($B$3:$B$3000=$AM$2)/($B$3:$B$3000=$AM$2)*(ROW($B$3:$B$3000)-ROW($B$2)),ROWS($AN$2:$AN776))),"")</f>
        <v/>
      </c>
      <c r="AP777" s="121"/>
      <c r="AT777" s="111"/>
      <c r="AW777" s="134"/>
      <c r="AX777" s="136"/>
      <c r="AY777" s="134"/>
    </row>
    <row r="778" spans="1:51" s="110" customFormat="1" ht="20" customHeight="1">
      <c r="A778" s="125" t="s">
        <v>185</v>
      </c>
      <c r="B778" s="126" t="s">
        <v>59</v>
      </c>
      <c r="C778" s="127">
        <v>12507</v>
      </c>
      <c r="D778" s="145">
        <v>104603</v>
      </c>
      <c r="E778" s="146" t="s">
        <v>1580</v>
      </c>
      <c r="F778" s="146" t="s">
        <v>1580</v>
      </c>
      <c r="G778" s="147">
        <v>100</v>
      </c>
      <c r="H778" s="147">
        <v>4</v>
      </c>
      <c r="I778" s="146" t="s">
        <v>209</v>
      </c>
      <c r="J778" s="146" t="s">
        <v>1581</v>
      </c>
      <c r="K778" s="146" t="s">
        <v>1580</v>
      </c>
      <c r="L778" s="147">
        <v>1</v>
      </c>
      <c r="M778" s="147">
        <v>1</v>
      </c>
      <c r="N778" s="146" t="s">
        <v>1544</v>
      </c>
      <c r="O778" s="147">
        <v>70</v>
      </c>
      <c r="P778" s="147">
        <v>3</v>
      </c>
      <c r="Q778" s="147">
        <v>19</v>
      </c>
      <c r="R778" s="146" t="s">
        <v>654</v>
      </c>
      <c r="S778" s="146" t="s">
        <v>655</v>
      </c>
      <c r="T778" s="147">
        <v>244</v>
      </c>
      <c r="U778" s="146" t="s">
        <v>656</v>
      </c>
      <c r="V778" s="146" t="s">
        <v>657</v>
      </c>
      <c r="W778" s="147">
        <v>2</v>
      </c>
      <c r="X778" s="147">
        <v>2</v>
      </c>
      <c r="Y778" s="146" t="s">
        <v>194</v>
      </c>
      <c r="Z778" s="146" t="s">
        <v>195</v>
      </c>
      <c r="AA778" s="146" t="s">
        <v>196</v>
      </c>
      <c r="AB778" s="146" t="s">
        <v>187</v>
      </c>
      <c r="AC778" s="146" t="s">
        <v>187</v>
      </c>
      <c r="AD778" s="148"/>
      <c r="AE778" s="146" t="s">
        <v>209</v>
      </c>
      <c r="AF778" s="147">
        <v>-8.4017300000000006</v>
      </c>
      <c r="AG778" s="149">
        <v>140.97907000000001</v>
      </c>
      <c r="AM778" s="133" t="str" cm="1">
        <f t="array" ref="AM778">IF(ROWS($AN$2:$AN777)&lt;=$AN$2,INDEX($V$3:$V$3000,_xlfn.AGGREGATE(15,3,($B$3:$B$3000=$AM$2)/($B$3:$B$3000=$AM$2)*(ROW($B$3:$B$3000)-ROW($B$2)),ROWS($AN$2:$AN777))),"")</f>
        <v/>
      </c>
      <c r="AN778" s="134" t="str" cm="1">
        <f t="array" ref="AN778">IF(ROWS($AN$2:$AN777)&lt;=$AN$2,INDEX($F$3:$F$3000,_xlfn.AGGREGATE(15,3,($B$3:$B$3000=$AM$2)/($B$3:$B$3000=$AM$2)*(ROW($B$3:$B$3000)-ROW($B$2)),ROWS($AN$2:$AN777))),"")</f>
        <v/>
      </c>
      <c r="AO778" s="135" t="str" cm="1">
        <f t="array" ref="AO778">IF(ROWS($AN$2:$AN777)&lt;=$AN$2,INDEX($G$3:$G$3000,_xlfn.AGGREGATE(15,3,($B$3:$B$3000=$AM$2)/($B$3:$B$3000=$AM$2)*(ROW($B$3:$B$3000)-ROW($B$2)),ROWS($AN$2:$AN777))),"")</f>
        <v/>
      </c>
      <c r="AP778" s="121"/>
      <c r="AT778" s="111"/>
      <c r="AW778" s="134"/>
      <c r="AX778" s="136"/>
      <c r="AY778" s="134"/>
    </row>
    <row r="779" spans="1:51" s="110" customFormat="1" ht="20" customHeight="1">
      <c r="A779" s="125" t="s">
        <v>185</v>
      </c>
      <c r="B779" s="126" t="s">
        <v>59</v>
      </c>
      <c r="C779" s="127">
        <v>12736</v>
      </c>
      <c r="D779" s="145">
        <v>105081</v>
      </c>
      <c r="E779" s="146" t="s">
        <v>1582</v>
      </c>
      <c r="F779" s="146" t="s">
        <v>1582</v>
      </c>
      <c r="G779" s="147">
        <v>100</v>
      </c>
      <c r="H779" s="147">
        <v>4</v>
      </c>
      <c r="I779" s="146" t="s">
        <v>209</v>
      </c>
      <c r="J779" s="146" t="s">
        <v>1583</v>
      </c>
      <c r="K779" s="146" t="s">
        <v>1582</v>
      </c>
      <c r="L779" s="147">
        <v>0</v>
      </c>
      <c r="M779" s="147">
        <v>1</v>
      </c>
      <c r="N779" s="146" t="s">
        <v>1544</v>
      </c>
      <c r="O779" s="147">
        <v>70</v>
      </c>
      <c r="P779" s="147">
        <v>4</v>
      </c>
      <c r="Q779" s="147">
        <v>19</v>
      </c>
      <c r="R779" s="146" t="s">
        <v>654</v>
      </c>
      <c r="S779" s="146" t="s">
        <v>655</v>
      </c>
      <c r="T779" s="147">
        <v>244</v>
      </c>
      <c r="U779" s="146" t="s">
        <v>656</v>
      </c>
      <c r="V779" s="146" t="s">
        <v>657</v>
      </c>
      <c r="W779" s="147">
        <v>1</v>
      </c>
      <c r="X779" s="147">
        <v>2</v>
      </c>
      <c r="Y779" s="146" t="s">
        <v>194</v>
      </c>
      <c r="Z779" s="146" t="s">
        <v>195</v>
      </c>
      <c r="AA779" s="146" t="s">
        <v>196</v>
      </c>
      <c r="AB779" s="146" t="s">
        <v>187</v>
      </c>
      <c r="AC779" s="146" t="s">
        <v>187</v>
      </c>
      <c r="AD779" s="148"/>
      <c r="AE779" s="146" t="s">
        <v>209</v>
      </c>
      <c r="AF779" s="147">
        <v>-2.4462600000000001</v>
      </c>
      <c r="AG779" s="149">
        <v>136.9134</v>
      </c>
      <c r="AM779" s="133" t="str" cm="1">
        <f t="array" ref="AM779">IF(ROWS($AN$2:$AN778)&lt;=$AN$2,INDEX($V$3:$V$3000,_xlfn.AGGREGATE(15,3,($B$3:$B$3000=$AM$2)/($B$3:$B$3000=$AM$2)*(ROW($B$3:$B$3000)-ROW($B$2)),ROWS($AN$2:$AN778))),"")</f>
        <v/>
      </c>
      <c r="AN779" s="134" t="str" cm="1">
        <f t="array" ref="AN779">IF(ROWS($AN$2:$AN778)&lt;=$AN$2,INDEX($F$3:$F$3000,_xlfn.AGGREGATE(15,3,($B$3:$B$3000=$AM$2)/($B$3:$B$3000=$AM$2)*(ROW($B$3:$B$3000)-ROW($B$2)),ROWS($AN$2:$AN778))),"")</f>
        <v/>
      </c>
      <c r="AO779" s="135" t="str" cm="1">
        <f t="array" ref="AO779">IF(ROWS($AN$2:$AN778)&lt;=$AN$2,INDEX($G$3:$G$3000,_xlfn.AGGREGATE(15,3,($B$3:$B$3000=$AM$2)/($B$3:$B$3000=$AM$2)*(ROW($B$3:$B$3000)-ROW($B$2)),ROWS($AN$2:$AN778))),"")</f>
        <v/>
      </c>
      <c r="AP779" s="121"/>
      <c r="AT779" s="111"/>
      <c r="AW779" s="134"/>
      <c r="AX779" s="136"/>
      <c r="AY779" s="134"/>
    </row>
    <row r="780" spans="1:51" s="110" customFormat="1" ht="20" customHeight="1">
      <c r="A780" s="125" t="s">
        <v>185</v>
      </c>
      <c r="B780" s="126" t="s">
        <v>59</v>
      </c>
      <c r="C780" s="127">
        <v>13682</v>
      </c>
      <c r="D780" s="145">
        <v>106555</v>
      </c>
      <c r="E780" s="146" t="s">
        <v>1591</v>
      </c>
      <c r="F780" s="146" t="s">
        <v>1591</v>
      </c>
      <c r="G780" s="147">
        <v>100</v>
      </c>
      <c r="H780" s="147">
        <v>4</v>
      </c>
      <c r="I780" s="146" t="s">
        <v>209</v>
      </c>
      <c r="J780" s="146" t="s">
        <v>1592</v>
      </c>
      <c r="K780" s="146" t="s">
        <v>1591</v>
      </c>
      <c r="L780" s="147">
        <v>1</v>
      </c>
      <c r="M780" s="147">
        <v>1</v>
      </c>
      <c r="N780" s="146" t="s">
        <v>1544</v>
      </c>
      <c r="O780" s="147">
        <v>56</v>
      </c>
      <c r="P780" s="147">
        <v>3</v>
      </c>
      <c r="Q780" s="147">
        <v>19</v>
      </c>
      <c r="R780" s="146" t="s">
        <v>654</v>
      </c>
      <c r="S780" s="146" t="s">
        <v>655</v>
      </c>
      <c r="T780" s="147">
        <v>244</v>
      </c>
      <c r="U780" s="146" t="s">
        <v>656</v>
      </c>
      <c r="V780" s="146" t="s">
        <v>657</v>
      </c>
      <c r="W780" s="147">
        <v>1</v>
      </c>
      <c r="X780" s="147">
        <v>2</v>
      </c>
      <c r="Y780" s="146" t="s">
        <v>194</v>
      </c>
      <c r="Z780" s="146" t="s">
        <v>195</v>
      </c>
      <c r="AA780" s="146" t="s">
        <v>196</v>
      </c>
      <c r="AB780" s="146" t="s">
        <v>187</v>
      </c>
      <c r="AC780" s="146" t="s">
        <v>187</v>
      </c>
      <c r="AD780" s="148"/>
      <c r="AE780" s="146" t="s">
        <v>209</v>
      </c>
      <c r="AF780" s="147">
        <v>-3.4211800000000001</v>
      </c>
      <c r="AG780" s="149">
        <v>134.69403</v>
      </c>
      <c r="AM780" s="133" t="str" cm="1">
        <f t="array" ref="AM780">IF(ROWS($AN$2:$AN779)&lt;=$AN$2,INDEX($V$3:$V$3000,_xlfn.AGGREGATE(15,3,($B$3:$B$3000=$AM$2)/($B$3:$B$3000=$AM$2)*(ROW($B$3:$B$3000)-ROW($B$2)),ROWS($AN$2:$AN779))),"")</f>
        <v/>
      </c>
      <c r="AN780" s="134" t="str" cm="1">
        <f t="array" ref="AN780">IF(ROWS($AN$2:$AN779)&lt;=$AN$2,INDEX($F$3:$F$3000,_xlfn.AGGREGATE(15,3,($B$3:$B$3000=$AM$2)/($B$3:$B$3000=$AM$2)*(ROW($B$3:$B$3000)-ROW($B$2)),ROWS($AN$2:$AN779))),"")</f>
        <v/>
      </c>
      <c r="AO780" s="135" t="str" cm="1">
        <f t="array" ref="AO780">IF(ROWS($AN$2:$AN779)&lt;=$AN$2,INDEX($G$3:$G$3000,_xlfn.AGGREGATE(15,3,($B$3:$B$3000=$AM$2)/($B$3:$B$3000=$AM$2)*(ROW($B$3:$B$3000)-ROW($B$2)),ROWS($AN$2:$AN779))),"")</f>
        <v/>
      </c>
      <c r="AP780" s="121"/>
      <c r="AT780" s="111"/>
      <c r="AW780" s="134"/>
      <c r="AX780" s="136"/>
      <c r="AY780" s="134"/>
    </row>
    <row r="781" spans="1:51" s="110" customFormat="1" ht="20" customHeight="1">
      <c r="A781" s="125" t="s">
        <v>185</v>
      </c>
      <c r="B781" s="126" t="s">
        <v>59</v>
      </c>
      <c r="C781" s="127">
        <v>13403</v>
      </c>
      <c r="D781" s="145">
        <v>107333</v>
      </c>
      <c r="E781" s="146" t="s">
        <v>1593</v>
      </c>
      <c r="F781" s="146" t="s">
        <v>1594</v>
      </c>
      <c r="G781" s="147">
        <v>100</v>
      </c>
      <c r="H781" s="147">
        <v>4</v>
      </c>
      <c r="I781" s="146" t="s">
        <v>209</v>
      </c>
      <c r="J781" s="146" t="s">
        <v>1595</v>
      </c>
      <c r="K781" s="146" t="s">
        <v>1593</v>
      </c>
      <c r="L781" s="147">
        <v>2</v>
      </c>
      <c r="M781" s="147">
        <v>1</v>
      </c>
      <c r="N781" s="146" t="s">
        <v>1544</v>
      </c>
      <c r="O781" s="147">
        <v>68</v>
      </c>
      <c r="P781" s="147">
        <v>5</v>
      </c>
      <c r="Q781" s="147">
        <v>19</v>
      </c>
      <c r="R781" s="146" t="s">
        <v>654</v>
      </c>
      <c r="S781" s="146" t="s">
        <v>655</v>
      </c>
      <c r="T781" s="147">
        <v>244</v>
      </c>
      <c r="U781" s="146" t="s">
        <v>656</v>
      </c>
      <c r="V781" s="146" t="s">
        <v>657</v>
      </c>
      <c r="W781" s="147">
        <v>2</v>
      </c>
      <c r="X781" s="147">
        <v>2</v>
      </c>
      <c r="Y781" s="146" t="s">
        <v>194</v>
      </c>
      <c r="Z781" s="146" t="s">
        <v>195</v>
      </c>
      <c r="AA781" s="146" t="s">
        <v>196</v>
      </c>
      <c r="AB781" s="146" t="s">
        <v>187</v>
      </c>
      <c r="AC781" s="146" t="s">
        <v>187</v>
      </c>
      <c r="AD781" s="148"/>
      <c r="AE781" s="146" t="s">
        <v>209</v>
      </c>
      <c r="AF781" s="147">
        <v>-5.3727200000000002</v>
      </c>
      <c r="AG781" s="149">
        <v>140.9598</v>
      </c>
      <c r="AM781" s="133" t="str" cm="1">
        <f t="array" ref="AM781">IF(ROWS($AN$2:$AN780)&lt;=$AN$2,INDEX($V$3:$V$3000,_xlfn.AGGREGATE(15,3,($B$3:$B$3000=$AM$2)/($B$3:$B$3000=$AM$2)*(ROW($B$3:$B$3000)-ROW($B$2)),ROWS($AN$2:$AN780))),"")</f>
        <v/>
      </c>
      <c r="AN781" s="134" t="str" cm="1">
        <f t="array" ref="AN781">IF(ROWS($AN$2:$AN780)&lt;=$AN$2,INDEX($F$3:$F$3000,_xlfn.AGGREGATE(15,3,($B$3:$B$3000=$AM$2)/($B$3:$B$3000=$AM$2)*(ROW($B$3:$B$3000)-ROW($B$2)),ROWS($AN$2:$AN780))),"")</f>
        <v/>
      </c>
      <c r="AO781" s="135" t="str" cm="1">
        <f t="array" ref="AO781">IF(ROWS($AN$2:$AN780)&lt;=$AN$2,INDEX($G$3:$G$3000,_xlfn.AGGREGATE(15,3,($B$3:$B$3000=$AM$2)/($B$3:$B$3000=$AM$2)*(ROW($B$3:$B$3000)-ROW($B$2)),ROWS($AN$2:$AN780))),"")</f>
        <v/>
      </c>
      <c r="AP781" s="121"/>
      <c r="AT781" s="111"/>
      <c r="AW781" s="134"/>
      <c r="AX781" s="136"/>
      <c r="AY781" s="134"/>
    </row>
    <row r="782" spans="1:51" s="110" customFormat="1" ht="20" customHeight="1">
      <c r="A782" s="125" t="s">
        <v>185</v>
      </c>
      <c r="B782" s="126" t="s">
        <v>59</v>
      </c>
      <c r="C782" s="127">
        <v>18958</v>
      </c>
      <c r="D782" s="145">
        <v>114389</v>
      </c>
      <c r="E782" s="146" t="s">
        <v>1598</v>
      </c>
      <c r="F782" s="146" t="s">
        <v>1598</v>
      </c>
      <c r="G782" s="147">
        <v>100</v>
      </c>
      <c r="H782" s="147">
        <v>4</v>
      </c>
      <c r="I782" s="146" t="s">
        <v>209</v>
      </c>
      <c r="J782" s="146" t="s">
        <v>1599</v>
      </c>
      <c r="K782" s="146" t="s">
        <v>1598</v>
      </c>
      <c r="L782" s="147">
        <v>2</v>
      </c>
      <c r="M782" s="147">
        <v>1</v>
      </c>
      <c r="N782" s="146" t="s">
        <v>1544</v>
      </c>
      <c r="O782" s="147">
        <v>70</v>
      </c>
      <c r="P782" s="147">
        <v>4</v>
      </c>
      <c r="Q782" s="147">
        <v>19</v>
      </c>
      <c r="R782" s="146" t="s">
        <v>654</v>
      </c>
      <c r="S782" s="146" t="s">
        <v>655</v>
      </c>
      <c r="T782" s="147">
        <v>244</v>
      </c>
      <c r="U782" s="146" t="s">
        <v>656</v>
      </c>
      <c r="V782" s="146" t="s">
        <v>657</v>
      </c>
      <c r="W782" s="147">
        <v>1</v>
      </c>
      <c r="X782" s="147">
        <v>2</v>
      </c>
      <c r="Y782" s="146" t="s">
        <v>194</v>
      </c>
      <c r="Z782" s="146" t="s">
        <v>195</v>
      </c>
      <c r="AA782" s="146" t="s">
        <v>196</v>
      </c>
      <c r="AB782" s="146" t="s">
        <v>187</v>
      </c>
      <c r="AC782" s="146" t="s">
        <v>187</v>
      </c>
      <c r="AD782" s="148"/>
      <c r="AE782" s="146" t="s">
        <v>209</v>
      </c>
      <c r="AF782" s="147">
        <v>-5.1374599999999999</v>
      </c>
      <c r="AG782" s="149">
        <v>140.2859</v>
      </c>
      <c r="AM782" s="133" t="str" cm="1">
        <f t="array" ref="AM782">IF(ROWS($AN$2:$AN781)&lt;=$AN$2,INDEX($V$3:$V$3000,_xlfn.AGGREGATE(15,3,($B$3:$B$3000=$AM$2)/($B$3:$B$3000=$AM$2)*(ROW($B$3:$B$3000)-ROW($B$2)),ROWS($AN$2:$AN781))),"")</f>
        <v/>
      </c>
      <c r="AN782" s="134" t="str" cm="1">
        <f t="array" ref="AN782">IF(ROWS($AN$2:$AN781)&lt;=$AN$2,INDEX($F$3:$F$3000,_xlfn.AGGREGATE(15,3,($B$3:$B$3000=$AM$2)/($B$3:$B$3000=$AM$2)*(ROW($B$3:$B$3000)-ROW($B$2)),ROWS($AN$2:$AN781))),"")</f>
        <v/>
      </c>
      <c r="AO782" s="135" t="str" cm="1">
        <f t="array" ref="AO782">IF(ROWS($AN$2:$AN781)&lt;=$AN$2,INDEX($G$3:$G$3000,_xlfn.AGGREGATE(15,3,($B$3:$B$3000=$AM$2)/($B$3:$B$3000=$AM$2)*(ROW($B$3:$B$3000)-ROW($B$2)),ROWS($AN$2:$AN781))),"")</f>
        <v/>
      </c>
      <c r="AP782" s="121"/>
      <c r="AT782" s="111"/>
      <c r="AW782" s="134"/>
      <c r="AX782" s="136"/>
      <c r="AY782" s="134"/>
    </row>
    <row r="783" spans="1:51" s="110" customFormat="1" ht="20" customHeight="1">
      <c r="A783" s="125" t="s">
        <v>185</v>
      </c>
      <c r="B783" s="126" t="s">
        <v>59</v>
      </c>
      <c r="C783" s="127">
        <v>15317</v>
      </c>
      <c r="D783" s="145">
        <v>109918</v>
      </c>
      <c r="E783" s="146" t="s">
        <v>1600</v>
      </c>
      <c r="F783" s="146" t="s">
        <v>1600</v>
      </c>
      <c r="G783" s="147">
        <v>100</v>
      </c>
      <c r="H783" s="147">
        <v>4</v>
      </c>
      <c r="I783" s="146" t="s">
        <v>209</v>
      </c>
      <c r="J783" s="146" t="s">
        <v>1601</v>
      </c>
      <c r="K783" s="146" t="s">
        <v>1600</v>
      </c>
      <c r="L783" s="147">
        <v>1</v>
      </c>
      <c r="M783" s="147">
        <v>1</v>
      </c>
      <c r="N783" s="146" t="s">
        <v>1544</v>
      </c>
      <c r="O783" s="147">
        <v>60</v>
      </c>
      <c r="P783" s="147">
        <v>3</v>
      </c>
      <c r="Q783" s="147">
        <v>19</v>
      </c>
      <c r="R783" s="146" t="s">
        <v>654</v>
      </c>
      <c r="S783" s="146" t="s">
        <v>655</v>
      </c>
      <c r="T783" s="147">
        <v>244</v>
      </c>
      <c r="U783" s="146" t="s">
        <v>656</v>
      </c>
      <c r="V783" s="146" t="s">
        <v>657</v>
      </c>
      <c r="W783" s="147">
        <v>1</v>
      </c>
      <c r="X783" s="147">
        <v>2</v>
      </c>
      <c r="Y783" s="146" t="s">
        <v>194</v>
      </c>
      <c r="Z783" s="146" t="s">
        <v>195</v>
      </c>
      <c r="AA783" s="146" t="s">
        <v>196</v>
      </c>
      <c r="AB783" s="146" t="s">
        <v>187</v>
      </c>
      <c r="AC783" s="146" t="s">
        <v>187</v>
      </c>
      <c r="AD783" s="148"/>
      <c r="AE783" s="146" t="s">
        <v>209</v>
      </c>
      <c r="AF783" s="147">
        <v>-2.4071899999999999</v>
      </c>
      <c r="AG783" s="149">
        <v>136.78098</v>
      </c>
      <c r="AM783" s="133" t="str" cm="1">
        <f t="array" ref="AM783">IF(ROWS($AN$2:$AN782)&lt;=$AN$2,INDEX($V$3:$V$3000,_xlfn.AGGREGATE(15,3,($B$3:$B$3000=$AM$2)/($B$3:$B$3000=$AM$2)*(ROW($B$3:$B$3000)-ROW($B$2)),ROWS($AN$2:$AN782))),"")</f>
        <v/>
      </c>
      <c r="AN783" s="134" t="str" cm="1">
        <f t="array" ref="AN783">IF(ROWS($AN$2:$AN782)&lt;=$AN$2,INDEX($F$3:$F$3000,_xlfn.AGGREGATE(15,3,($B$3:$B$3000=$AM$2)/($B$3:$B$3000=$AM$2)*(ROW($B$3:$B$3000)-ROW($B$2)),ROWS($AN$2:$AN782))),"")</f>
        <v/>
      </c>
      <c r="AO783" s="135" t="str" cm="1">
        <f t="array" ref="AO783">IF(ROWS($AN$2:$AN782)&lt;=$AN$2,INDEX($G$3:$G$3000,_xlfn.AGGREGATE(15,3,($B$3:$B$3000=$AM$2)/($B$3:$B$3000=$AM$2)*(ROW($B$3:$B$3000)-ROW($B$2)),ROWS($AN$2:$AN782))),"")</f>
        <v/>
      </c>
      <c r="AP783" s="121"/>
      <c r="AT783" s="111"/>
      <c r="AW783" s="134"/>
      <c r="AX783" s="136"/>
      <c r="AY783" s="134"/>
    </row>
    <row r="784" spans="1:51" s="110" customFormat="1" ht="20" customHeight="1">
      <c r="A784" s="125" t="s">
        <v>185</v>
      </c>
      <c r="B784" s="126" t="s">
        <v>59</v>
      </c>
      <c r="C784" s="127">
        <v>15746</v>
      </c>
      <c r="D784" s="145">
        <v>110455</v>
      </c>
      <c r="E784" s="146" t="s">
        <v>1602</v>
      </c>
      <c r="F784" s="146" t="s">
        <v>1602</v>
      </c>
      <c r="G784" s="147">
        <v>100</v>
      </c>
      <c r="H784" s="147">
        <v>4</v>
      </c>
      <c r="I784" s="146" t="s">
        <v>209</v>
      </c>
      <c r="J784" s="146" t="s">
        <v>1603</v>
      </c>
      <c r="K784" s="146" t="s">
        <v>1602</v>
      </c>
      <c r="L784" s="147">
        <v>0</v>
      </c>
      <c r="M784" s="147">
        <v>1</v>
      </c>
      <c r="N784" s="146" t="s">
        <v>1544</v>
      </c>
      <c r="O784" s="147">
        <v>65</v>
      </c>
      <c r="P784" s="147">
        <v>5</v>
      </c>
      <c r="Q784" s="147">
        <v>19</v>
      </c>
      <c r="R784" s="146" t="s">
        <v>654</v>
      </c>
      <c r="S784" s="146" t="s">
        <v>655</v>
      </c>
      <c r="T784" s="147">
        <v>244</v>
      </c>
      <c r="U784" s="146" t="s">
        <v>656</v>
      </c>
      <c r="V784" s="146" t="s">
        <v>657</v>
      </c>
      <c r="W784" s="147">
        <v>1</v>
      </c>
      <c r="X784" s="147">
        <v>2</v>
      </c>
      <c r="Y784" s="146" t="s">
        <v>194</v>
      </c>
      <c r="Z784" s="146" t="s">
        <v>195</v>
      </c>
      <c r="AA784" s="146" t="s">
        <v>196</v>
      </c>
      <c r="AB784" s="146" t="s">
        <v>187</v>
      </c>
      <c r="AC784" s="146" t="s">
        <v>187</v>
      </c>
      <c r="AD784" s="148"/>
      <c r="AE784" s="146" t="s">
        <v>209</v>
      </c>
      <c r="AF784" s="147">
        <v>-3.6550099999999999</v>
      </c>
      <c r="AG784" s="149">
        <v>140.50452000000001</v>
      </c>
      <c r="AM784" s="133" t="str" cm="1">
        <f t="array" ref="AM784">IF(ROWS($AN$2:$AN783)&lt;=$AN$2,INDEX($V$3:$V$3000,_xlfn.AGGREGATE(15,3,($B$3:$B$3000=$AM$2)/($B$3:$B$3000=$AM$2)*(ROW($B$3:$B$3000)-ROW($B$2)),ROWS($AN$2:$AN783))),"")</f>
        <v/>
      </c>
      <c r="AN784" s="134" t="str" cm="1">
        <f t="array" ref="AN784">IF(ROWS($AN$2:$AN783)&lt;=$AN$2,INDEX($F$3:$F$3000,_xlfn.AGGREGATE(15,3,($B$3:$B$3000=$AM$2)/($B$3:$B$3000=$AM$2)*(ROW($B$3:$B$3000)-ROW($B$2)),ROWS($AN$2:$AN783))),"")</f>
        <v/>
      </c>
      <c r="AO784" s="135" t="str" cm="1">
        <f t="array" ref="AO784">IF(ROWS($AN$2:$AN783)&lt;=$AN$2,INDEX($G$3:$G$3000,_xlfn.AGGREGATE(15,3,($B$3:$B$3000=$AM$2)/($B$3:$B$3000=$AM$2)*(ROW($B$3:$B$3000)-ROW($B$2)),ROWS($AN$2:$AN783))),"")</f>
        <v/>
      </c>
      <c r="AP784" s="121"/>
      <c r="AT784" s="111"/>
      <c r="AW784" s="134"/>
      <c r="AX784" s="136"/>
      <c r="AY784" s="134"/>
    </row>
    <row r="785" spans="1:51" s="110" customFormat="1" ht="20" customHeight="1">
      <c r="A785" s="125" t="s">
        <v>185</v>
      </c>
      <c r="B785" s="126" t="s">
        <v>59</v>
      </c>
      <c r="C785" s="127">
        <v>16060</v>
      </c>
      <c r="D785" s="145">
        <v>111098</v>
      </c>
      <c r="E785" s="146" t="s">
        <v>1604</v>
      </c>
      <c r="F785" s="146" t="s">
        <v>1605</v>
      </c>
      <c r="G785" s="147">
        <v>100</v>
      </c>
      <c r="H785" s="147">
        <v>4</v>
      </c>
      <c r="I785" s="146" t="s">
        <v>209</v>
      </c>
      <c r="J785" s="146" t="s">
        <v>747</v>
      </c>
      <c r="K785" s="146" t="s">
        <v>746</v>
      </c>
      <c r="L785" s="147">
        <v>5</v>
      </c>
      <c r="M785" s="147">
        <v>1</v>
      </c>
      <c r="N785" s="146" t="s">
        <v>1544</v>
      </c>
      <c r="O785" s="147">
        <v>85</v>
      </c>
      <c r="P785" s="147">
        <v>4</v>
      </c>
      <c r="Q785" s="147">
        <v>19</v>
      </c>
      <c r="R785" s="146" t="s">
        <v>654</v>
      </c>
      <c r="S785" s="146" t="s">
        <v>655</v>
      </c>
      <c r="T785" s="147">
        <v>244</v>
      </c>
      <c r="U785" s="146" t="s">
        <v>656</v>
      </c>
      <c r="V785" s="146" t="s">
        <v>657</v>
      </c>
      <c r="W785" s="147">
        <v>1</v>
      </c>
      <c r="X785" s="147">
        <v>2</v>
      </c>
      <c r="Y785" s="146" t="s">
        <v>194</v>
      </c>
      <c r="Z785" s="146" t="s">
        <v>195</v>
      </c>
      <c r="AA785" s="146" t="s">
        <v>196</v>
      </c>
      <c r="AB785" s="146" t="s">
        <v>187</v>
      </c>
      <c r="AC785" s="146" t="s">
        <v>187</v>
      </c>
      <c r="AD785" s="148"/>
      <c r="AE785" s="146" t="s">
        <v>209</v>
      </c>
      <c r="AF785" s="147">
        <v>-2.6489400000000001</v>
      </c>
      <c r="AG785" s="149">
        <v>140.76187999999999</v>
      </c>
      <c r="AM785" s="133" t="str" cm="1">
        <f t="array" ref="AM785">IF(ROWS($AN$2:$AN784)&lt;=$AN$2,INDEX($V$3:$V$3000,_xlfn.AGGREGATE(15,3,($B$3:$B$3000=$AM$2)/($B$3:$B$3000=$AM$2)*(ROW($B$3:$B$3000)-ROW($B$2)),ROWS($AN$2:$AN784))),"")</f>
        <v/>
      </c>
      <c r="AN785" s="134" t="str" cm="1">
        <f t="array" ref="AN785">IF(ROWS($AN$2:$AN784)&lt;=$AN$2,INDEX($F$3:$F$3000,_xlfn.AGGREGATE(15,3,($B$3:$B$3000=$AM$2)/($B$3:$B$3000=$AM$2)*(ROW($B$3:$B$3000)-ROW($B$2)),ROWS($AN$2:$AN784))),"")</f>
        <v/>
      </c>
      <c r="AO785" s="135" t="str" cm="1">
        <f t="array" ref="AO785">IF(ROWS($AN$2:$AN784)&lt;=$AN$2,INDEX($G$3:$G$3000,_xlfn.AGGREGATE(15,3,($B$3:$B$3000=$AM$2)/($B$3:$B$3000=$AM$2)*(ROW($B$3:$B$3000)-ROW($B$2)),ROWS($AN$2:$AN784))),"")</f>
        <v/>
      </c>
      <c r="AP785" s="121"/>
      <c r="AT785" s="111"/>
      <c r="AW785" s="134"/>
      <c r="AX785" s="136"/>
      <c r="AY785" s="134"/>
    </row>
    <row r="786" spans="1:51" s="110" customFormat="1" ht="20" customHeight="1">
      <c r="A786" s="125" t="s">
        <v>185</v>
      </c>
      <c r="B786" s="126" t="s">
        <v>59</v>
      </c>
      <c r="C786" s="127">
        <v>13489</v>
      </c>
      <c r="D786" s="145">
        <v>106230</v>
      </c>
      <c r="E786" s="146" t="s">
        <v>1541</v>
      </c>
      <c r="F786" s="146" t="s">
        <v>1541</v>
      </c>
      <c r="G786" s="147">
        <v>20</v>
      </c>
      <c r="H786" s="147">
        <v>4</v>
      </c>
      <c r="I786" s="146" t="s">
        <v>209</v>
      </c>
      <c r="J786" s="146" t="s">
        <v>1542</v>
      </c>
      <c r="K786" s="146" t="s">
        <v>1543</v>
      </c>
      <c r="L786" s="147">
        <v>4</v>
      </c>
      <c r="M786" s="147">
        <v>1</v>
      </c>
      <c r="N786" s="146" t="s">
        <v>1544</v>
      </c>
      <c r="O786" s="147">
        <v>60</v>
      </c>
      <c r="P786" s="147">
        <v>4</v>
      </c>
      <c r="Q786" s="147">
        <v>19</v>
      </c>
      <c r="R786" s="146" t="s">
        <v>654</v>
      </c>
      <c r="S786" s="146" t="s">
        <v>655</v>
      </c>
      <c r="T786" s="147">
        <v>244</v>
      </c>
      <c r="U786" s="146" t="s">
        <v>656</v>
      </c>
      <c r="V786" s="146" t="s">
        <v>657</v>
      </c>
      <c r="W786" s="147">
        <v>1</v>
      </c>
      <c r="X786" s="147">
        <v>2</v>
      </c>
      <c r="Y786" s="146" t="s">
        <v>194</v>
      </c>
      <c r="Z786" s="146" t="s">
        <v>195</v>
      </c>
      <c r="AA786" s="146" t="s">
        <v>196</v>
      </c>
      <c r="AB786" s="146" t="s">
        <v>187</v>
      </c>
      <c r="AC786" s="146" t="s">
        <v>187</v>
      </c>
      <c r="AD786" s="148"/>
      <c r="AE786" s="146" t="s">
        <v>209</v>
      </c>
      <c r="AF786" s="147">
        <v>-2.3176399999999999</v>
      </c>
      <c r="AG786" s="149">
        <v>138.84403</v>
      </c>
      <c r="AM786" s="133" t="str" cm="1">
        <f t="array" ref="AM786">IF(ROWS($AN$2:$AN785)&lt;=$AN$2,INDEX($V$3:$V$3000,_xlfn.AGGREGATE(15,3,($B$3:$B$3000=$AM$2)/($B$3:$B$3000=$AM$2)*(ROW($B$3:$B$3000)-ROW($B$2)),ROWS($AN$2:$AN785))),"")</f>
        <v/>
      </c>
      <c r="AN786" s="134" t="str" cm="1">
        <f t="array" ref="AN786">IF(ROWS($AN$2:$AN785)&lt;=$AN$2,INDEX($F$3:$F$3000,_xlfn.AGGREGATE(15,3,($B$3:$B$3000=$AM$2)/($B$3:$B$3000=$AM$2)*(ROW($B$3:$B$3000)-ROW($B$2)),ROWS($AN$2:$AN785))),"")</f>
        <v/>
      </c>
      <c r="AO786" s="135" t="str" cm="1">
        <f t="array" ref="AO786">IF(ROWS($AN$2:$AN785)&lt;=$AN$2,INDEX($G$3:$G$3000,_xlfn.AGGREGATE(15,3,($B$3:$B$3000=$AM$2)/($B$3:$B$3000=$AM$2)*(ROW($B$3:$B$3000)-ROW($B$2)),ROWS($AN$2:$AN785))),"")</f>
        <v/>
      </c>
      <c r="AP786" s="121"/>
      <c r="AT786" s="111"/>
      <c r="AW786" s="134"/>
      <c r="AX786" s="136"/>
      <c r="AY786" s="134"/>
    </row>
    <row r="787" spans="1:51" s="110" customFormat="1" ht="20" customHeight="1">
      <c r="A787" s="125" t="s">
        <v>185</v>
      </c>
      <c r="B787" s="126" t="s">
        <v>59</v>
      </c>
      <c r="C787" s="127">
        <v>11495</v>
      </c>
      <c r="D787" s="128">
        <v>102438</v>
      </c>
      <c r="E787" s="129" t="s">
        <v>4776</v>
      </c>
      <c r="F787" s="129" t="s">
        <v>4777</v>
      </c>
      <c r="G787" s="130">
        <v>260000</v>
      </c>
      <c r="H787" s="130">
        <v>5</v>
      </c>
      <c r="I787" s="129" t="s">
        <v>209</v>
      </c>
      <c r="J787" s="129" t="s">
        <v>4778</v>
      </c>
      <c r="K787" s="129" t="s">
        <v>4776</v>
      </c>
      <c r="L787" s="130">
        <v>5</v>
      </c>
      <c r="M787" s="130">
        <v>1</v>
      </c>
      <c r="N787" s="129" t="s">
        <v>1544</v>
      </c>
      <c r="O787" s="130">
        <v>90</v>
      </c>
      <c r="P787" s="130">
        <v>11</v>
      </c>
      <c r="Q787" s="130">
        <v>19</v>
      </c>
      <c r="R787" s="129" t="s">
        <v>654</v>
      </c>
      <c r="S787" s="129" t="s">
        <v>655</v>
      </c>
      <c r="T787" s="130">
        <v>244</v>
      </c>
      <c r="U787" s="129" t="s">
        <v>656</v>
      </c>
      <c r="V787" s="129" t="s">
        <v>657</v>
      </c>
      <c r="W787" s="130">
        <v>1</v>
      </c>
      <c r="X787" s="130">
        <v>2</v>
      </c>
      <c r="Y787" s="129" t="s">
        <v>194</v>
      </c>
      <c r="Z787" s="129" t="s">
        <v>195</v>
      </c>
      <c r="AA787" s="129" t="s">
        <v>196</v>
      </c>
      <c r="AB787" s="129" t="s">
        <v>187</v>
      </c>
      <c r="AC787" s="129" t="s">
        <v>187</v>
      </c>
      <c r="AD787" s="131"/>
      <c r="AE787" s="129" t="s">
        <v>209</v>
      </c>
      <c r="AF787" s="130">
        <v>-3.7609400000000002</v>
      </c>
      <c r="AG787" s="132">
        <v>138.2928</v>
      </c>
      <c r="AM787" s="133" t="str" cm="1">
        <f t="array" ref="AM787">IF(ROWS($AN$2:$AN786)&lt;=$AN$2,INDEX($V$3:$V$3000,_xlfn.AGGREGATE(15,3,($B$3:$B$3000=$AM$2)/($B$3:$B$3000=$AM$2)*(ROW($B$3:$B$3000)-ROW($B$2)),ROWS($AN$2:$AN786))),"")</f>
        <v/>
      </c>
      <c r="AN787" s="134" t="str" cm="1">
        <f t="array" ref="AN787">IF(ROWS($AN$2:$AN786)&lt;=$AN$2,INDEX($F$3:$F$3000,_xlfn.AGGREGATE(15,3,($B$3:$B$3000=$AM$2)/($B$3:$B$3000=$AM$2)*(ROW($B$3:$B$3000)-ROW($B$2)),ROWS($AN$2:$AN786))),"")</f>
        <v/>
      </c>
      <c r="AO787" s="135" t="str" cm="1">
        <f t="array" ref="AO787">IF(ROWS($AN$2:$AN786)&lt;=$AN$2,INDEX($G$3:$G$3000,_xlfn.AGGREGATE(15,3,($B$3:$B$3000=$AM$2)/($B$3:$B$3000=$AM$2)*(ROW($B$3:$B$3000)-ROW($B$2)),ROWS($AN$2:$AN786))),"")</f>
        <v/>
      </c>
      <c r="AP787" s="121"/>
      <c r="AT787" s="111"/>
      <c r="AW787" s="134"/>
      <c r="AX787" s="136"/>
      <c r="AY787" s="134"/>
    </row>
    <row r="788" spans="1:51" s="110" customFormat="1" ht="20" customHeight="1">
      <c r="A788" s="125" t="s">
        <v>185</v>
      </c>
      <c r="B788" s="126" t="s">
        <v>59</v>
      </c>
      <c r="C788" s="127">
        <v>11492</v>
      </c>
      <c r="D788" s="128">
        <v>102435</v>
      </c>
      <c r="E788" s="129" t="s">
        <v>3489</v>
      </c>
      <c r="F788" s="129" t="s">
        <v>3489</v>
      </c>
      <c r="G788" s="130">
        <v>19000</v>
      </c>
      <c r="H788" s="130">
        <v>5</v>
      </c>
      <c r="I788" s="129" t="s">
        <v>209</v>
      </c>
      <c r="J788" s="129" t="s">
        <v>3488</v>
      </c>
      <c r="K788" s="129" t="s">
        <v>3489</v>
      </c>
      <c r="L788" s="130">
        <v>4</v>
      </c>
      <c r="M788" s="130">
        <v>1</v>
      </c>
      <c r="N788" s="129" t="s">
        <v>1544</v>
      </c>
      <c r="O788" s="130">
        <v>85</v>
      </c>
      <c r="P788" s="130">
        <v>15</v>
      </c>
      <c r="Q788" s="130">
        <v>19</v>
      </c>
      <c r="R788" s="129" t="s">
        <v>654</v>
      </c>
      <c r="S788" s="129" t="s">
        <v>655</v>
      </c>
      <c r="T788" s="130">
        <v>244</v>
      </c>
      <c r="U788" s="129" t="s">
        <v>656</v>
      </c>
      <c r="V788" s="129" t="s">
        <v>657</v>
      </c>
      <c r="W788" s="130">
        <v>1</v>
      </c>
      <c r="X788" s="130">
        <v>2</v>
      </c>
      <c r="Y788" s="129" t="s">
        <v>194</v>
      </c>
      <c r="Z788" s="129" t="s">
        <v>195</v>
      </c>
      <c r="AA788" s="129" t="s">
        <v>196</v>
      </c>
      <c r="AB788" s="129" t="s">
        <v>187</v>
      </c>
      <c r="AC788" s="129" t="s">
        <v>187</v>
      </c>
      <c r="AD788" s="131"/>
      <c r="AE788" s="129" t="s">
        <v>209</v>
      </c>
      <c r="AF788" s="130">
        <v>-4.0959094793390101</v>
      </c>
      <c r="AG788" s="132">
        <v>138.944868679146</v>
      </c>
      <c r="AM788" s="133" t="str" cm="1">
        <f t="array" ref="AM788">IF(ROWS($AN$2:$AN787)&lt;=$AN$2,INDEX($V$3:$V$3000,_xlfn.AGGREGATE(15,3,($B$3:$B$3000=$AM$2)/($B$3:$B$3000=$AM$2)*(ROW($B$3:$B$3000)-ROW($B$2)),ROWS($AN$2:$AN787))),"")</f>
        <v/>
      </c>
      <c r="AN788" s="134" t="str" cm="1">
        <f t="array" ref="AN788">IF(ROWS($AN$2:$AN787)&lt;=$AN$2,INDEX($F$3:$F$3000,_xlfn.AGGREGATE(15,3,($B$3:$B$3000=$AM$2)/($B$3:$B$3000=$AM$2)*(ROW($B$3:$B$3000)-ROW($B$2)),ROWS($AN$2:$AN787))),"")</f>
        <v/>
      </c>
      <c r="AO788" s="135" t="str" cm="1">
        <f t="array" ref="AO788">IF(ROWS($AN$2:$AN787)&lt;=$AN$2,INDEX($G$3:$G$3000,_xlfn.AGGREGATE(15,3,($B$3:$B$3000=$AM$2)/($B$3:$B$3000=$AM$2)*(ROW($B$3:$B$3000)-ROW($B$2)),ROWS($AN$2:$AN787))),"")</f>
        <v/>
      </c>
      <c r="AP788" s="121"/>
      <c r="AT788" s="111"/>
      <c r="AW788" s="134"/>
      <c r="AX788" s="136"/>
      <c r="AY788" s="134"/>
    </row>
    <row r="789" spans="1:51" s="110" customFormat="1" ht="20" customHeight="1">
      <c r="A789" s="125" t="s">
        <v>185</v>
      </c>
      <c r="B789" s="126" t="s">
        <v>59</v>
      </c>
      <c r="C789" s="127">
        <v>13929</v>
      </c>
      <c r="D789" s="128">
        <v>107048</v>
      </c>
      <c r="E789" s="129" t="s">
        <v>3981</v>
      </c>
      <c r="F789" s="129" t="s">
        <v>3981</v>
      </c>
      <c r="G789" s="130">
        <v>18000</v>
      </c>
      <c r="H789" s="130">
        <v>5</v>
      </c>
      <c r="I789" s="129" t="s">
        <v>209</v>
      </c>
      <c r="J789" s="129" t="s">
        <v>3982</v>
      </c>
      <c r="K789" s="129" t="s">
        <v>3983</v>
      </c>
      <c r="L789" s="130">
        <v>4</v>
      </c>
      <c r="M789" s="130">
        <v>1</v>
      </c>
      <c r="N789" s="129" t="s">
        <v>1544</v>
      </c>
      <c r="O789" s="130">
        <v>55</v>
      </c>
      <c r="P789" s="130">
        <v>37</v>
      </c>
      <c r="Q789" s="130">
        <v>19</v>
      </c>
      <c r="R789" s="129" t="s">
        <v>654</v>
      </c>
      <c r="S789" s="129" t="s">
        <v>655</v>
      </c>
      <c r="T789" s="130">
        <v>244</v>
      </c>
      <c r="U789" s="129" t="s">
        <v>656</v>
      </c>
      <c r="V789" s="129" t="s">
        <v>657</v>
      </c>
      <c r="W789" s="130">
        <v>1</v>
      </c>
      <c r="X789" s="130">
        <v>2</v>
      </c>
      <c r="Y789" s="129" t="s">
        <v>194</v>
      </c>
      <c r="Z789" s="129" t="s">
        <v>195</v>
      </c>
      <c r="AA789" s="129" t="s">
        <v>196</v>
      </c>
      <c r="AB789" s="129" t="s">
        <v>187</v>
      </c>
      <c r="AC789" s="129" t="s">
        <v>187</v>
      </c>
      <c r="AD789" s="131"/>
      <c r="AE789" s="129" t="s">
        <v>209</v>
      </c>
      <c r="AF789" s="130">
        <v>-4.2026199999999996</v>
      </c>
      <c r="AG789" s="132">
        <v>139.90509</v>
      </c>
      <c r="AM789" s="133" t="str" cm="1">
        <f t="array" ref="AM789">IF(ROWS($AN$2:$AN788)&lt;=$AN$2,INDEX($V$3:$V$3000,_xlfn.AGGREGATE(15,3,($B$3:$B$3000=$AM$2)/($B$3:$B$3000=$AM$2)*(ROW($B$3:$B$3000)-ROW($B$2)),ROWS($AN$2:$AN788))),"")</f>
        <v/>
      </c>
      <c r="AN789" s="134" t="str" cm="1">
        <f t="array" ref="AN789">IF(ROWS($AN$2:$AN788)&lt;=$AN$2,INDEX($F$3:$F$3000,_xlfn.AGGREGATE(15,3,($B$3:$B$3000=$AM$2)/($B$3:$B$3000=$AM$2)*(ROW($B$3:$B$3000)-ROW($B$2)),ROWS($AN$2:$AN788))),"")</f>
        <v/>
      </c>
      <c r="AO789" s="135" t="str" cm="1">
        <f t="array" ref="AO789">IF(ROWS($AN$2:$AN788)&lt;=$AN$2,INDEX($G$3:$G$3000,_xlfn.AGGREGATE(15,3,($B$3:$B$3000=$AM$2)/($B$3:$B$3000=$AM$2)*(ROW($B$3:$B$3000)-ROW($B$2)),ROWS($AN$2:$AN788))),"")</f>
        <v/>
      </c>
      <c r="AP789" s="121"/>
      <c r="AT789" s="111"/>
      <c r="AW789" s="134"/>
      <c r="AX789" s="136"/>
      <c r="AY789" s="134"/>
    </row>
    <row r="790" spans="1:51" s="110" customFormat="1" ht="20" customHeight="1">
      <c r="A790" s="125" t="s">
        <v>185</v>
      </c>
      <c r="B790" s="126" t="s">
        <v>59</v>
      </c>
      <c r="C790" s="127">
        <v>15965</v>
      </c>
      <c r="D790" s="128">
        <v>110947</v>
      </c>
      <c r="E790" s="129" t="s">
        <v>3891</v>
      </c>
      <c r="F790" s="129" t="s">
        <v>3892</v>
      </c>
      <c r="G790" s="130">
        <v>15000</v>
      </c>
      <c r="H790" s="130">
        <v>5</v>
      </c>
      <c r="I790" s="129" t="s">
        <v>209</v>
      </c>
      <c r="J790" s="129" t="s">
        <v>3893</v>
      </c>
      <c r="K790" s="129" t="s">
        <v>3891</v>
      </c>
      <c r="L790" s="130">
        <v>5</v>
      </c>
      <c r="M790" s="130">
        <v>1</v>
      </c>
      <c r="N790" s="129" t="s">
        <v>1544</v>
      </c>
      <c r="O790" s="130">
        <v>90</v>
      </c>
      <c r="P790" s="130">
        <v>12</v>
      </c>
      <c r="Q790" s="130">
        <v>19</v>
      </c>
      <c r="R790" s="129" t="s">
        <v>654</v>
      </c>
      <c r="S790" s="129" t="s">
        <v>655</v>
      </c>
      <c r="T790" s="130">
        <v>244</v>
      </c>
      <c r="U790" s="129" t="s">
        <v>656</v>
      </c>
      <c r="V790" s="129" t="s">
        <v>657</v>
      </c>
      <c r="W790" s="130">
        <v>1</v>
      </c>
      <c r="X790" s="130">
        <v>2</v>
      </c>
      <c r="Y790" s="129" t="s">
        <v>194</v>
      </c>
      <c r="Z790" s="129" t="s">
        <v>195</v>
      </c>
      <c r="AA790" s="129" t="s">
        <v>196</v>
      </c>
      <c r="AB790" s="129" t="s">
        <v>187</v>
      </c>
      <c r="AC790" s="129" t="s">
        <v>187</v>
      </c>
      <c r="AD790" s="131"/>
      <c r="AE790" s="129" t="s">
        <v>209</v>
      </c>
      <c r="AF790" s="130">
        <v>-4.4557599999999997</v>
      </c>
      <c r="AG790" s="132">
        <v>139.39578</v>
      </c>
      <c r="AM790" s="133" t="str" cm="1">
        <f t="array" ref="AM790">IF(ROWS($AN$2:$AN789)&lt;=$AN$2,INDEX($V$3:$V$3000,_xlfn.AGGREGATE(15,3,($B$3:$B$3000=$AM$2)/($B$3:$B$3000=$AM$2)*(ROW($B$3:$B$3000)-ROW($B$2)),ROWS($AN$2:$AN789))),"")</f>
        <v/>
      </c>
      <c r="AN790" s="134" t="str" cm="1">
        <f t="array" ref="AN790">IF(ROWS($AN$2:$AN789)&lt;=$AN$2,INDEX($F$3:$F$3000,_xlfn.AGGREGATE(15,3,($B$3:$B$3000=$AM$2)/($B$3:$B$3000=$AM$2)*(ROW($B$3:$B$3000)-ROW($B$2)),ROWS($AN$2:$AN789))),"")</f>
        <v/>
      </c>
      <c r="AO790" s="135" t="str" cm="1">
        <f t="array" ref="AO790">IF(ROWS($AN$2:$AN789)&lt;=$AN$2,INDEX($G$3:$G$3000,_xlfn.AGGREGATE(15,3,($B$3:$B$3000=$AM$2)/($B$3:$B$3000=$AM$2)*(ROW($B$3:$B$3000)-ROW($B$2)),ROWS($AN$2:$AN789))),"")</f>
        <v/>
      </c>
      <c r="AP790" s="121"/>
      <c r="AT790" s="111"/>
      <c r="AW790" s="134"/>
      <c r="AX790" s="136"/>
      <c r="AY790" s="134"/>
    </row>
    <row r="791" spans="1:51" s="110" customFormat="1" ht="20" customHeight="1">
      <c r="A791" s="125" t="s">
        <v>185</v>
      </c>
      <c r="B791" s="126" t="s">
        <v>59</v>
      </c>
      <c r="C791" s="127">
        <v>10176</v>
      </c>
      <c r="D791" s="128">
        <v>100111</v>
      </c>
      <c r="E791" s="129" t="s">
        <v>3150</v>
      </c>
      <c r="F791" s="129" t="s">
        <v>3150</v>
      </c>
      <c r="G791" s="130">
        <v>4800</v>
      </c>
      <c r="H791" s="130">
        <v>5</v>
      </c>
      <c r="I791" s="129" t="s">
        <v>209</v>
      </c>
      <c r="J791" s="129" t="s">
        <v>3151</v>
      </c>
      <c r="K791" s="129" t="s">
        <v>3150</v>
      </c>
      <c r="L791" s="130">
        <v>1</v>
      </c>
      <c r="M791" s="130">
        <v>1</v>
      </c>
      <c r="N791" s="129" t="s">
        <v>1544</v>
      </c>
      <c r="O791" s="130">
        <v>70</v>
      </c>
      <c r="P791" s="130">
        <v>11</v>
      </c>
      <c r="Q791" s="130">
        <v>19</v>
      </c>
      <c r="R791" s="129" t="s">
        <v>654</v>
      </c>
      <c r="S791" s="129" t="s">
        <v>655</v>
      </c>
      <c r="T791" s="130">
        <v>244</v>
      </c>
      <c r="U791" s="129" t="s">
        <v>656</v>
      </c>
      <c r="V791" s="129" t="s">
        <v>657</v>
      </c>
      <c r="W791" s="130">
        <v>1</v>
      </c>
      <c r="X791" s="130">
        <v>2</v>
      </c>
      <c r="Y791" s="129" t="s">
        <v>194</v>
      </c>
      <c r="Z791" s="129" t="s">
        <v>195</v>
      </c>
      <c r="AA791" s="129" t="s">
        <v>196</v>
      </c>
      <c r="AB791" s="129" t="s">
        <v>187</v>
      </c>
      <c r="AC791" s="129" t="s">
        <v>187</v>
      </c>
      <c r="AD791" s="131"/>
      <c r="AE791" s="129" t="s">
        <v>209</v>
      </c>
      <c r="AF791" s="130">
        <v>-6.3452200000000003</v>
      </c>
      <c r="AG791" s="132">
        <v>140.09942000000001</v>
      </c>
      <c r="AM791" s="133" t="str" cm="1">
        <f t="array" ref="AM791">IF(ROWS($AN$2:$AN790)&lt;=$AN$2,INDEX($V$3:$V$3000,_xlfn.AGGREGATE(15,3,($B$3:$B$3000=$AM$2)/($B$3:$B$3000=$AM$2)*(ROW($B$3:$B$3000)-ROW($B$2)),ROWS($AN$2:$AN790))),"")</f>
        <v/>
      </c>
      <c r="AN791" s="134" t="str" cm="1">
        <f t="array" ref="AN791">IF(ROWS($AN$2:$AN790)&lt;=$AN$2,INDEX($F$3:$F$3000,_xlfn.AGGREGATE(15,3,($B$3:$B$3000=$AM$2)/($B$3:$B$3000=$AM$2)*(ROW($B$3:$B$3000)-ROW($B$2)),ROWS($AN$2:$AN790))),"")</f>
        <v/>
      </c>
      <c r="AO791" s="135" t="str" cm="1">
        <f t="array" ref="AO791">IF(ROWS($AN$2:$AN790)&lt;=$AN$2,INDEX($G$3:$G$3000,_xlfn.AGGREGATE(15,3,($B$3:$B$3000=$AM$2)/($B$3:$B$3000=$AM$2)*(ROW($B$3:$B$3000)-ROW($B$2)),ROWS($AN$2:$AN790))),"")</f>
        <v/>
      </c>
      <c r="AP791" s="121"/>
      <c r="AT791" s="111"/>
      <c r="AW791" s="134"/>
      <c r="AX791" s="136"/>
      <c r="AY791" s="134"/>
    </row>
    <row r="792" spans="1:51" s="110" customFormat="1" ht="20" customHeight="1">
      <c r="A792" s="125" t="s">
        <v>185</v>
      </c>
      <c r="B792" s="126" t="s">
        <v>59</v>
      </c>
      <c r="C792" s="127">
        <v>10139</v>
      </c>
      <c r="D792" s="128">
        <v>100030</v>
      </c>
      <c r="E792" s="129" t="s">
        <v>3069</v>
      </c>
      <c r="F792" s="129" t="s">
        <v>3070</v>
      </c>
      <c r="G792" s="130">
        <v>4200</v>
      </c>
      <c r="H792" s="130">
        <v>5</v>
      </c>
      <c r="I792" s="129" t="s">
        <v>209</v>
      </c>
      <c r="J792" s="129" t="s">
        <v>3071</v>
      </c>
      <c r="K792" s="129" t="s">
        <v>3069</v>
      </c>
      <c r="L792" s="130">
        <v>4</v>
      </c>
      <c r="M792" s="130">
        <v>1</v>
      </c>
      <c r="N792" s="129" t="s">
        <v>1544</v>
      </c>
      <c r="O792" s="130">
        <v>60</v>
      </c>
      <c r="P792" s="130">
        <v>13</v>
      </c>
      <c r="Q792" s="130">
        <v>19</v>
      </c>
      <c r="R792" s="129" t="s">
        <v>654</v>
      </c>
      <c r="S792" s="129" t="s">
        <v>655</v>
      </c>
      <c r="T792" s="130">
        <v>244</v>
      </c>
      <c r="U792" s="129" t="s">
        <v>656</v>
      </c>
      <c r="V792" s="129" t="s">
        <v>657</v>
      </c>
      <c r="W792" s="130">
        <v>1</v>
      </c>
      <c r="X792" s="130">
        <v>2</v>
      </c>
      <c r="Y792" s="129" t="s">
        <v>194</v>
      </c>
      <c r="Z792" s="129" t="s">
        <v>195</v>
      </c>
      <c r="AA792" s="129" t="s">
        <v>196</v>
      </c>
      <c r="AB792" s="129" t="s">
        <v>187</v>
      </c>
      <c r="AC792" s="129" t="s">
        <v>187</v>
      </c>
      <c r="AD792" s="131"/>
      <c r="AE792" s="129" t="s">
        <v>209</v>
      </c>
      <c r="AF792" s="130">
        <v>-0.62966999999999995</v>
      </c>
      <c r="AG792" s="132">
        <v>132.37715</v>
      </c>
      <c r="AM792" s="139" t="str" cm="1">
        <f t="array" ref="AM792">IF(ROWS($AN$2:$AN791)&lt;=$AN$2,INDEX($V$3:$V$3000,_xlfn.AGGREGATE(15,3,($B$3:$B$3000=$AM$2)/($B$3:$B$3000=$AM$2)*(ROW($B$3:$B$3000)-ROW($B$2)),ROWS($AN$2:$AN791))),"")</f>
        <v/>
      </c>
      <c r="AN792" s="143" t="str" cm="1">
        <f t="array" ref="AN792">IF(ROWS($AN$2:$AN791)&lt;=$AN$2,INDEX($F$3:$F$3000,_xlfn.AGGREGATE(15,3,($B$3:$B$3000=$AM$2)/($B$3:$B$3000=$AM$2)*(ROW($B$3:$B$3000)-ROW($B$2)),ROWS($AN$2:$AN791))),"")</f>
        <v/>
      </c>
      <c r="AO792" s="144" t="str" cm="1">
        <f t="array" ref="AO792">IF(ROWS($AN$2:$AN791)&lt;=$AN$2,INDEX($G$3:$G$3000,_xlfn.AGGREGATE(15,3,($B$3:$B$3000=$AM$2)/($B$3:$B$3000=$AM$2)*(ROW($B$3:$B$3000)-ROW($B$2)),ROWS($AN$2:$AN791))),"")</f>
        <v/>
      </c>
      <c r="AP792" s="121"/>
      <c r="AT792" s="111"/>
      <c r="AW792" s="134"/>
      <c r="AX792" s="136"/>
      <c r="AY792" s="134"/>
    </row>
    <row r="793" spans="1:51" s="110" customFormat="1" ht="20" customHeight="1">
      <c r="A793" s="125" t="s">
        <v>185</v>
      </c>
      <c r="B793" s="126" t="s">
        <v>59</v>
      </c>
      <c r="C793" s="127">
        <v>10209</v>
      </c>
      <c r="D793" s="128">
        <v>100163</v>
      </c>
      <c r="E793" s="129" t="s">
        <v>2507</v>
      </c>
      <c r="F793" s="129" t="s">
        <v>2508</v>
      </c>
      <c r="G793" s="130">
        <v>1500</v>
      </c>
      <c r="H793" s="130">
        <v>5</v>
      </c>
      <c r="I793" s="129" t="s">
        <v>209</v>
      </c>
      <c r="J793" s="129" t="s">
        <v>2509</v>
      </c>
      <c r="K793" s="129" t="s">
        <v>2507</v>
      </c>
      <c r="L793" s="130">
        <v>1</v>
      </c>
      <c r="M793" s="130">
        <v>1</v>
      </c>
      <c r="N793" s="129" t="s">
        <v>1544</v>
      </c>
      <c r="O793" s="130">
        <v>65</v>
      </c>
      <c r="P793" s="130">
        <v>12</v>
      </c>
      <c r="Q793" s="130">
        <v>19</v>
      </c>
      <c r="R793" s="129" t="s">
        <v>654</v>
      </c>
      <c r="S793" s="129" t="s">
        <v>655</v>
      </c>
      <c r="T793" s="130">
        <v>244</v>
      </c>
      <c r="U793" s="129" t="s">
        <v>656</v>
      </c>
      <c r="V793" s="129" t="s">
        <v>657</v>
      </c>
      <c r="W793" s="130">
        <v>1</v>
      </c>
      <c r="X793" s="130">
        <v>2</v>
      </c>
      <c r="Y793" s="129" t="s">
        <v>194</v>
      </c>
      <c r="Z793" s="129" t="s">
        <v>195</v>
      </c>
      <c r="AA793" s="129" t="s">
        <v>196</v>
      </c>
      <c r="AB793" s="129" t="s">
        <v>187</v>
      </c>
      <c r="AC793" s="129" t="s">
        <v>187</v>
      </c>
      <c r="AD793" s="131"/>
      <c r="AE793" s="129" t="s">
        <v>209</v>
      </c>
      <c r="AF793" s="130">
        <v>-1.88365</v>
      </c>
      <c r="AG793" s="132">
        <v>138.15713</v>
      </c>
      <c r="AM793" s="110" t="str" cm="1">
        <f t="array" ref="AM793">IF(ROWS($AL$2:AL792)&lt;=$AN$2,INDEX($V$3:$V$3000,_xlfn.AGGREGATE(15,3,($B$3:$B$3000=$AM$2)/($B$3:$B$3000=$AM$2)*(ROW($B$3:$B$3000)-ROW($B$2)),ROWS($AL$2:AL792))),"")</f>
        <v/>
      </c>
      <c r="AN793" s="110" t="str" cm="1">
        <f t="array" ref="AN793">IF(ROWS($AL$2:AL792)&lt;=$AN$2,INDEX($F$3:$F$3000,_xlfn.AGGREGATE(15,3,($B$3:$B$3000=$AM$2)/($B$3:$B$3000=$AM$2)*(ROW($B$3:$B$3000)-ROW($B$2)),ROWS($AL$2:AL792))),"")</f>
        <v/>
      </c>
      <c r="AO793" s="121" t="str" cm="1">
        <f t="array" ref="AO793">IF(ROWS($AL$2:AN792)&lt;=$AN$2,INDEX($G$3:$G$3000,_xlfn.AGGREGATE(15,3,($B$3:$B$3000=$AM$2)/($B$3:$B$3000=$AM$2)*(ROW($B$3:$B$3000)-ROW($B$2)),ROWS($AL$2:AN792))),"")</f>
        <v/>
      </c>
      <c r="AP793" s="121"/>
      <c r="AT793" s="111"/>
      <c r="AW793" s="134"/>
      <c r="AX793" s="136"/>
      <c r="AY793" s="134"/>
    </row>
    <row r="794" spans="1:51" s="110" customFormat="1" ht="20" customHeight="1">
      <c r="A794" s="125" t="s">
        <v>185</v>
      </c>
      <c r="B794" s="126" t="s">
        <v>59</v>
      </c>
      <c r="C794" s="127">
        <v>10197</v>
      </c>
      <c r="D794" s="128">
        <v>100148</v>
      </c>
      <c r="E794" s="129" t="s">
        <v>2350</v>
      </c>
      <c r="F794" s="129" t="s">
        <v>2351</v>
      </c>
      <c r="G794" s="130">
        <v>1100</v>
      </c>
      <c r="H794" s="130">
        <v>5</v>
      </c>
      <c r="I794" s="129" t="s">
        <v>209</v>
      </c>
      <c r="J794" s="129" t="s">
        <v>2352</v>
      </c>
      <c r="K794" s="129" t="s">
        <v>2353</v>
      </c>
      <c r="L794" s="130">
        <v>3</v>
      </c>
      <c r="M794" s="130">
        <v>1</v>
      </c>
      <c r="N794" s="129" t="s">
        <v>1544</v>
      </c>
      <c r="O794" s="130">
        <v>55</v>
      </c>
      <c r="P794" s="130">
        <v>12</v>
      </c>
      <c r="Q794" s="130">
        <v>19</v>
      </c>
      <c r="R794" s="129" t="s">
        <v>654</v>
      </c>
      <c r="S794" s="129" t="s">
        <v>655</v>
      </c>
      <c r="T794" s="130">
        <v>244</v>
      </c>
      <c r="U794" s="129" t="s">
        <v>656</v>
      </c>
      <c r="V794" s="129" t="s">
        <v>657</v>
      </c>
      <c r="W794" s="130">
        <v>1</v>
      </c>
      <c r="X794" s="130">
        <v>2</v>
      </c>
      <c r="Y794" s="129" t="s">
        <v>194</v>
      </c>
      <c r="Z794" s="129" t="s">
        <v>195</v>
      </c>
      <c r="AA794" s="129" t="s">
        <v>196</v>
      </c>
      <c r="AB794" s="129" t="s">
        <v>187</v>
      </c>
      <c r="AC794" s="129" t="s">
        <v>187</v>
      </c>
      <c r="AD794" s="131"/>
      <c r="AE794" s="129" t="s">
        <v>209</v>
      </c>
      <c r="AF794" s="130">
        <v>-2.8153299999999999</v>
      </c>
      <c r="AG794" s="132">
        <v>138.30944</v>
      </c>
      <c r="AM794" s="110" t="str" cm="1">
        <f t="array" ref="AM794">IF(ROWS($AL$2:AL793)&lt;=$AN$2,INDEX($V$3:$V$3000,_xlfn.AGGREGATE(15,3,($B$3:$B$3000=$AM$2)/($B$3:$B$3000=$AM$2)*(ROW($B$3:$B$3000)-ROW($B$2)),ROWS($AL$2:AL793))),"")</f>
        <v/>
      </c>
      <c r="AN794" s="110" t="str" cm="1">
        <f t="array" ref="AN794">IF(ROWS($AL$2:AL793)&lt;=$AN$2,INDEX($F$3:$F$3000,_xlfn.AGGREGATE(15,3,($B$3:$B$3000=$AM$2)/($B$3:$B$3000=$AM$2)*(ROW($B$3:$B$3000)-ROW($B$2)),ROWS($AL$2:AL793))),"")</f>
        <v/>
      </c>
      <c r="AO794" s="121" t="str" cm="1">
        <f t="array" ref="AO794">IF(ROWS($AL$2:AN793)&lt;=$AN$2,INDEX($G$3:$G$3000,_xlfn.AGGREGATE(15,3,($B$3:$B$3000=$AM$2)/($B$3:$B$3000=$AM$2)*(ROW($B$3:$B$3000)-ROW($B$2)),ROWS($AL$2:AN793))),"")</f>
        <v/>
      </c>
      <c r="AP794" s="121"/>
      <c r="AT794" s="111"/>
      <c r="AW794" s="134"/>
      <c r="AX794" s="136"/>
      <c r="AY794" s="134"/>
    </row>
    <row r="795" spans="1:51" s="110" customFormat="1" ht="20" customHeight="1">
      <c r="A795" s="125" t="s">
        <v>185</v>
      </c>
      <c r="B795" s="126" t="s">
        <v>59</v>
      </c>
      <c r="C795" s="127">
        <v>12478</v>
      </c>
      <c r="D795" s="128">
        <v>104538</v>
      </c>
      <c r="E795" s="129" t="s">
        <v>2300</v>
      </c>
      <c r="F795" s="129" t="s">
        <v>2300</v>
      </c>
      <c r="G795" s="130">
        <v>1000</v>
      </c>
      <c r="H795" s="130">
        <v>5</v>
      </c>
      <c r="I795" s="129" t="s">
        <v>209</v>
      </c>
      <c r="J795" s="129" t="s">
        <v>2301</v>
      </c>
      <c r="K795" s="129" t="s">
        <v>2302</v>
      </c>
      <c r="L795" s="130">
        <v>0</v>
      </c>
      <c r="M795" s="130">
        <v>1</v>
      </c>
      <c r="N795" s="129" t="s">
        <v>1544</v>
      </c>
      <c r="O795" s="130">
        <v>68</v>
      </c>
      <c r="P795" s="130">
        <v>12</v>
      </c>
      <c r="Q795" s="130">
        <v>19</v>
      </c>
      <c r="R795" s="129" t="s">
        <v>654</v>
      </c>
      <c r="S795" s="129" t="s">
        <v>655</v>
      </c>
      <c r="T795" s="130">
        <v>244</v>
      </c>
      <c r="U795" s="129" t="s">
        <v>656</v>
      </c>
      <c r="V795" s="129" t="s">
        <v>657</v>
      </c>
      <c r="W795" s="130">
        <v>1</v>
      </c>
      <c r="X795" s="130">
        <v>2</v>
      </c>
      <c r="Y795" s="129" t="s">
        <v>194</v>
      </c>
      <c r="Z795" s="129" t="s">
        <v>195</v>
      </c>
      <c r="AA795" s="129" t="s">
        <v>196</v>
      </c>
      <c r="AB795" s="129" t="s">
        <v>187</v>
      </c>
      <c r="AC795" s="129" t="s">
        <v>187</v>
      </c>
      <c r="AD795" s="131"/>
      <c r="AE795" s="129" t="s">
        <v>209</v>
      </c>
      <c r="AF795" s="130">
        <v>-1.7837099999999999</v>
      </c>
      <c r="AG795" s="132">
        <v>132.28784999999999</v>
      </c>
      <c r="AM795" s="110" t="str" cm="1">
        <f t="array" ref="AM795">IF(ROWS($AL$2:AL794)&lt;=$AN$2,INDEX($V$3:$V$3000,_xlfn.AGGREGATE(15,3,($B$3:$B$3000=$AM$2)/($B$3:$B$3000=$AM$2)*(ROW($B$3:$B$3000)-ROW($B$2)),ROWS($AL$2:AL794))),"")</f>
        <v/>
      </c>
      <c r="AN795" s="110" t="str" cm="1">
        <f t="array" ref="AN795">IF(ROWS($AL$2:AL794)&lt;=$AN$2,INDEX($F$3:$F$3000,_xlfn.AGGREGATE(15,3,($B$3:$B$3000=$AM$2)/($B$3:$B$3000=$AM$2)*(ROW($B$3:$B$3000)-ROW($B$2)),ROWS($AL$2:AL794))),"")</f>
        <v/>
      </c>
      <c r="AO795" s="121" t="str" cm="1">
        <f t="array" ref="AO795">IF(ROWS($AL$2:AN794)&lt;=$AN$2,INDEX($G$3:$G$3000,_xlfn.AGGREGATE(15,3,($B$3:$B$3000=$AM$2)/($B$3:$B$3000=$AM$2)*(ROW($B$3:$B$3000)-ROW($B$2)),ROWS($AL$2:AN794))),"")</f>
        <v/>
      </c>
      <c r="AP795" s="121"/>
      <c r="AT795" s="111"/>
      <c r="AX795" s="121"/>
    </row>
    <row r="796" spans="1:51" s="110" customFormat="1" ht="20" customHeight="1">
      <c r="A796" s="125" t="s">
        <v>185</v>
      </c>
      <c r="B796" s="126" t="s">
        <v>59</v>
      </c>
      <c r="C796" s="127">
        <v>10843</v>
      </c>
      <c r="D796" s="128">
        <v>101436</v>
      </c>
      <c r="E796" s="129" t="s">
        <v>1829</v>
      </c>
      <c r="F796" s="129" t="s">
        <v>1829</v>
      </c>
      <c r="G796" s="130">
        <v>400</v>
      </c>
      <c r="H796" s="130">
        <v>5</v>
      </c>
      <c r="I796" s="129" t="s">
        <v>209</v>
      </c>
      <c r="J796" s="129" t="s">
        <v>1830</v>
      </c>
      <c r="K796" s="129" t="s">
        <v>1831</v>
      </c>
      <c r="L796" s="130">
        <v>2</v>
      </c>
      <c r="M796" s="130">
        <v>1</v>
      </c>
      <c r="N796" s="129" t="s">
        <v>1544</v>
      </c>
      <c r="O796" s="130">
        <v>73</v>
      </c>
      <c r="P796" s="130">
        <v>22</v>
      </c>
      <c r="Q796" s="130">
        <v>19</v>
      </c>
      <c r="R796" s="129" t="s">
        <v>654</v>
      </c>
      <c r="S796" s="129" t="s">
        <v>655</v>
      </c>
      <c r="T796" s="130">
        <v>244</v>
      </c>
      <c r="U796" s="129" t="s">
        <v>656</v>
      </c>
      <c r="V796" s="129" t="s">
        <v>657</v>
      </c>
      <c r="W796" s="130">
        <v>1</v>
      </c>
      <c r="X796" s="130">
        <v>2</v>
      </c>
      <c r="Y796" s="129" t="s">
        <v>194</v>
      </c>
      <c r="Z796" s="129" t="s">
        <v>195</v>
      </c>
      <c r="AA796" s="129" t="s">
        <v>196</v>
      </c>
      <c r="AB796" s="129" t="s">
        <v>187</v>
      </c>
      <c r="AC796" s="129" t="s">
        <v>187</v>
      </c>
      <c r="AD796" s="131"/>
      <c r="AE796" s="129" t="s">
        <v>209</v>
      </c>
      <c r="AF796" s="130">
        <v>-4.0035037056315401</v>
      </c>
      <c r="AG796" s="132">
        <v>140.81914882655701</v>
      </c>
      <c r="AM796" s="110" t="str" cm="1">
        <f t="array" ref="AM796">IF(ROWS($AL$2:AL795)&lt;=$AN$2,INDEX($V$3:$V$3000,_xlfn.AGGREGATE(15,3,($B$3:$B$3000=$AM$2)/($B$3:$B$3000=$AM$2)*(ROW($B$3:$B$3000)-ROW($B$2)),ROWS($AL$2:AL795))),"")</f>
        <v/>
      </c>
      <c r="AN796" s="110" t="str" cm="1">
        <f t="array" ref="AN796">IF(ROWS($AL$2:AL795)&lt;=$AN$2,INDEX($F$3:$F$3000,_xlfn.AGGREGATE(15,3,($B$3:$B$3000=$AM$2)/($B$3:$B$3000=$AM$2)*(ROW($B$3:$B$3000)-ROW($B$2)),ROWS($AL$2:AL795))),"")</f>
        <v/>
      </c>
      <c r="AO796" s="121" t="str" cm="1">
        <f t="array" ref="AO796">IF(ROWS($AL$2:AN795)&lt;=$AN$2,INDEX($G$3:$G$3000,_xlfn.AGGREGATE(15,3,($B$3:$B$3000=$AM$2)/($B$3:$B$3000=$AM$2)*(ROW($B$3:$B$3000)-ROW($B$2)),ROWS($AL$2:AN795))),"")</f>
        <v/>
      </c>
      <c r="AP796" s="121"/>
      <c r="AT796" s="111"/>
      <c r="AX796" s="121"/>
    </row>
    <row r="797" spans="1:51" s="110" customFormat="1" ht="20" customHeight="1">
      <c r="A797" s="125" t="s">
        <v>185</v>
      </c>
      <c r="B797" s="126" t="s">
        <v>59</v>
      </c>
      <c r="C797" s="127">
        <v>12924</v>
      </c>
      <c r="D797" s="128">
        <v>105538</v>
      </c>
      <c r="E797" s="129" t="s">
        <v>1584</v>
      </c>
      <c r="F797" s="129" t="s">
        <v>1585</v>
      </c>
      <c r="G797" s="130">
        <v>100</v>
      </c>
      <c r="H797" s="130">
        <v>5</v>
      </c>
      <c r="I797" s="129" t="s">
        <v>209</v>
      </c>
      <c r="J797" s="129" t="s">
        <v>1586</v>
      </c>
      <c r="K797" s="129" t="s">
        <v>1587</v>
      </c>
      <c r="L797" s="130">
        <v>1</v>
      </c>
      <c r="M797" s="130">
        <v>1</v>
      </c>
      <c r="N797" s="129" t="s">
        <v>1544</v>
      </c>
      <c r="O797" s="130">
        <v>60</v>
      </c>
      <c r="P797" s="130">
        <v>12</v>
      </c>
      <c r="Q797" s="130">
        <v>19</v>
      </c>
      <c r="R797" s="129" t="s">
        <v>654</v>
      </c>
      <c r="S797" s="129" t="s">
        <v>655</v>
      </c>
      <c r="T797" s="130">
        <v>244</v>
      </c>
      <c r="U797" s="129" t="s">
        <v>656</v>
      </c>
      <c r="V797" s="129" t="s">
        <v>657</v>
      </c>
      <c r="W797" s="130">
        <v>1</v>
      </c>
      <c r="X797" s="130">
        <v>2</v>
      </c>
      <c r="Y797" s="129" t="s">
        <v>194</v>
      </c>
      <c r="Z797" s="129" t="s">
        <v>195</v>
      </c>
      <c r="AA797" s="129" t="s">
        <v>196</v>
      </c>
      <c r="AB797" s="129" t="s">
        <v>187</v>
      </c>
      <c r="AC797" s="129" t="s">
        <v>187</v>
      </c>
      <c r="AD797" s="131"/>
      <c r="AE797" s="129" t="s">
        <v>209</v>
      </c>
      <c r="AF797" s="130">
        <v>-3.0594999999999999</v>
      </c>
      <c r="AG797" s="132">
        <v>138.26435000000001</v>
      </c>
      <c r="AM797" s="110" t="str" cm="1">
        <f t="array" ref="AM797">IF(ROWS($AL$2:AL796)&lt;=$AN$2,INDEX($V$3:$V$3000,_xlfn.AGGREGATE(15,3,($B$3:$B$3000=$AM$2)/($B$3:$B$3000=$AM$2)*(ROW($B$3:$B$3000)-ROW($B$2)),ROWS($AL$2:AL796))),"")</f>
        <v/>
      </c>
      <c r="AN797" s="110" t="str" cm="1">
        <f t="array" ref="AN797">IF(ROWS($AL$2:AL796)&lt;=$AN$2,INDEX($F$3:$F$3000,_xlfn.AGGREGATE(15,3,($B$3:$B$3000=$AM$2)/($B$3:$B$3000=$AM$2)*(ROW($B$3:$B$3000)-ROW($B$2)),ROWS($AL$2:AL796))),"")</f>
        <v/>
      </c>
      <c r="AO797" s="121" t="str" cm="1">
        <f t="array" ref="AO797">IF(ROWS($AL$2:AN796)&lt;=$AN$2,INDEX($G$3:$G$3000,_xlfn.AGGREGATE(15,3,($B$3:$B$3000=$AM$2)/($B$3:$B$3000=$AM$2)*(ROW($B$3:$B$3000)-ROW($B$2)),ROWS($AL$2:AN796))),"")</f>
        <v/>
      </c>
      <c r="AP797" s="121"/>
      <c r="AT797" s="111"/>
      <c r="AX797" s="121"/>
    </row>
    <row r="798" spans="1:51" s="110" customFormat="1" ht="20" customHeight="1">
      <c r="A798" s="125" t="s">
        <v>185</v>
      </c>
      <c r="B798" s="126" t="s">
        <v>59</v>
      </c>
      <c r="C798" s="127">
        <v>13579</v>
      </c>
      <c r="D798" s="128">
        <v>106393</v>
      </c>
      <c r="E798" s="129" t="s">
        <v>1588</v>
      </c>
      <c r="F798" s="129" t="s">
        <v>1588</v>
      </c>
      <c r="G798" s="130">
        <v>100</v>
      </c>
      <c r="H798" s="130">
        <v>5</v>
      </c>
      <c r="I798" s="129" t="s">
        <v>209</v>
      </c>
      <c r="J798" s="129" t="s">
        <v>1589</v>
      </c>
      <c r="K798" s="129" t="s">
        <v>1590</v>
      </c>
      <c r="L798" s="130">
        <v>4</v>
      </c>
      <c r="M798" s="130">
        <v>1</v>
      </c>
      <c r="N798" s="129" t="s">
        <v>1544</v>
      </c>
      <c r="O798" s="130">
        <v>65</v>
      </c>
      <c r="P798" s="130">
        <v>12</v>
      </c>
      <c r="Q798" s="130">
        <v>19</v>
      </c>
      <c r="R798" s="129" t="s">
        <v>654</v>
      </c>
      <c r="S798" s="129" t="s">
        <v>655</v>
      </c>
      <c r="T798" s="130">
        <v>244</v>
      </c>
      <c r="U798" s="129" t="s">
        <v>656</v>
      </c>
      <c r="V798" s="129" t="s">
        <v>657</v>
      </c>
      <c r="W798" s="130">
        <v>1</v>
      </c>
      <c r="X798" s="130">
        <v>2</v>
      </c>
      <c r="Y798" s="129" t="s">
        <v>194</v>
      </c>
      <c r="Z798" s="129" t="s">
        <v>195</v>
      </c>
      <c r="AA798" s="129" t="s">
        <v>196</v>
      </c>
      <c r="AB798" s="129" t="s">
        <v>187</v>
      </c>
      <c r="AC798" s="129" t="s">
        <v>187</v>
      </c>
      <c r="AD798" s="131"/>
      <c r="AE798" s="129" t="s">
        <v>209</v>
      </c>
      <c r="AF798" s="130">
        <v>-1.7441899999999999</v>
      </c>
      <c r="AG798" s="132">
        <v>138.2851</v>
      </c>
      <c r="AM798" s="110" t="str" cm="1">
        <f t="array" ref="AM798">IF(ROWS($AL$2:AL797)&lt;=$AN$2,INDEX($V$3:$V$3000,_xlfn.AGGREGATE(15,3,($B$3:$B$3000=$AM$2)/($B$3:$B$3000=$AM$2)*(ROW($B$3:$B$3000)-ROW($B$2)),ROWS($AL$2:AL797))),"")</f>
        <v/>
      </c>
      <c r="AN798" s="110" t="str" cm="1">
        <f t="array" ref="AN798">IF(ROWS($AL$2:AL797)&lt;=$AN$2,INDEX($F$3:$F$3000,_xlfn.AGGREGATE(15,3,($B$3:$B$3000=$AM$2)/($B$3:$B$3000=$AM$2)*(ROW($B$3:$B$3000)-ROW($B$2)),ROWS($AL$2:AL797))),"")</f>
        <v/>
      </c>
      <c r="AO798" s="121" t="str" cm="1">
        <f t="array" ref="AO798">IF(ROWS($AL$2:AN797)&lt;=$AN$2,INDEX($G$3:$G$3000,_xlfn.AGGREGATE(15,3,($B$3:$B$3000=$AM$2)/($B$3:$B$3000=$AM$2)*(ROW($B$3:$B$3000)-ROW($B$2)),ROWS($AL$2:AN797))),"")</f>
        <v/>
      </c>
      <c r="AP798" s="121"/>
      <c r="AT798" s="111"/>
      <c r="AX798" s="121"/>
    </row>
    <row r="799" spans="1:51" s="110" customFormat="1" ht="20" customHeight="1">
      <c r="A799" s="125" t="s">
        <v>185</v>
      </c>
      <c r="B799" s="126" t="s">
        <v>59</v>
      </c>
      <c r="C799" s="127">
        <v>13804</v>
      </c>
      <c r="D799" s="128">
        <v>106784</v>
      </c>
      <c r="E799" s="129" t="s">
        <v>1563</v>
      </c>
      <c r="F799" s="129" t="s">
        <v>1563</v>
      </c>
      <c r="G799" s="130">
        <v>80</v>
      </c>
      <c r="H799" s="130">
        <v>5</v>
      </c>
      <c r="I799" s="129" t="s">
        <v>209</v>
      </c>
      <c r="J799" s="129" t="s">
        <v>1564</v>
      </c>
      <c r="K799" s="129" t="s">
        <v>1565</v>
      </c>
      <c r="L799" s="130">
        <v>1</v>
      </c>
      <c r="M799" s="130">
        <v>1</v>
      </c>
      <c r="N799" s="129" t="s">
        <v>1544</v>
      </c>
      <c r="O799" s="130">
        <v>65</v>
      </c>
      <c r="P799" s="130">
        <v>12</v>
      </c>
      <c r="Q799" s="130">
        <v>19</v>
      </c>
      <c r="R799" s="129" t="s">
        <v>654</v>
      </c>
      <c r="S799" s="129" t="s">
        <v>655</v>
      </c>
      <c r="T799" s="130">
        <v>244</v>
      </c>
      <c r="U799" s="129" t="s">
        <v>656</v>
      </c>
      <c r="V799" s="129" t="s">
        <v>657</v>
      </c>
      <c r="W799" s="130">
        <v>1</v>
      </c>
      <c r="X799" s="130">
        <v>2</v>
      </c>
      <c r="Y799" s="129" t="s">
        <v>194</v>
      </c>
      <c r="Z799" s="129" t="s">
        <v>195</v>
      </c>
      <c r="AA799" s="129" t="s">
        <v>196</v>
      </c>
      <c r="AB799" s="129" t="s">
        <v>187</v>
      </c>
      <c r="AC799" s="129" t="s">
        <v>187</v>
      </c>
      <c r="AD799" s="131"/>
      <c r="AE799" s="129" t="s">
        <v>209</v>
      </c>
      <c r="AF799" s="130">
        <v>-2.8033057816365399</v>
      </c>
      <c r="AG799" s="132">
        <v>132.84572429284199</v>
      </c>
      <c r="AM799" s="110" t="str" cm="1">
        <f t="array" ref="AM799">IF(ROWS($AL$2:AL798)&lt;=$AN$2,INDEX($V$3:$V$3000,_xlfn.AGGREGATE(15,3,($B$3:$B$3000=$AM$2)/($B$3:$B$3000=$AM$2)*(ROW($B$3:$B$3000)-ROW($B$2)),ROWS($AL$2:AL798))),"")</f>
        <v/>
      </c>
      <c r="AN799" s="110" t="str" cm="1">
        <f t="array" ref="AN799">IF(ROWS($AL$2:AL798)&lt;=$AN$2,INDEX($F$3:$F$3000,_xlfn.AGGREGATE(15,3,($B$3:$B$3000=$AM$2)/($B$3:$B$3000=$AM$2)*(ROW($B$3:$B$3000)-ROW($B$2)),ROWS($AL$2:AL798))),"")</f>
        <v/>
      </c>
      <c r="AO799" s="121" t="str" cm="1">
        <f t="array" ref="AO799">IF(ROWS($AL$2:AN798)&lt;=$AN$2,INDEX($G$3:$G$3000,_xlfn.AGGREGATE(15,3,($B$3:$B$3000=$AM$2)/($B$3:$B$3000=$AM$2)*(ROW($B$3:$B$3000)-ROW($B$2)),ROWS($AL$2:AN798))),"")</f>
        <v/>
      </c>
      <c r="AP799" s="121"/>
      <c r="AT799" s="111"/>
      <c r="AX799" s="121"/>
    </row>
    <row r="800" spans="1:51" s="110" customFormat="1" ht="20" customHeight="1">
      <c r="A800" s="125" t="s">
        <v>185</v>
      </c>
      <c r="B800" s="126" t="s">
        <v>59</v>
      </c>
      <c r="C800" s="127">
        <v>13536</v>
      </c>
      <c r="D800" s="128">
        <v>106323</v>
      </c>
      <c r="E800" s="129" t="s">
        <v>1554</v>
      </c>
      <c r="F800" s="129" t="s">
        <v>1554</v>
      </c>
      <c r="G800" s="130">
        <v>70</v>
      </c>
      <c r="H800" s="130">
        <v>5</v>
      </c>
      <c r="I800" s="129" t="s">
        <v>209</v>
      </c>
      <c r="J800" s="129" t="s">
        <v>1555</v>
      </c>
      <c r="K800" s="129" t="s">
        <v>1556</v>
      </c>
      <c r="L800" s="130">
        <v>0</v>
      </c>
      <c r="M800" s="130">
        <v>1</v>
      </c>
      <c r="N800" s="129" t="s">
        <v>1544</v>
      </c>
      <c r="O800" s="130">
        <v>70</v>
      </c>
      <c r="P800" s="130">
        <v>15</v>
      </c>
      <c r="Q800" s="130">
        <v>19</v>
      </c>
      <c r="R800" s="129" t="s">
        <v>654</v>
      </c>
      <c r="S800" s="129" t="s">
        <v>655</v>
      </c>
      <c r="T800" s="130">
        <v>244</v>
      </c>
      <c r="U800" s="129" t="s">
        <v>656</v>
      </c>
      <c r="V800" s="129" t="s">
        <v>657</v>
      </c>
      <c r="W800" s="130">
        <v>1</v>
      </c>
      <c r="X800" s="130">
        <v>2</v>
      </c>
      <c r="Y800" s="129" t="s">
        <v>194</v>
      </c>
      <c r="Z800" s="129" t="s">
        <v>195</v>
      </c>
      <c r="AA800" s="129" t="s">
        <v>196</v>
      </c>
      <c r="AB800" s="129" t="s">
        <v>187</v>
      </c>
      <c r="AC800" s="129" t="s">
        <v>187</v>
      </c>
      <c r="AD800" s="131"/>
      <c r="AE800" s="129" t="s">
        <v>209</v>
      </c>
      <c r="AF800" s="130">
        <v>-2.34491</v>
      </c>
      <c r="AG800" s="132">
        <v>139.67657</v>
      </c>
      <c r="AM800" s="110" t="str" cm="1">
        <f t="array" ref="AM800">IF(ROWS($AL$2:AL799)&lt;=$AN$2,INDEX($V$3:$V$3000,_xlfn.AGGREGATE(15,3,($B$3:$B$3000=$AM$2)/($B$3:$B$3000=$AM$2)*(ROW($B$3:$B$3000)-ROW($B$2)),ROWS($AL$2:AL799))),"")</f>
        <v/>
      </c>
      <c r="AN800" s="110" t="str" cm="1">
        <f t="array" ref="AN800">IF(ROWS($AL$2:AL799)&lt;=$AN$2,INDEX($F$3:$F$3000,_xlfn.AGGREGATE(15,3,($B$3:$B$3000=$AM$2)/($B$3:$B$3000=$AM$2)*(ROW($B$3:$B$3000)-ROW($B$2)),ROWS($AL$2:AL799))),"")</f>
        <v/>
      </c>
      <c r="AO800" s="121" t="str" cm="1">
        <f t="array" ref="AO800">IF(ROWS($AL$2:AN799)&lt;=$AN$2,INDEX($G$3:$G$3000,_xlfn.AGGREGATE(15,3,($B$3:$B$3000=$AM$2)/($B$3:$B$3000=$AM$2)*(ROW($B$3:$B$3000)-ROW($B$2)),ROWS($AL$2:AN799))),"")</f>
        <v/>
      </c>
      <c r="AP800" s="121"/>
      <c r="AT800" s="111"/>
      <c r="AX800" s="121"/>
    </row>
    <row r="801" spans="1:50" s="110" customFormat="1" ht="20" customHeight="1">
      <c r="A801" s="125" t="s">
        <v>1549</v>
      </c>
      <c r="B801" s="126" t="s">
        <v>62</v>
      </c>
      <c r="C801" s="127">
        <v>14449</v>
      </c>
      <c r="D801" s="145">
        <v>108129</v>
      </c>
      <c r="E801" s="146" t="s">
        <v>2080</v>
      </c>
      <c r="F801" s="146" t="s">
        <v>2080</v>
      </c>
      <c r="G801" s="147">
        <v>700</v>
      </c>
      <c r="H801" s="147">
        <v>4</v>
      </c>
      <c r="I801" s="146" t="s">
        <v>209</v>
      </c>
      <c r="J801" s="146" t="s">
        <v>2081</v>
      </c>
      <c r="K801" s="146" t="s">
        <v>2080</v>
      </c>
      <c r="L801" s="147">
        <v>5</v>
      </c>
      <c r="M801" s="147">
        <v>1</v>
      </c>
      <c r="N801" s="146" t="s">
        <v>1544</v>
      </c>
      <c r="O801" s="147">
        <v>95</v>
      </c>
      <c r="P801" s="147">
        <v>3</v>
      </c>
      <c r="Q801" s="147">
        <v>12</v>
      </c>
      <c r="R801" s="146" t="s">
        <v>1309</v>
      </c>
      <c r="S801" s="146" t="s">
        <v>1310</v>
      </c>
      <c r="T801" s="147">
        <v>271</v>
      </c>
      <c r="U801" s="146" t="s">
        <v>2082</v>
      </c>
      <c r="V801" s="146" t="s">
        <v>2083</v>
      </c>
      <c r="W801" s="147">
        <v>47</v>
      </c>
      <c r="X801" s="147">
        <v>2</v>
      </c>
      <c r="Y801" s="146" t="s">
        <v>194</v>
      </c>
      <c r="Z801" s="146" t="s">
        <v>195</v>
      </c>
      <c r="AA801" s="146" t="s">
        <v>196</v>
      </c>
      <c r="AB801" s="146" t="s">
        <v>187</v>
      </c>
      <c r="AC801" s="146" t="s">
        <v>209</v>
      </c>
      <c r="AD801" s="148"/>
      <c r="AE801" s="146" t="s">
        <v>209</v>
      </c>
      <c r="AF801" s="147">
        <v>-8.8330000000000002</v>
      </c>
      <c r="AG801" s="149">
        <v>125.95099999999999</v>
      </c>
      <c r="AO801" s="121"/>
      <c r="AP801" s="121"/>
      <c r="AT801" s="111"/>
      <c r="AX801" s="121"/>
    </row>
    <row r="802" spans="1:50" s="110" customFormat="1" ht="20" customHeight="1">
      <c r="A802" s="125" t="s">
        <v>486</v>
      </c>
      <c r="B802" s="126" t="s">
        <v>57</v>
      </c>
      <c r="C802" s="127">
        <v>10454</v>
      </c>
      <c r="D802" s="151">
        <v>100557</v>
      </c>
      <c r="E802" s="152" t="s">
        <v>2658</v>
      </c>
      <c r="F802" s="152" t="s">
        <v>2658</v>
      </c>
      <c r="G802" s="153">
        <v>1900</v>
      </c>
      <c r="H802" s="153">
        <v>3</v>
      </c>
      <c r="I802" s="152" t="s">
        <v>209</v>
      </c>
      <c r="J802" s="152" t="s">
        <v>2612</v>
      </c>
      <c r="K802" s="152" t="s">
        <v>2613</v>
      </c>
      <c r="L802" s="153">
        <v>5</v>
      </c>
      <c r="M802" s="153">
        <v>1</v>
      </c>
      <c r="N802" s="152" t="s">
        <v>1544</v>
      </c>
      <c r="O802" s="153">
        <v>70.587999999999994</v>
      </c>
      <c r="P802" s="154"/>
      <c r="Q802" s="153">
        <v>21</v>
      </c>
      <c r="R802" s="152" t="s">
        <v>200</v>
      </c>
      <c r="S802" s="152" t="s">
        <v>201</v>
      </c>
      <c r="T802" s="153">
        <v>402</v>
      </c>
      <c r="U802" s="152" t="s">
        <v>200</v>
      </c>
      <c r="V802" s="152" t="s">
        <v>1968</v>
      </c>
      <c r="W802" s="153">
        <v>3</v>
      </c>
      <c r="X802" s="153">
        <v>4</v>
      </c>
      <c r="Y802" s="152" t="s">
        <v>203</v>
      </c>
      <c r="Z802" s="152" t="s">
        <v>195</v>
      </c>
      <c r="AA802" s="152" t="s">
        <v>196</v>
      </c>
      <c r="AB802" s="152" t="s">
        <v>187</v>
      </c>
      <c r="AC802" s="152" t="s">
        <v>187</v>
      </c>
      <c r="AD802" s="154"/>
      <c r="AE802" s="152" t="s">
        <v>209</v>
      </c>
      <c r="AF802" s="153">
        <v>22.845352852814599</v>
      </c>
      <c r="AG802" s="155">
        <v>92.342675609314796</v>
      </c>
      <c r="AO802" s="121"/>
      <c r="AT802" s="111"/>
      <c r="AX802" s="121"/>
    </row>
    <row r="803" spans="1:50" s="110" customFormat="1" ht="20" customHeight="1">
      <c r="A803" s="125" t="s">
        <v>486</v>
      </c>
      <c r="B803" s="126" t="s">
        <v>57</v>
      </c>
      <c r="C803" s="127">
        <v>16961</v>
      </c>
      <c r="D803" s="151">
        <v>112266</v>
      </c>
      <c r="E803" s="152" t="s">
        <v>4173</v>
      </c>
      <c r="F803" s="152" t="s">
        <v>4173</v>
      </c>
      <c r="G803" s="153">
        <v>125000</v>
      </c>
      <c r="H803" s="153">
        <v>3</v>
      </c>
      <c r="I803" s="152" t="s">
        <v>209</v>
      </c>
      <c r="J803" s="152" t="s">
        <v>198</v>
      </c>
      <c r="K803" s="152" t="s">
        <v>199</v>
      </c>
      <c r="L803" s="153">
        <v>5</v>
      </c>
      <c r="M803" s="153">
        <v>1</v>
      </c>
      <c r="N803" s="152" t="s">
        <v>1544</v>
      </c>
      <c r="O803" s="153">
        <v>100</v>
      </c>
      <c r="P803" s="154"/>
      <c r="Q803" s="153">
        <v>21</v>
      </c>
      <c r="R803" s="152" t="s">
        <v>200</v>
      </c>
      <c r="S803" s="152" t="s">
        <v>201</v>
      </c>
      <c r="T803" s="153">
        <v>404</v>
      </c>
      <c r="U803" s="152" t="s">
        <v>200</v>
      </c>
      <c r="V803" s="152" t="s">
        <v>1975</v>
      </c>
      <c r="W803" s="153">
        <v>5</v>
      </c>
      <c r="X803" s="153">
        <v>4</v>
      </c>
      <c r="Y803" s="152" t="s">
        <v>203</v>
      </c>
      <c r="Z803" s="152" t="s">
        <v>195</v>
      </c>
      <c r="AA803" s="152" t="s">
        <v>196</v>
      </c>
      <c r="AB803" s="152" t="s">
        <v>187</v>
      </c>
      <c r="AC803" s="152" t="s">
        <v>187</v>
      </c>
      <c r="AD803" s="154"/>
      <c r="AE803" s="152" t="s">
        <v>209</v>
      </c>
      <c r="AF803" s="153">
        <v>22.587671</v>
      </c>
      <c r="AG803" s="155">
        <v>92.371825000000001</v>
      </c>
      <c r="AO803" s="121"/>
      <c r="AT803" s="111"/>
      <c r="AX803" s="121"/>
    </row>
    <row r="804" spans="1:50" s="110" customFormat="1" ht="20" customHeight="1">
      <c r="A804" s="125" t="s">
        <v>486</v>
      </c>
      <c r="B804" s="126" t="s">
        <v>57</v>
      </c>
      <c r="C804" s="127">
        <v>10327</v>
      </c>
      <c r="D804" s="151">
        <v>100355</v>
      </c>
      <c r="E804" s="152" t="s">
        <v>2215</v>
      </c>
      <c r="F804" s="152" t="s">
        <v>2215</v>
      </c>
      <c r="G804" s="153">
        <v>17000</v>
      </c>
      <c r="H804" s="153">
        <v>3</v>
      </c>
      <c r="I804" s="152" t="s">
        <v>209</v>
      </c>
      <c r="J804" s="152" t="s">
        <v>198</v>
      </c>
      <c r="K804" s="152" t="s">
        <v>199</v>
      </c>
      <c r="L804" s="153">
        <v>5</v>
      </c>
      <c r="M804" s="153">
        <v>1</v>
      </c>
      <c r="N804" s="152" t="s">
        <v>1544</v>
      </c>
      <c r="O804" s="153">
        <v>74.141999999999996</v>
      </c>
      <c r="P804" s="154"/>
      <c r="Q804" s="153">
        <v>21</v>
      </c>
      <c r="R804" s="152" t="s">
        <v>200</v>
      </c>
      <c r="S804" s="152" t="s">
        <v>201</v>
      </c>
      <c r="T804" s="153">
        <v>404</v>
      </c>
      <c r="U804" s="152" t="s">
        <v>200</v>
      </c>
      <c r="V804" s="152" t="s">
        <v>1975</v>
      </c>
      <c r="W804" s="153">
        <v>3</v>
      </c>
      <c r="X804" s="153">
        <v>4</v>
      </c>
      <c r="Y804" s="152" t="s">
        <v>203</v>
      </c>
      <c r="Z804" s="152" t="s">
        <v>195</v>
      </c>
      <c r="AA804" s="152" t="s">
        <v>196</v>
      </c>
      <c r="AB804" s="152" t="s">
        <v>187</v>
      </c>
      <c r="AC804" s="152" t="s">
        <v>209</v>
      </c>
      <c r="AD804" s="154"/>
      <c r="AE804" s="152" t="s">
        <v>209</v>
      </c>
      <c r="AF804" s="153">
        <v>23.789290000000001</v>
      </c>
      <c r="AG804" s="155">
        <v>90.329220000000007</v>
      </c>
      <c r="AO804" s="121"/>
      <c r="AT804" s="111"/>
      <c r="AX804" s="121"/>
    </row>
    <row r="805" spans="1:50" s="110" customFormat="1" ht="20" customHeight="1">
      <c r="A805" s="125" t="s">
        <v>486</v>
      </c>
      <c r="B805" s="126" t="s">
        <v>57</v>
      </c>
      <c r="C805" s="127">
        <v>20021</v>
      </c>
      <c r="D805" s="151">
        <v>115518</v>
      </c>
      <c r="E805" s="152" t="s">
        <v>3446</v>
      </c>
      <c r="F805" s="152" t="s">
        <v>3446</v>
      </c>
      <c r="G805" s="153">
        <v>7700</v>
      </c>
      <c r="H805" s="153">
        <v>3</v>
      </c>
      <c r="I805" s="152" t="s">
        <v>209</v>
      </c>
      <c r="J805" s="152" t="s">
        <v>2127</v>
      </c>
      <c r="K805" s="152" t="s">
        <v>2126</v>
      </c>
      <c r="L805" s="153">
        <v>5</v>
      </c>
      <c r="M805" s="153">
        <v>1</v>
      </c>
      <c r="N805" s="152" t="s">
        <v>1544</v>
      </c>
      <c r="O805" s="153">
        <v>100</v>
      </c>
      <c r="P805" s="154"/>
      <c r="Q805" s="153">
        <v>21</v>
      </c>
      <c r="R805" s="152" t="s">
        <v>200</v>
      </c>
      <c r="S805" s="152" t="s">
        <v>201</v>
      </c>
      <c r="T805" s="153">
        <v>404</v>
      </c>
      <c r="U805" s="152" t="s">
        <v>200</v>
      </c>
      <c r="V805" s="152" t="s">
        <v>1975</v>
      </c>
      <c r="W805" s="153">
        <v>2</v>
      </c>
      <c r="X805" s="153">
        <v>4</v>
      </c>
      <c r="Y805" s="152" t="s">
        <v>203</v>
      </c>
      <c r="Z805" s="152" t="s">
        <v>195</v>
      </c>
      <c r="AA805" s="152" t="s">
        <v>196</v>
      </c>
      <c r="AB805" s="152" t="s">
        <v>187</v>
      </c>
      <c r="AC805" s="152" t="s">
        <v>187</v>
      </c>
      <c r="AD805" s="154"/>
      <c r="AE805" s="152" t="s">
        <v>209</v>
      </c>
      <c r="AF805" s="153">
        <v>23.295829999999999</v>
      </c>
      <c r="AG805" s="155">
        <v>92.240808999999999</v>
      </c>
      <c r="AO805" s="121"/>
      <c r="AT805" s="111"/>
      <c r="AX805" s="121"/>
    </row>
    <row r="806" spans="1:50" s="110" customFormat="1" ht="20" customHeight="1">
      <c r="A806" s="125" t="s">
        <v>231</v>
      </c>
      <c r="B806" s="126" t="s">
        <v>66</v>
      </c>
      <c r="C806" s="127">
        <v>16961</v>
      </c>
      <c r="D806" s="151">
        <v>112266</v>
      </c>
      <c r="E806" s="152" t="s">
        <v>4173</v>
      </c>
      <c r="F806" s="152" t="s">
        <v>4173</v>
      </c>
      <c r="G806" s="153">
        <v>161000</v>
      </c>
      <c r="H806" s="153">
        <v>3</v>
      </c>
      <c r="I806" s="152" t="s">
        <v>209</v>
      </c>
      <c r="J806" s="152" t="s">
        <v>222</v>
      </c>
      <c r="K806" s="152" t="s">
        <v>223</v>
      </c>
      <c r="L806" s="153">
        <v>4</v>
      </c>
      <c r="M806" s="153">
        <v>1</v>
      </c>
      <c r="N806" s="152" t="s">
        <v>1544</v>
      </c>
      <c r="O806" s="153">
        <v>99.947000000000003</v>
      </c>
      <c r="P806" s="154"/>
      <c r="Q806" s="153">
        <v>21</v>
      </c>
      <c r="R806" s="152" t="s">
        <v>200</v>
      </c>
      <c r="S806" s="152" t="s">
        <v>201</v>
      </c>
      <c r="T806" s="153">
        <v>404</v>
      </c>
      <c r="U806" s="152" t="s">
        <v>200</v>
      </c>
      <c r="V806" s="152" t="s">
        <v>1975</v>
      </c>
      <c r="W806" s="153">
        <v>5</v>
      </c>
      <c r="X806" s="153">
        <v>4</v>
      </c>
      <c r="Y806" s="152" t="s">
        <v>203</v>
      </c>
      <c r="Z806" s="152" t="s">
        <v>195</v>
      </c>
      <c r="AA806" s="152" t="s">
        <v>196</v>
      </c>
      <c r="AB806" s="152" t="s">
        <v>187</v>
      </c>
      <c r="AC806" s="152" t="s">
        <v>187</v>
      </c>
      <c r="AD806" s="154"/>
      <c r="AE806" s="152" t="s">
        <v>209</v>
      </c>
      <c r="AF806" s="153">
        <v>32.0972000596024</v>
      </c>
      <c r="AG806" s="155">
        <v>74.2236047158883</v>
      </c>
      <c r="AO806" s="121"/>
      <c r="AT806" s="111"/>
      <c r="AX806" s="121"/>
    </row>
    <row r="807" spans="1:50" s="110" customFormat="1" ht="20" customHeight="1">
      <c r="A807" s="125" t="s">
        <v>231</v>
      </c>
      <c r="B807" s="126" t="s">
        <v>66</v>
      </c>
      <c r="C807" s="127">
        <v>10327</v>
      </c>
      <c r="D807" s="151">
        <v>100355</v>
      </c>
      <c r="E807" s="152" t="s">
        <v>2215</v>
      </c>
      <c r="F807" s="152" t="s">
        <v>2215</v>
      </c>
      <c r="G807" s="153">
        <v>800</v>
      </c>
      <c r="H807" s="153">
        <v>3</v>
      </c>
      <c r="I807" s="152" t="s">
        <v>209</v>
      </c>
      <c r="J807" s="152" t="s">
        <v>222</v>
      </c>
      <c r="K807" s="152" t="s">
        <v>223</v>
      </c>
      <c r="L807" s="153">
        <v>4</v>
      </c>
      <c r="M807" s="153">
        <v>1</v>
      </c>
      <c r="N807" s="152" t="s">
        <v>1544</v>
      </c>
      <c r="O807" s="153">
        <v>100</v>
      </c>
      <c r="P807" s="154"/>
      <c r="Q807" s="153">
        <v>21</v>
      </c>
      <c r="R807" s="152" t="s">
        <v>200</v>
      </c>
      <c r="S807" s="152" t="s">
        <v>201</v>
      </c>
      <c r="T807" s="153">
        <v>404</v>
      </c>
      <c r="U807" s="152" t="s">
        <v>200</v>
      </c>
      <c r="V807" s="152" t="s">
        <v>1975</v>
      </c>
      <c r="W807" s="153">
        <v>3</v>
      </c>
      <c r="X807" s="153">
        <v>4</v>
      </c>
      <c r="Y807" s="152" t="s">
        <v>203</v>
      </c>
      <c r="Z807" s="152" t="s">
        <v>195</v>
      </c>
      <c r="AA807" s="152" t="s">
        <v>196</v>
      </c>
      <c r="AB807" s="152" t="s">
        <v>187</v>
      </c>
      <c r="AC807" s="152" t="s">
        <v>209</v>
      </c>
      <c r="AD807" s="154"/>
      <c r="AE807" s="152" t="s">
        <v>209</v>
      </c>
      <c r="AF807" s="153">
        <v>24.904616875925399</v>
      </c>
      <c r="AG807" s="155">
        <v>67.071657466921195</v>
      </c>
      <c r="AO807" s="121"/>
      <c r="AT807" s="111"/>
      <c r="AX807" s="121"/>
    </row>
    <row r="808" spans="1:50" s="110" customFormat="1" ht="20" customHeight="1">
      <c r="A808" s="125" t="s">
        <v>231</v>
      </c>
      <c r="B808" s="126" t="s">
        <v>66</v>
      </c>
      <c r="C808" s="127">
        <v>16632</v>
      </c>
      <c r="D808" s="151">
        <v>111841</v>
      </c>
      <c r="E808" s="152" t="s">
        <v>1974</v>
      </c>
      <c r="F808" s="152" t="s">
        <v>1974</v>
      </c>
      <c r="G808" s="153">
        <v>500</v>
      </c>
      <c r="H808" s="153">
        <v>3</v>
      </c>
      <c r="I808" s="152" t="s">
        <v>209</v>
      </c>
      <c r="J808" s="152" t="s">
        <v>222</v>
      </c>
      <c r="K808" s="152" t="s">
        <v>223</v>
      </c>
      <c r="L808" s="153">
        <v>4</v>
      </c>
      <c r="M808" s="153">
        <v>1</v>
      </c>
      <c r="N808" s="152" t="s">
        <v>1544</v>
      </c>
      <c r="O808" s="153">
        <v>100</v>
      </c>
      <c r="P808" s="154"/>
      <c r="Q808" s="153">
        <v>21</v>
      </c>
      <c r="R808" s="152" t="s">
        <v>200</v>
      </c>
      <c r="S808" s="152" t="s">
        <v>201</v>
      </c>
      <c r="T808" s="153">
        <v>404</v>
      </c>
      <c r="U808" s="152" t="s">
        <v>200</v>
      </c>
      <c r="V808" s="152" t="s">
        <v>1975</v>
      </c>
      <c r="W808" s="153">
        <v>1</v>
      </c>
      <c r="X808" s="153">
        <v>4</v>
      </c>
      <c r="Y808" s="152" t="s">
        <v>203</v>
      </c>
      <c r="Z808" s="152" t="s">
        <v>195</v>
      </c>
      <c r="AA808" s="152" t="s">
        <v>196</v>
      </c>
      <c r="AB808" s="152" t="s">
        <v>187</v>
      </c>
      <c r="AC808" s="152" t="s">
        <v>187</v>
      </c>
      <c r="AD808" s="154"/>
      <c r="AE808" s="152" t="s">
        <v>209</v>
      </c>
      <c r="AF808" s="153">
        <v>32.402400313899697</v>
      </c>
      <c r="AG808" s="155">
        <v>74.633211629181602</v>
      </c>
      <c r="AO808" s="121"/>
      <c r="AT808" s="111"/>
      <c r="AX808" s="121"/>
    </row>
    <row r="809" spans="1:50" s="110" customFormat="1" ht="20" customHeight="1">
      <c r="A809" s="125" t="s">
        <v>224</v>
      </c>
      <c r="B809" s="126" t="s">
        <v>68</v>
      </c>
      <c r="C809" s="127">
        <v>16543</v>
      </c>
      <c r="D809" s="151">
        <v>111732</v>
      </c>
      <c r="E809" s="152" t="s">
        <v>4425</v>
      </c>
      <c r="F809" s="152" t="s">
        <v>4425</v>
      </c>
      <c r="G809" s="153">
        <v>50000</v>
      </c>
      <c r="H809" s="153">
        <v>3</v>
      </c>
      <c r="I809" s="152" t="s">
        <v>209</v>
      </c>
      <c r="J809" s="152" t="s">
        <v>2407</v>
      </c>
      <c r="K809" s="152" t="s">
        <v>2408</v>
      </c>
      <c r="L809" s="153">
        <v>5</v>
      </c>
      <c r="M809" s="153">
        <v>1</v>
      </c>
      <c r="N809" s="152" t="s">
        <v>1544</v>
      </c>
      <c r="O809" s="153">
        <v>86.777000000000001</v>
      </c>
      <c r="P809" s="154"/>
      <c r="Q809" s="153">
        <v>21</v>
      </c>
      <c r="R809" s="152" t="s">
        <v>200</v>
      </c>
      <c r="S809" s="152" t="s">
        <v>201</v>
      </c>
      <c r="T809" s="153">
        <v>404</v>
      </c>
      <c r="U809" s="152" t="s">
        <v>200</v>
      </c>
      <c r="V809" s="152" t="s">
        <v>1975</v>
      </c>
      <c r="W809" s="153">
        <v>1</v>
      </c>
      <c r="X809" s="153">
        <v>4</v>
      </c>
      <c r="Y809" s="152" t="s">
        <v>203</v>
      </c>
      <c r="Z809" s="152" t="s">
        <v>195</v>
      </c>
      <c r="AA809" s="152" t="s">
        <v>196</v>
      </c>
      <c r="AB809" s="152" t="s">
        <v>187</v>
      </c>
      <c r="AC809" s="152" t="s">
        <v>187</v>
      </c>
      <c r="AD809" s="154"/>
      <c r="AE809" s="152" t="s">
        <v>209</v>
      </c>
      <c r="AF809" s="153">
        <v>6.8681700000000001</v>
      </c>
      <c r="AG809" s="155">
        <v>80.020849999999996</v>
      </c>
      <c r="AO809" s="121"/>
      <c r="AT809" s="111"/>
      <c r="AX809" s="121"/>
    </row>
    <row r="810" spans="1:50" s="110" customFormat="1" ht="20" customHeight="1">
      <c r="A810" s="125" t="s">
        <v>224</v>
      </c>
      <c r="B810" s="126" t="s">
        <v>68</v>
      </c>
      <c r="C810" s="127">
        <v>16961</v>
      </c>
      <c r="D810" s="151">
        <v>112266</v>
      </c>
      <c r="E810" s="152" t="s">
        <v>4173</v>
      </c>
      <c r="F810" s="152" t="s">
        <v>4173</v>
      </c>
      <c r="G810" s="153">
        <v>26000</v>
      </c>
      <c r="H810" s="153">
        <v>3</v>
      </c>
      <c r="I810" s="152" t="s">
        <v>209</v>
      </c>
      <c r="J810" s="152" t="s">
        <v>634</v>
      </c>
      <c r="K810" s="152" t="s">
        <v>635</v>
      </c>
      <c r="L810" s="153">
        <v>0</v>
      </c>
      <c r="M810" s="153">
        <v>1</v>
      </c>
      <c r="N810" s="152" t="s">
        <v>1544</v>
      </c>
      <c r="O810" s="153">
        <v>100</v>
      </c>
      <c r="P810" s="154"/>
      <c r="Q810" s="153">
        <v>21</v>
      </c>
      <c r="R810" s="152" t="s">
        <v>200</v>
      </c>
      <c r="S810" s="152" t="s">
        <v>201</v>
      </c>
      <c r="T810" s="153">
        <v>404</v>
      </c>
      <c r="U810" s="152" t="s">
        <v>200</v>
      </c>
      <c r="V810" s="152" t="s">
        <v>1975</v>
      </c>
      <c r="W810" s="153">
        <v>5</v>
      </c>
      <c r="X810" s="153">
        <v>4</v>
      </c>
      <c r="Y810" s="152" t="s">
        <v>203</v>
      </c>
      <c r="Z810" s="152" t="s">
        <v>195</v>
      </c>
      <c r="AA810" s="152" t="s">
        <v>196</v>
      </c>
      <c r="AB810" s="152" t="s">
        <v>187</v>
      </c>
      <c r="AC810" s="152" t="s">
        <v>187</v>
      </c>
      <c r="AD810" s="154"/>
      <c r="AE810" s="152" t="s">
        <v>209</v>
      </c>
      <c r="AF810" s="153">
        <v>7.1253333621318902</v>
      </c>
      <c r="AG810" s="155">
        <v>80.009613046466896</v>
      </c>
      <c r="AO810" s="121"/>
      <c r="AT810" s="111"/>
      <c r="AX810" s="121"/>
    </row>
    <row r="811" spans="1:50" s="110" customFormat="1" ht="20" customHeight="1">
      <c r="A811" s="125" t="s">
        <v>224</v>
      </c>
      <c r="B811" s="126" t="s">
        <v>68</v>
      </c>
      <c r="C811" s="127">
        <v>21605</v>
      </c>
      <c r="D811" s="156"/>
      <c r="E811" s="152" t="s">
        <v>3937</v>
      </c>
      <c r="F811" s="152" t="s">
        <v>3937</v>
      </c>
      <c r="G811" s="153">
        <v>16000</v>
      </c>
      <c r="H811" s="153">
        <v>3</v>
      </c>
      <c r="I811" s="152" t="s">
        <v>209</v>
      </c>
      <c r="J811" s="152" t="s">
        <v>1989</v>
      </c>
      <c r="K811" s="152" t="s">
        <v>1990</v>
      </c>
      <c r="L811" s="153">
        <v>5</v>
      </c>
      <c r="M811" s="153">
        <v>1</v>
      </c>
      <c r="N811" s="152" t="s">
        <v>1544</v>
      </c>
      <c r="O811" s="153">
        <v>100</v>
      </c>
      <c r="P811" s="154"/>
      <c r="Q811" s="153">
        <v>21</v>
      </c>
      <c r="R811" s="152" t="s">
        <v>200</v>
      </c>
      <c r="S811" s="152" t="s">
        <v>201</v>
      </c>
      <c r="T811" s="153">
        <v>404</v>
      </c>
      <c r="U811" s="152" t="s">
        <v>200</v>
      </c>
      <c r="V811" s="152" t="s">
        <v>1975</v>
      </c>
      <c r="W811" s="153">
        <v>2</v>
      </c>
      <c r="X811" s="153">
        <v>4</v>
      </c>
      <c r="Y811" s="152" t="s">
        <v>203</v>
      </c>
      <c r="Z811" s="152" t="s">
        <v>195</v>
      </c>
      <c r="AA811" s="152" t="s">
        <v>196</v>
      </c>
      <c r="AB811" s="152" t="s">
        <v>187</v>
      </c>
      <c r="AC811" s="152" t="s">
        <v>187</v>
      </c>
      <c r="AD811" s="154"/>
      <c r="AE811" s="152" t="s">
        <v>209</v>
      </c>
      <c r="AF811" s="153">
        <v>7.0125000000000002</v>
      </c>
      <c r="AG811" s="155">
        <v>80.766170000000002</v>
      </c>
      <c r="AO811" s="121"/>
      <c r="AT811" s="111"/>
      <c r="AX811" s="121"/>
    </row>
    <row r="812" spans="1:50" s="110" customFormat="1" ht="20" customHeight="1">
      <c r="A812" s="125" t="s">
        <v>224</v>
      </c>
      <c r="B812" s="126" t="s">
        <v>68</v>
      </c>
      <c r="C812" s="127">
        <v>21630</v>
      </c>
      <c r="D812" s="151">
        <v>118418</v>
      </c>
      <c r="E812" s="152" t="s">
        <v>3649</v>
      </c>
      <c r="F812" s="152" t="s">
        <v>3649</v>
      </c>
      <c r="G812" s="153">
        <v>10000</v>
      </c>
      <c r="H812" s="153">
        <v>3</v>
      </c>
      <c r="I812" s="152" t="s">
        <v>209</v>
      </c>
      <c r="J812" s="152" t="s">
        <v>1989</v>
      </c>
      <c r="K812" s="152" t="s">
        <v>1990</v>
      </c>
      <c r="L812" s="153">
        <v>5</v>
      </c>
      <c r="M812" s="153">
        <v>1</v>
      </c>
      <c r="N812" s="152" t="s">
        <v>1544</v>
      </c>
      <c r="O812" s="153">
        <v>100</v>
      </c>
      <c r="P812" s="154"/>
      <c r="Q812" s="153">
        <v>21</v>
      </c>
      <c r="R812" s="152" t="s">
        <v>200</v>
      </c>
      <c r="S812" s="152" t="s">
        <v>201</v>
      </c>
      <c r="T812" s="153">
        <v>404</v>
      </c>
      <c r="U812" s="152" t="s">
        <v>200</v>
      </c>
      <c r="V812" s="152" t="s">
        <v>1975</v>
      </c>
      <c r="W812" s="153">
        <v>2</v>
      </c>
      <c r="X812" s="153">
        <v>4</v>
      </c>
      <c r="Y812" s="152" t="s">
        <v>203</v>
      </c>
      <c r="Z812" s="152" t="s">
        <v>195</v>
      </c>
      <c r="AA812" s="152" t="s">
        <v>196</v>
      </c>
      <c r="AB812" s="152" t="s">
        <v>187</v>
      </c>
      <c r="AC812" s="152" t="s">
        <v>187</v>
      </c>
      <c r="AD812" s="154"/>
      <c r="AE812" s="152" t="s">
        <v>209</v>
      </c>
      <c r="AF812" s="153">
        <v>7.0125000000000002</v>
      </c>
      <c r="AG812" s="155">
        <v>80.766170000000002</v>
      </c>
      <c r="AO812" s="121"/>
      <c r="AT812" s="111"/>
      <c r="AX812" s="121"/>
    </row>
    <row r="813" spans="1:50" s="110" customFormat="1" ht="20" customHeight="1">
      <c r="A813" s="125" t="s">
        <v>224</v>
      </c>
      <c r="B813" s="126" t="s">
        <v>68</v>
      </c>
      <c r="C813" s="127">
        <v>21552</v>
      </c>
      <c r="D813" s="151">
        <v>118357</v>
      </c>
      <c r="E813" s="152" t="s">
        <v>3550</v>
      </c>
      <c r="F813" s="152" t="s">
        <v>3550</v>
      </c>
      <c r="G813" s="153">
        <v>8900</v>
      </c>
      <c r="H813" s="153">
        <v>3</v>
      </c>
      <c r="I813" s="152" t="s">
        <v>209</v>
      </c>
      <c r="J813" s="152" t="s">
        <v>1989</v>
      </c>
      <c r="K813" s="152" t="s">
        <v>1990</v>
      </c>
      <c r="L813" s="153">
        <v>5</v>
      </c>
      <c r="M813" s="153">
        <v>1</v>
      </c>
      <c r="N813" s="152" t="s">
        <v>1544</v>
      </c>
      <c r="O813" s="153">
        <v>100</v>
      </c>
      <c r="P813" s="154"/>
      <c r="Q813" s="153">
        <v>21</v>
      </c>
      <c r="R813" s="152" t="s">
        <v>200</v>
      </c>
      <c r="S813" s="152" t="s">
        <v>201</v>
      </c>
      <c r="T813" s="153">
        <v>404</v>
      </c>
      <c r="U813" s="152" t="s">
        <v>200</v>
      </c>
      <c r="V813" s="152" t="s">
        <v>1975</v>
      </c>
      <c r="W813" s="153">
        <v>2</v>
      </c>
      <c r="X813" s="153">
        <v>4</v>
      </c>
      <c r="Y813" s="152" t="s">
        <v>203</v>
      </c>
      <c r="Z813" s="152" t="s">
        <v>195</v>
      </c>
      <c r="AA813" s="152" t="s">
        <v>196</v>
      </c>
      <c r="AB813" s="152" t="s">
        <v>187</v>
      </c>
      <c r="AC813" s="152" t="s">
        <v>187</v>
      </c>
      <c r="AD813" s="154"/>
      <c r="AE813" s="152" t="s">
        <v>209</v>
      </c>
      <c r="AF813" s="153">
        <v>7.0149999999999997</v>
      </c>
      <c r="AG813" s="155">
        <v>80.762</v>
      </c>
      <c r="AO813" s="121"/>
      <c r="AT813" s="111"/>
      <c r="AX813" s="121"/>
    </row>
    <row r="814" spans="1:50" s="110" customFormat="1" ht="20" customHeight="1">
      <c r="A814" s="125" t="s">
        <v>224</v>
      </c>
      <c r="B814" s="126" t="s">
        <v>68</v>
      </c>
      <c r="C814" s="127">
        <v>21607</v>
      </c>
      <c r="D814" s="156"/>
      <c r="E814" s="152" t="s">
        <v>3389</v>
      </c>
      <c r="F814" s="152" t="s">
        <v>3389</v>
      </c>
      <c r="G814" s="153">
        <v>6700</v>
      </c>
      <c r="H814" s="153">
        <v>3</v>
      </c>
      <c r="I814" s="152" t="s">
        <v>209</v>
      </c>
      <c r="J814" s="152" t="s">
        <v>1989</v>
      </c>
      <c r="K814" s="152" t="s">
        <v>1990</v>
      </c>
      <c r="L814" s="153">
        <v>5</v>
      </c>
      <c r="M814" s="153">
        <v>1</v>
      </c>
      <c r="N814" s="152" t="s">
        <v>1544</v>
      </c>
      <c r="O814" s="153">
        <v>100</v>
      </c>
      <c r="P814" s="154"/>
      <c r="Q814" s="153">
        <v>21</v>
      </c>
      <c r="R814" s="152" t="s">
        <v>200</v>
      </c>
      <c r="S814" s="152" t="s">
        <v>201</v>
      </c>
      <c r="T814" s="153">
        <v>404</v>
      </c>
      <c r="U814" s="152" t="s">
        <v>200</v>
      </c>
      <c r="V814" s="152" t="s">
        <v>1975</v>
      </c>
      <c r="W814" s="153">
        <v>2</v>
      </c>
      <c r="X814" s="153">
        <v>4</v>
      </c>
      <c r="Y814" s="152" t="s">
        <v>203</v>
      </c>
      <c r="Z814" s="152" t="s">
        <v>195</v>
      </c>
      <c r="AA814" s="152" t="s">
        <v>196</v>
      </c>
      <c r="AB814" s="152" t="s">
        <v>187</v>
      </c>
      <c r="AC814" s="152" t="s">
        <v>187</v>
      </c>
      <c r="AD814" s="154"/>
      <c r="AE814" s="152" t="s">
        <v>209</v>
      </c>
      <c r="AF814" s="153">
        <v>7.0125000000000002</v>
      </c>
      <c r="AG814" s="155">
        <v>80.766170000000002</v>
      </c>
      <c r="AO814" s="121"/>
      <c r="AT814" s="111"/>
      <c r="AX814" s="121"/>
    </row>
    <row r="815" spans="1:50" s="110" customFormat="1" ht="20" customHeight="1">
      <c r="A815" s="125" t="s">
        <v>224</v>
      </c>
      <c r="B815" s="126" t="s">
        <v>68</v>
      </c>
      <c r="C815" s="127">
        <v>21603</v>
      </c>
      <c r="D815" s="156"/>
      <c r="E815" s="152" t="s">
        <v>3148</v>
      </c>
      <c r="F815" s="152" t="s">
        <v>3148</v>
      </c>
      <c r="G815" s="153">
        <v>4700</v>
      </c>
      <c r="H815" s="153">
        <v>3</v>
      </c>
      <c r="I815" s="152" t="s">
        <v>209</v>
      </c>
      <c r="J815" s="152" t="s">
        <v>1989</v>
      </c>
      <c r="K815" s="152" t="s">
        <v>1990</v>
      </c>
      <c r="L815" s="153">
        <v>5</v>
      </c>
      <c r="M815" s="153">
        <v>1</v>
      </c>
      <c r="N815" s="152" t="s">
        <v>1544</v>
      </c>
      <c r="O815" s="153">
        <v>100</v>
      </c>
      <c r="P815" s="154"/>
      <c r="Q815" s="153">
        <v>21</v>
      </c>
      <c r="R815" s="152" t="s">
        <v>200</v>
      </c>
      <c r="S815" s="152" t="s">
        <v>201</v>
      </c>
      <c r="T815" s="153">
        <v>404</v>
      </c>
      <c r="U815" s="152" t="s">
        <v>200</v>
      </c>
      <c r="V815" s="152" t="s">
        <v>1975</v>
      </c>
      <c r="W815" s="153">
        <v>2</v>
      </c>
      <c r="X815" s="153">
        <v>4</v>
      </c>
      <c r="Y815" s="152" t="s">
        <v>203</v>
      </c>
      <c r="Z815" s="152" t="s">
        <v>195</v>
      </c>
      <c r="AA815" s="152" t="s">
        <v>196</v>
      </c>
      <c r="AB815" s="152" t="s">
        <v>187</v>
      </c>
      <c r="AC815" s="152" t="s">
        <v>187</v>
      </c>
      <c r="AD815" s="154"/>
      <c r="AE815" s="152" t="s">
        <v>209</v>
      </c>
      <c r="AF815" s="153">
        <v>7.0125000000000002</v>
      </c>
      <c r="AG815" s="155">
        <v>80.766170000000002</v>
      </c>
      <c r="AO815" s="121"/>
      <c r="AT815" s="111"/>
      <c r="AX815" s="121"/>
    </row>
    <row r="816" spans="1:50" s="110" customFormat="1" ht="20" customHeight="1">
      <c r="A816" s="125" t="s">
        <v>224</v>
      </c>
      <c r="B816" s="126" t="s">
        <v>68</v>
      </c>
      <c r="C816" s="127">
        <v>21609</v>
      </c>
      <c r="D816" s="156"/>
      <c r="E816" s="152" t="s">
        <v>2989</v>
      </c>
      <c r="F816" s="152" t="s">
        <v>2989</v>
      </c>
      <c r="G816" s="153">
        <v>3600</v>
      </c>
      <c r="H816" s="153">
        <v>3</v>
      </c>
      <c r="I816" s="152" t="s">
        <v>209</v>
      </c>
      <c r="J816" s="152" t="s">
        <v>1989</v>
      </c>
      <c r="K816" s="152" t="s">
        <v>1990</v>
      </c>
      <c r="L816" s="153">
        <v>5</v>
      </c>
      <c r="M816" s="153">
        <v>1</v>
      </c>
      <c r="N816" s="152" t="s">
        <v>1544</v>
      </c>
      <c r="O816" s="153">
        <v>100</v>
      </c>
      <c r="P816" s="154"/>
      <c r="Q816" s="153">
        <v>21</v>
      </c>
      <c r="R816" s="152" t="s">
        <v>200</v>
      </c>
      <c r="S816" s="152" t="s">
        <v>201</v>
      </c>
      <c r="T816" s="153">
        <v>404</v>
      </c>
      <c r="U816" s="152" t="s">
        <v>200</v>
      </c>
      <c r="V816" s="152" t="s">
        <v>1975</v>
      </c>
      <c r="W816" s="153">
        <v>2</v>
      </c>
      <c r="X816" s="153">
        <v>4</v>
      </c>
      <c r="Y816" s="152" t="s">
        <v>203</v>
      </c>
      <c r="Z816" s="152" t="s">
        <v>195</v>
      </c>
      <c r="AA816" s="152" t="s">
        <v>196</v>
      </c>
      <c r="AB816" s="152" t="s">
        <v>187</v>
      </c>
      <c r="AC816" s="152" t="s">
        <v>187</v>
      </c>
      <c r="AD816" s="154"/>
      <c r="AE816" s="152" t="s">
        <v>209</v>
      </c>
      <c r="AF816" s="153">
        <v>7.0125000000000002</v>
      </c>
      <c r="AG816" s="155">
        <v>80.766170000000002</v>
      </c>
      <c r="AO816" s="121"/>
      <c r="AT816" s="111"/>
      <c r="AX816" s="121"/>
    </row>
    <row r="817" spans="1:50" s="110" customFormat="1" ht="20" customHeight="1">
      <c r="A817" s="125" t="s">
        <v>224</v>
      </c>
      <c r="B817" s="126" t="s">
        <v>68</v>
      </c>
      <c r="C817" s="127">
        <v>21602</v>
      </c>
      <c r="D817" s="156"/>
      <c r="E817" s="152" t="s">
        <v>2753</v>
      </c>
      <c r="F817" s="152" t="s">
        <v>2753</v>
      </c>
      <c r="G817" s="153">
        <v>2200</v>
      </c>
      <c r="H817" s="153">
        <v>3</v>
      </c>
      <c r="I817" s="152" t="s">
        <v>209</v>
      </c>
      <c r="J817" s="152" t="s">
        <v>1989</v>
      </c>
      <c r="K817" s="152" t="s">
        <v>1990</v>
      </c>
      <c r="L817" s="153">
        <v>5</v>
      </c>
      <c r="M817" s="153">
        <v>1</v>
      </c>
      <c r="N817" s="152" t="s">
        <v>1544</v>
      </c>
      <c r="O817" s="153">
        <v>100</v>
      </c>
      <c r="P817" s="154"/>
      <c r="Q817" s="153">
        <v>21</v>
      </c>
      <c r="R817" s="152" t="s">
        <v>200</v>
      </c>
      <c r="S817" s="152" t="s">
        <v>201</v>
      </c>
      <c r="T817" s="153">
        <v>404</v>
      </c>
      <c r="U817" s="152" t="s">
        <v>200</v>
      </c>
      <c r="V817" s="152" t="s">
        <v>1975</v>
      </c>
      <c r="W817" s="153">
        <v>2</v>
      </c>
      <c r="X817" s="153">
        <v>4</v>
      </c>
      <c r="Y817" s="152" t="s">
        <v>203</v>
      </c>
      <c r="Z817" s="152" t="s">
        <v>195</v>
      </c>
      <c r="AA817" s="152" t="s">
        <v>196</v>
      </c>
      <c r="AB817" s="152" t="s">
        <v>187</v>
      </c>
      <c r="AC817" s="152" t="s">
        <v>187</v>
      </c>
      <c r="AD817" s="154"/>
      <c r="AE817" s="152" t="s">
        <v>209</v>
      </c>
      <c r="AF817" s="153">
        <v>6.8681700000000001</v>
      </c>
      <c r="AG817" s="155">
        <v>80.020849999999996</v>
      </c>
      <c r="AO817" s="121"/>
      <c r="AT817" s="111"/>
      <c r="AX817" s="121"/>
    </row>
    <row r="818" spans="1:50" s="110" customFormat="1" ht="20" customHeight="1">
      <c r="A818" s="125" t="s">
        <v>224</v>
      </c>
      <c r="B818" s="126" t="s">
        <v>68</v>
      </c>
      <c r="C818" s="127">
        <v>16842</v>
      </c>
      <c r="D818" s="151">
        <v>104844</v>
      </c>
      <c r="E818" s="152" t="s">
        <v>2754</v>
      </c>
      <c r="F818" s="152" t="s">
        <v>2754</v>
      </c>
      <c r="G818" s="153">
        <v>2200</v>
      </c>
      <c r="H818" s="153">
        <v>3</v>
      </c>
      <c r="I818" s="152" t="s">
        <v>209</v>
      </c>
      <c r="J818" s="152" t="s">
        <v>2755</v>
      </c>
      <c r="K818" s="152" t="s">
        <v>2756</v>
      </c>
      <c r="L818" s="153">
        <v>5</v>
      </c>
      <c r="M818" s="153">
        <v>1</v>
      </c>
      <c r="N818" s="152" t="s">
        <v>1544</v>
      </c>
      <c r="O818" s="153">
        <v>100</v>
      </c>
      <c r="P818" s="154"/>
      <c r="Q818" s="153">
        <v>21</v>
      </c>
      <c r="R818" s="152" t="s">
        <v>200</v>
      </c>
      <c r="S818" s="152" t="s">
        <v>201</v>
      </c>
      <c r="T818" s="153">
        <v>404</v>
      </c>
      <c r="U818" s="152" t="s">
        <v>200</v>
      </c>
      <c r="V818" s="152" t="s">
        <v>1975</v>
      </c>
      <c r="W818" s="153">
        <v>7</v>
      </c>
      <c r="X818" s="153">
        <v>4</v>
      </c>
      <c r="Y818" s="152" t="s">
        <v>203</v>
      </c>
      <c r="Z818" s="152" t="s">
        <v>195</v>
      </c>
      <c r="AA818" s="152" t="s">
        <v>196</v>
      </c>
      <c r="AB818" s="152" t="s">
        <v>187</v>
      </c>
      <c r="AC818" s="152" t="s">
        <v>187</v>
      </c>
      <c r="AD818" s="154"/>
      <c r="AE818" s="152" t="s">
        <v>209</v>
      </c>
      <c r="AF818" s="153">
        <v>7.1252709051274099</v>
      </c>
      <c r="AG818" s="155">
        <v>80.009378142923097</v>
      </c>
      <c r="AO818" s="121"/>
      <c r="AT818" s="111"/>
      <c r="AX818" s="121"/>
    </row>
    <row r="819" spans="1:50" s="110" customFormat="1" ht="20" customHeight="1">
      <c r="A819" s="125" t="s">
        <v>224</v>
      </c>
      <c r="B819" s="126" t="s">
        <v>68</v>
      </c>
      <c r="C819" s="127">
        <v>18199</v>
      </c>
      <c r="D819" s="151">
        <v>113714</v>
      </c>
      <c r="E819" s="152" t="s">
        <v>2141</v>
      </c>
      <c r="F819" s="152" t="s">
        <v>2141</v>
      </c>
      <c r="G819" s="153">
        <v>700</v>
      </c>
      <c r="H819" s="153">
        <v>3</v>
      </c>
      <c r="I819" s="152" t="s">
        <v>209</v>
      </c>
      <c r="J819" s="152" t="s">
        <v>2136</v>
      </c>
      <c r="K819" s="152" t="s">
        <v>2137</v>
      </c>
      <c r="L819" s="153">
        <v>5</v>
      </c>
      <c r="M819" s="153">
        <v>1</v>
      </c>
      <c r="N819" s="152" t="s">
        <v>1544</v>
      </c>
      <c r="O819" s="153">
        <v>100</v>
      </c>
      <c r="P819" s="154"/>
      <c r="Q819" s="153">
        <v>21</v>
      </c>
      <c r="R819" s="152" t="s">
        <v>200</v>
      </c>
      <c r="S819" s="152" t="s">
        <v>201</v>
      </c>
      <c r="T819" s="153">
        <v>404</v>
      </c>
      <c r="U819" s="152" t="s">
        <v>200</v>
      </c>
      <c r="V819" s="152" t="s">
        <v>1975</v>
      </c>
      <c r="W819" s="153">
        <v>2</v>
      </c>
      <c r="X819" s="153">
        <v>4</v>
      </c>
      <c r="Y819" s="152" t="s">
        <v>203</v>
      </c>
      <c r="Z819" s="152" t="s">
        <v>195</v>
      </c>
      <c r="AA819" s="152" t="s">
        <v>196</v>
      </c>
      <c r="AB819" s="152" t="s">
        <v>187</v>
      </c>
      <c r="AC819" s="152" t="s">
        <v>187</v>
      </c>
      <c r="AD819" s="154"/>
      <c r="AE819" s="152" t="s">
        <v>209</v>
      </c>
      <c r="AF819" s="153">
        <v>6.8689072062365097</v>
      </c>
      <c r="AG819" s="155">
        <v>80.021344165165402</v>
      </c>
      <c r="AO819" s="121"/>
      <c r="AT819" s="111"/>
      <c r="AX819" s="121"/>
    </row>
    <row r="820" spans="1:50" s="110" customFormat="1" ht="20" customHeight="1">
      <c r="A820" s="125" t="s">
        <v>224</v>
      </c>
      <c r="B820" s="126" t="s">
        <v>68</v>
      </c>
      <c r="C820" s="127">
        <v>21604</v>
      </c>
      <c r="D820" s="156"/>
      <c r="E820" s="152" t="s">
        <v>1988</v>
      </c>
      <c r="F820" s="152" t="s">
        <v>1988</v>
      </c>
      <c r="G820" s="153">
        <v>500</v>
      </c>
      <c r="H820" s="153">
        <v>3</v>
      </c>
      <c r="I820" s="152" t="s">
        <v>209</v>
      </c>
      <c r="J820" s="152" t="s">
        <v>1989</v>
      </c>
      <c r="K820" s="152" t="s">
        <v>1990</v>
      </c>
      <c r="L820" s="153">
        <v>5</v>
      </c>
      <c r="M820" s="153">
        <v>1</v>
      </c>
      <c r="N820" s="152" t="s">
        <v>1544</v>
      </c>
      <c r="O820" s="153">
        <v>100</v>
      </c>
      <c r="P820" s="154"/>
      <c r="Q820" s="153">
        <v>21</v>
      </c>
      <c r="R820" s="152" t="s">
        <v>200</v>
      </c>
      <c r="S820" s="152" t="s">
        <v>201</v>
      </c>
      <c r="T820" s="153">
        <v>404</v>
      </c>
      <c r="U820" s="152" t="s">
        <v>200</v>
      </c>
      <c r="V820" s="152" t="s">
        <v>1975</v>
      </c>
      <c r="W820" s="153">
        <v>2</v>
      </c>
      <c r="X820" s="153">
        <v>4</v>
      </c>
      <c r="Y820" s="152" t="s">
        <v>203</v>
      </c>
      <c r="Z820" s="152" t="s">
        <v>195</v>
      </c>
      <c r="AA820" s="152" t="s">
        <v>196</v>
      </c>
      <c r="AB820" s="152" t="s">
        <v>187</v>
      </c>
      <c r="AC820" s="152" t="s">
        <v>187</v>
      </c>
      <c r="AD820" s="154"/>
      <c r="AE820" s="152" t="s">
        <v>209</v>
      </c>
      <c r="AF820" s="153">
        <v>7.0125000000000002</v>
      </c>
      <c r="AG820" s="155">
        <v>80.766170000000002</v>
      </c>
      <c r="AO820" s="121"/>
      <c r="AT820" s="111"/>
      <c r="AX820" s="121"/>
    </row>
    <row r="821" spans="1:50" s="110" customFormat="1" ht="20" customHeight="1">
      <c r="A821" s="125" t="s">
        <v>231</v>
      </c>
      <c r="B821" s="126" t="s">
        <v>66</v>
      </c>
      <c r="C821" s="127">
        <v>20835</v>
      </c>
      <c r="D821" s="151">
        <v>117071</v>
      </c>
      <c r="E821" s="152" t="s">
        <v>1715</v>
      </c>
      <c r="F821" s="152" t="s">
        <v>1715</v>
      </c>
      <c r="G821" s="153">
        <v>200</v>
      </c>
      <c r="H821" s="153">
        <v>3</v>
      </c>
      <c r="I821" s="152" t="s">
        <v>209</v>
      </c>
      <c r="J821" s="152" t="s">
        <v>222</v>
      </c>
      <c r="K821" s="152" t="s">
        <v>223</v>
      </c>
      <c r="L821" s="153">
        <v>4</v>
      </c>
      <c r="M821" s="153">
        <v>1</v>
      </c>
      <c r="N821" s="152" t="s">
        <v>1544</v>
      </c>
      <c r="O821" s="153">
        <v>100</v>
      </c>
      <c r="P821" s="154"/>
      <c r="Q821" s="153">
        <v>21</v>
      </c>
      <c r="R821" s="152" t="s">
        <v>200</v>
      </c>
      <c r="S821" s="152" t="s">
        <v>201</v>
      </c>
      <c r="T821" s="153">
        <v>417</v>
      </c>
      <c r="U821" s="152" t="s">
        <v>200</v>
      </c>
      <c r="V821" s="152" t="s">
        <v>1716</v>
      </c>
      <c r="W821" s="153">
        <v>2</v>
      </c>
      <c r="X821" s="153">
        <v>4</v>
      </c>
      <c r="Y821" s="152" t="s">
        <v>203</v>
      </c>
      <c r="Z821" s="152" t="s">
        <v>195</v>
      </c>
      <c r="AA821" s="152" t="s">
        <v>196</v>
      </c>
      <c r="AB821" s="152" t="s">
        <v>187</v>
      </c>
      <c r="AC821" s="152" t="s">
        <v>187</v>
      </c>
      <c r="AD821" s="154"/>
      <c r="AE821" s="152" t="s">
        <v>209</v>
      </c>
      <c r="AF821" s="153">
        <v>31.372440000000001</v>
      </c>
      <c r="AG821" s="155">
        <v>74.373689999999996</v>
      </c>
      <c r="AO821" s="121"/>
      <c r="AT821" s="111"/>
      <c r="AX821" s="121"/>
    </row>
    <row r="822" spans="1:50" s="110" customFormat="1" ht="20" customHeight="1">
      <c r="A822" s="125" t="s">
        <v>486</v>
      </c>
      <c r="B822" s="126" t="s">
        <v>57</v>
      </c>
      <c r="C822" s="127">
        <v>11270</v>
      </c>
      <c r="D822" s="151">
        <v>105362</v>
      </c>
      <c r="E822" s="152" t="s">
        <v>3407</v>
      </c>
      <c r="F822" s="152" t="s">
        <v>3407</v>
      </c>
      <c r="G822" s="153">
        <v>7100</v>
      </c>
      <c r="H822" s="153">
        <v>3</v>
      </c>
      <c r="I822" s="152" t="s">
        <v>209</v>
      </c>
      <c r="J822" s="152" t="s">
        <v>2541</v>
      </c>
      <c r="K822" s="152" t="s">
        <v>2542</v>
      </c>
      <c r="L822" s="153">
        <v>5</v>
      </c>
      <c r="M822" s="153">
        <v>1</v>
      </c>
      <c r="N822" s="152" t="s">
        <v>1544</v>
      </c>
      <c r="O822" s="153">
        <v>51.625</v>
      </c>
      <c r="P822" s="154"/>
      <c r="Q822" s="153">
        <v>21</v>
      </c>
      <c r="R822" s="152" t="s">
        <v>200</v>
      </c>
      <c r="S822" s="152" t="s">
        <v>201</v>
      </c>
      <c r="T822" s="153">
        <v>478</v>
      </c>
      <c r="U822" s="152" t="s">
        <v>200</v>
      </c>
      <c r="V822" s="152" t="s">
        <v>2449</v>
      </c>
      <c r="W822" s="153">
        <v>3</v>
      </c>
      <c r="X822" s="153">
        <v>4</v>
      </c>
      <c r="Y822" s="152" t="s">
        <v>203</v>
      </c>
      <c r="Z822" s="152" t="s">
        <v>195</v>
      </c>
      <c r="AA822" s="152" t="s">
        <v>196</v>
      </c>
      <c r="AB822" s="152" t="s">
        <v>187</v>
      </c>
      <c r="AC822" s="152" t="s">
        <v>187</v>
      </c>
      <c r="AD822" s="154"/>
      <c r="AE822" s="152" t="s">
        <v>209</v>
      </c>
      <c r="AF822" s="153">
        <v>23.228576</v>
      </c>
      <c r="AG822" s="155">
        <v>92.005522999999997</v>
      </c>
      <c r="AO822" s="121"/>
      <c r="AT822" s="111"/>
      <c r="AX822" s="121"/>
    </row>
    <row r="823" spans="1:50" s="110" customFormat="1" ht="20" customHeight="1">
      <c r="A823" s="125" t="s">
        <v>486</v>
      </c>
      <c r="B823" s="126" t="s">
        <v>57</v>
      </c>
      <c r="C823" s="127">
        <v>20062</v>
      </c>
      <c r="D823" s="151">
        <v>116079</v>
      </c>
      <c r="E823" s="152" t="s">
        <v>2792</v>
      </c>
      <c r="F823" s="152" t="s">
        <v>2792</v>
      </c>
      <c r="G823" s="153">
        <v>2400</v>
      </c>
      <c r="H823" s="153">
        <v>3</v>
      </c>
      <c r="I823" s="152" t="s">
        <v>209</v>
      </c>
      <c r="J823" s="152" t="s">
        <v>2793</v>
      </c>
      <c r="K823" s="152" t="s">
        <v>2794</v>
      </c>
      <c r="L823" s="153">
        <v>5</v>
      </c>
      <c r="M823" s="153">
        <v>1</v>
      </c>
      <c r="N823" s="152" t="s">
        <v>1544</v>
      </c>
      <c r="O823" s="153">
        <v>50.683999999999997</v>
      </c>
      <c r="P823" s="154"/>
      <c r="Q823" s="153">
        <v>21</v>
      </c>
      <c r="R823" s="152" t="s">
        <v>200</v>
      </c>
      <c r="S823" s="152" t="s">
        <v>201</v>
      </c>
      <c r="T823" s="153">
        <v>478</v>
      </c>
      <c r="U823" s="152" t="s">
        <v>200</v>
      </c>
      <c r="V823" s="152" t="s">
        <v>2449</v>
      </c>
      <c r="W823" s="153">
        <v>1</v>
      </c>
      <c r="X823" s="153">
        <v>4</v>
      </c>
      <c r="Y823" s="152" t="s">
        <v>203</v>
      </c>
      <c r="Z823" s="152" t="s">
        <v>195</v>
      </c>
      <c r="AA823" s="152" t="s">
        <v>196</v>
      </c>
      <c r="AB823" s="152" t="s">
        <v>187</v>
      </c>
      <c r="AC823" s="152" t="s">
        <v>187</v>
      </c>
      <c r="AD823" s="154"/>
      <c r="AE823" s="152" t="s">
        <v>209</v>
      </c>
      <c r="AF823" s="153">
        <v>23.251752</v>
      </c>
      <c r="AG823" s="155">
        <v>92.112987000000004</v>
      </c>
      <c r="AO823" s="121"/>
      <c r="AT823" s="111"/>
      <c r="AX823" s="121"/>
    </row>
    <row r="824" spans="1:50" s="110" customFormat="1" ht="20" customHeight="1">
      <c r="A824" s="125" t="s">
        <v>486</v>
      </c>
      <c r="B824" s="126" t="s">
        <v>57</v>
      </c>
      <c r="C824" s="127">
        <v>20061</v>
      </c>
      <c r="D824" s="151">
        <v>116078</v>
      </c>
      <c r="E824" s="152" t="s">
        <v>2540</v>
      </c>
      <c r="F824" s="152" t="s">
        <v>2540</v>
      </c>
      <c r="G824" s="153">
        <v>1600</v>
      </c>
      <c r="H824" s="153">
        <v>3</v>
      </c>
      <c r="I824" s="152" t="s">
        <v>209</v>
      </c>
      <c r="J824" s="152" t="s">
        <v>2541</v>
      </c>
      <c r="K824" s="152" t="s">
        <v>2542</v>
      </c>
      <c r="L824" s="153">
        <v>5</v>
      </c>
      <c r="M824" s="153">
        <v>1</v>
      </c>
      <c r="N824" s="152" t="s">
        <v>1544</v>
      </c>
      <c r="O824" s="153">
        <v>61.643000000000001</v>
      </c>
      <c r="P824" s="154"/>
      <c r="Q824" s="153">
        <v>21</v>
      </c>
      <c r="R824" s="152" t="s">
        <v>200</v>
      </c>
      <c r="S824" s="152" t="s">
        <v>201</v>
      </c>
      <c r="T824" s="153">
        <v>478</v>
      </c>
      <c r="U824" s="152" t="s">
        <v>200</v>
      </c>
      <c r="V824" s="152" t="s">
        <v>2449</v>
      </c>
      <c r="W824" s="153">
        <v>1</v>
      </c>
      <c r="X824" s="153">
        <v>4</v>
      </c>
      <c r="Y824" s="152" t="s">
        <v>203</v>
      </c>
      <c r="Z824" s="152" t="s">
        <v>195</v>
      </c>
      <c r="AA824" s="152" t="s">
        <v>196</v>
      </c>
      <c r="AB824" s="152" t="s">
        <v>187</v>
      </c>
      <c r="AC824" s="152" t="s">
        <v>187</v>
      </c>
      <c r="AD824" s="154"/>
      <c r="AE824" s="152" t="s">
        <v>209</v>
      </c>
      <c r="AF824" s="153">
        <v>23.026654000000001</v>
      </c>
      <c r="AG824" s="155">
        <v>92.074235999999999</v>
      </c>
      <c r="AO824" s="121"/>
      <c r="AT824" s="111"/>
      <c r="AX824" s="121"/>
    </row>
    <row r="825" spans="1:50" s="110" customFormat="1" ht="20" customHeight="1">
      <c r="A825" s="125" t="s">
        <v>486</v>
      </c>
      <c r="B825" s="126" t="s">
        <v>57</v>
      </c>
      <c r="C825" s="127">
        <v>11342</v>
      </c>
      <c r="D825" s="151">
        <v>102127</v>
      </c>
      <c r="E825" s="152" t="s">
        <v>2446</v>
      </c>
      <c r="F825" s="152" t="s">
        <v>2446</v>
      </c>
      <c r="G825" s="153">
        <v>1300</v>
      </c>
      <c r="H825" s="153">
        <v>3</v>
      </c>
      <c r="I825" s="152" t="s">
        <v>209</v>
      </c>
      <c r="J825" s="152" t="s">
        <v>2447</v>
      </c>
      <c r="K825" s="152" t="s">
        <v>2448</v>
      </c>
      <c r="L825" s="153">
        <v>2</v>
      </c>
      <c r="M825" s="153">
        <v>1</v>
      </c>
      <c r="N825" s="152" t="s">
        <v>1544</v>
      </c>
      <c r="O825" s="153">
        <v>78.512</v>
      </c>
      <c r="P825" s="154"/>
      <c r="Q825" s="153">
        <v>21</v>
      </c>
      <c r="R825" s="152" t="s">
        <v>200</v>
      </c>
      <c r="S825" s="152" t="s">
        <v>201</v>
      </c>
      <c r="T825" s="153">
        <v>478</v>
      </c>
      <c r="U825" s="152" t="s">
        <v>200</v>
      </c>
      <c r="V825" s="152" t="s">
        <v>2449</v>
      </c>
      <c r="W825" s="153">
        <v>2</v>
      </c>
      <c r="X825" s="153">
        <v>4</v>
      </c>
      <c r="Y825" s="152" t="s">
        <v>203</v>
      </c>
      <c r="Z825" s="152" t="s">
        <v>195</v>
      </c>
      <c r="AA825" s="152" t="s">
        <v>196</v>
      </c>
      <c r="AB825" s="152" t="s">
        <v>187</v>
      </c>
      <c r="AC825" s="152" t="s">
        <v>187</v>
      </c>
      <c r="AD825" s="154"/>
      <c r="AE825" s="152" t="s">
        <v>209</v>
      </c>
      <c r="AF825" s="153">
        <v>23.153124999999999</v>
      </c>
      <c r="AG825" s="155">
        <v>92.097791999999998</v>
      </c>
      <c r="AO825" s="121"/>
      <c r="AT825" s="111"/>
      <c r="AX825" s="121"/>
    </row>
    <row r="826" spans="1:50" s="110" customFormat="1" ht="20" customHeight="1">
      <c r="A826" s="125" t="s">
        <v>1620</v>
      </c>
      <c r="B826" s="126" t="s">
        <v>61</v>
      </c>
      <c r="C826" s="127">
        <v>11270</v>
      </c>
      <c r="D826" s="128">
        <v>105362</v>
      </c>
      <c r="E826" s="129" t="s">
        <v>3407</v>
      </c>
      <c r="F826" s="129" t="s">
        <v>3407</v>
      </c>
      <c r="G826" s="130">
        <v>33000</v>
      </c>
      <c r="H826" s="130">
        <v>5</v>
      </c>
      <c r="I826" s="129" t="s">
        <v>209</v>
      </c>
      <c r="J826" s="129" t="s">
        <v>4261</v>
      </c>
      <c r="K826" s="129" t="s">
        <v>4262</v>
      </c>
      <c r="L826" s="130">
        <v>5</v>
      </c>
      <c r="M826" s="130">
        <v>1</v>
      </c>
      <c r="N826" s="129" t="s">
        <v>1544</v>
      </c>
      <c r="O826" s="130">
        <v>70</v>
      </c>
      <c r="P826" s="130">
        <v>35</v>
      </c>
      <c r="Q826" s="130">
        <v>21</v>
      </c>
      <c r="R826" s="129" t="s">
        <v>200</v>
      </c>
      <c r="S826" s="129" t="s">
        <v>201</v>
      </c>
      <c r="T826" s="130">
        <v>478</v>
      </c>
      <c r="U826" s="129" t="s">
        <v>200</v>
      </c>
      <c r="V826" s="129" t="s">
        <v>2449</v>
      </c>
      <c r="W826" s="130">
        <v>3</v>
      </c>
      <c r="X826" s="130">
        <v>2</v>
      </c>
      <c r="Y826" s="129" t="s">
        <v>194</v>
      </c>
      <c r="Z826" s="129" t="s">
        <v>195</v>
      </c>
      <c r="AA826" s="129" t="s">
        <v>196</v>
      </c>
      <c r="AB826" s="129" t="s">
        <v>187</v>
      </c>
      <c r="AC826" s="129" t="s">
        <v>187</v>
      </c>
      <c r="AD826" s="131"/>
      <c r="AE826" s="129" t="s">
        <v>209</v>
      </c>
      <c r="AF826" s="130">
        <v>23.9217500002623</v>
      </c>
      <c r="AG826" s="132">
        <v>93.561629999624799</v>
      </c>
      <c r="AO826" s="121"/>
      <c r="AT826" s="111"/>
      <c r="AX826" s="121"/>
    </row>
    <row r="827" spans="1:50" s="110" customFormat="1" ht="20" customHeight="1">
      <c r="A827" s="125" t="s">
        <v>486</v>
      </c>
      <c r="B827" s="126" t="s">
        <v>57</v>
      </c>
      <c r="C827" s="127">
        <v>11826</v>
      </c>
      <c r="D827" s="151">
        <v>103233</v>
      </c>
      <c r="E827" s="152" t="s">
        <v>4666</v>
      </c>
      <c r="F827" s="152" t="s">
        <v>4666</v>
      </c>
      <c r="G827" s="153">
        <v>126000</v>
      </c>
      <c r="H827" s="153">
        <v>3</v>
      </c>
      <c r="I827" s="152" t="s">
        <v>209</v>
      </c>
      <c r="J827" s="152" t="s">
        <v>4667</v>
      </c>
      <c r="K827" s="152" t="s">
        <v>4666</v>
      </c>
      <c r="L827" s="153">
        <v>5</v>
      </c>
      <c r="M827" s="153">
        <v>1</v>
      </c>
      <c r="N827" s="152" t="s">
        <v>1544</v>
      </c>
      <c r="O827" s="153">
        <v>51.378999999999998</v>
      </c>
      <c r="P827" s="154"/>
      <c r="Q827" s="153">
        <v>21</v>
      </c>
      <c r="R827" s="152" t="s">
        <v>200</v>
      </c>
      <c r="S827" s="152" t="s">
        <v>201</v>
      </c>
      <c r="T827" s="153">
        <v>475</v>
      </c>
      <c r="U827" s="152" t="s">
        <v>200</v>
      </c>
      <c r="V827" s="152" t="s">
        <v>392</v>
      </c>
      <c r="W827" s="153">
        <v>3</v>
      </c>
      <c r="X827" s="153">
        <v>4</v>
      </c>
      <c r="Y827" s="152" t="s">
        <v>203</v>
      </c>
      <c r="Z827" s="152" t="s">
        <v>195</v>
      </c>
      <c r="AA827" s="152" t="s">
        <v>196</v>
      </c>
      <c r="AB827" s="152" t="s">
        <v>187</v>
      </c>
      <c r="AC827" s="152" t="s">
        <v>187</v>
      </c>
      <c r="AD827" s="154"/>
      <c r="AE827" s="152" t="s">
        <v>209</v>
      </c>
      <c r="AF827" s="153">
        <v>25.1464523361694</v>
      </c>
      <c r="AG827" s="155">
        <v>90.5294345262175</v>
      </c>
      <c r="AO827" s="121"/>
      <c r="AT827" s="111"/>
      <c r="AX827" s="121"/>
    </row>
    <row r="828" spans="1:50" s="110" customFormat="1" ht="20" customHeight="1">
      <c r="A828" s="125" t="s">
        <v>486</v>
      </c>
      <c r="B828" s="126" t="s">
        <v>57</v>
      </c>
      <c r="C828" s="127">
        <v>12654</v>
      </c>
      <c r="D828" s="151">
        <v>104918</v>
      </c>
      <c r="E828" s="152" t="s">
        <v>4557</v>
      </c>
      <c r="F828" s="152" t="s">
        <v>4557</v>
      </c>
      <c r="G828" s="153">
        <v>83000</v>
      </c>
      <c r="H828" s="153">
        <v>3</v>
      </c>
      <c r="I828" s="152" t="s">
        <v>209</v>
      </c>
      <c r="J828" s="152" t="s">
        <v>4558</v>
      </c>
      <c r="K828" s="152" t="s">
        <v>4557</v>
      </c>
      <c r="L828" s="153">
        <v>5</v>
      </c>
      <c r="M828" s="153">
        <v>1</v>
      </c>
      <c r="N828" s="152" t="s">
        <v>1544</v>
      </c>
      <c r="O828" s="153">
        <v>84.331000000000003</v>
      </c>
      <c r="P828" s="154"/>
      <c r="Q828" s="153">
        <v>21</v>
      </c>
      <c r="R828" s="152" t="s">
        <v>200</v>
      </c>
      <c r="S828" s="152" t="s">
        <v>201</v>
      </c>
      <c r="T828" s="153">
        <v>475</v>
      </c>
      <c r="U828" s="152" t="s">
        <v>200</v>
      </c>
      <c r="V828" s="152" t="s">
        <v>392</v>
      </c>
      <c r="W828" s="153">
        <v>2</v>
      </c>
      <c r="X828" s="153">
        <v>4</v>
      </c>
      <c r="Y828" s="152" t="s">
        <v>203</v>
      </c>
      <c r="Z828" s="152" t="s">
        <v>195</v>
      </c>
      <c r="AA828" s="152" t="s">
        <v>196</v>
      </c>
      <c r="AB828" s="152" t="s">
        <v>187</v>
      </c>
      <c r="AC828" s="152" t="s">
        <v>187</v>
      </c>
      <c r="AD828" s="154"/>
      <c r="AE828" s="152" t="s">
        <v>209</v>
      </c>
      <c r="AF828" s="153">
        <v>24.604367</v>
      </c>
      <c r="AG828" s="155">
        <v>92.125636999999998</v>
      </c>
      <c r="AO828" s="121"/>
      <c r="AT828" s="111"/>
      <c r="AX828" s="121"/>
    </row>
    <row r="829" spans="1:50" s="110" customFormat="1" ht="20" customHeight="1">
      <c r="A829" s="125" t="s">
        <v>486</v>
      </c>
      <c r="B829" s="126" t="s">
        <v>57</v>
      </c>
      <c r="C829" s="127">
        <v>17892</v>
      </c>
      <c r="D829" s="151">
        <v>113372</v>
      </c>
      <c r="E829" s="152" t="s">
        <v>3226</v>
      </c>
      <c r="F829" s="152" t="s">
        <v>3226</v>
      </c>
      <c r="G829" s="153">
        <v>5300</v>
      </c>
      <c r="H829" s="153">
        <v>3</v>
      </c>
      <c r="I829" s="152" t="s">
        <v>209</v>
      </c>
      <c r="J829" s="152" t="s">
        <v>3227</v>
      </c>
      <c r="K829" s="152" t="s">
        <v>3226</v>
      </c>
      <c r="L829" s="153">
        <v>3</v>
      </c>
      <c r="M829" s="153">
        <v>1</v>
      </c>
      <c r="N829" s="152" t="s">
        <v>1544</v>
      </c>
      <c r="O829" s="153">
        <v>67.287000000000006</v>
      </c>
      <c r="P829" s="154"/>
      <c r="Q829" s="153">
        <v>21</v>
      </c>
      <c r="R829" s="152" t="s">
        <v>200</v>
      </c>
      <c r="S829" s="152" t="s">
        <v>201</v>
      </c>
      <c r="T829" s="153">
        <v>475</v>
      </c>
      <c r="U829" s="152" t="s">
        <v>200</v>
      </c>
      <c r="V829" s="152" t="s">
        <v>392</v>
      </c>
      <c r="W829" s="153">
        <v>2</v>
      </c>
      <c r="X829" s="153">
        <v>4</v>
      </c>
      <c r="Y829" s="152" t="s">
        <v>203</v>
      </c>
      <c r="Z829" s="152" t="s">
        <v>195</v>
      </c>
      <c r="AA829" s="152" t="s">
        <v>196</v>
      </c>
      <c r="AB829" s="152" t="s">
        <v>187</v>
      </c>
      <c r="AC829" s="152" t="s">
        <v>187</v>
      </c>
      <c r="AD829" s="154"/>
      <c r="AE829" s="152" t="s">
        <v>209</v>
      </c>
      <c r="AF829" s="153">
        <v>24.5756396831482</v>
      </c>
      <c r="AG829" s="155">
        <v>92.192822736805297</v>
      </c>
      <c r="AO829" s="121"/>
      <c r="AT829" s="111"/>
      <c r="AX829" s="121"/>
    </row>
    <row r="830" spans="1:50" s="110" customFormat="1" ht="20" customHeight="1">
      <c r="A830" s="125" t="s">
        <v>486</v>
      </c>
      <c r="B830" s="126" t="s">
        <v>57</v>
      </c>
      <c r="C830" s="127">
        <v>16900</v>
      </c>
      <c r="D830" s="151">
        <v>112190</v>
      </c>
      <c r="E830" s="152" t="s">
        <v>2687</v>
      </c>
      <c r="F830" s="152" t="s">
        <v>2687</v>
      </c>
      <c r="G830" s="153">
        <v>2000</v>
      </c>
      <c r="H830" s="153">
        <v>3</v>
      </c>
      <c r="I830" s="152" t="s">
        <v>209</v>
      </c>
      <c r="J830" s="152" t="s">
        <v>2688</v>
      </c>
      <c r="K830" s="152" t="s">
        <v>2689</v>
      </c>
      <c r="L830" s="153">
        <v>5</v>
      </c>
      <c r="M830" s="153">
        <v>1</v>
      </c>
      <c r="N830" s="152" t="s">
        <v>1544</v>
      </c>
      <c r="O830" s="153">
        <v>94.444000000000003</v>
      </c>
      <c r="P830" s="154"/>
      <c r="Q830" s="153">
        <v>21</v>
      </c>
      <c r="R830" s="152" t="s">
        <v>200</v>
      </c>
      <c r="S830" s="152" t="s">
        <v>201</v>
      </c>
      <c r="T830" s="153">
        <v>475</v>
      </c>
      <c r="U830" s="152" t="s">
        <v>200</v>
      </c>
      <c r="V830" s="152" t="s">
        <v>392</v>
      </c>
      <c r="W830" s="153">
        <v>2</v>
      </c>
      <c r="X830" s="153">
        <v>4</v>
      </c>
      <c r="Y830" s="152" t="s">
        <v>203</v>
      </c>
      <c r="Z830" s="152" t="s">
        <v>195</v>
      </c>
      <c r="AA830" s="152" t="s">
        <v>196</v>
      </c>
      <c r="AB830" s="152" t="s">
        <v>187</v>
      </c>
      <c r="AC830" s="152" t="s">
        <v>187</v>
      </c>
      <c r="AD830" s="154"/>
      <c r="AE830" s="152" t="s">
        <v>209</v>
      </c>
      <c r="AF830" s="153">
        <v>23.388574983378501</v>
      </c>
      <c r="AG830" s="155">
        <v>92.010206698994097</v>
      </c>
      <c r="AO830" s="121"/>
      <c r="AT830" s="111"/>
      <c r="AX830" s="121"/>
    </row>
    <row r="831" spans="1:50" s="110" customFormat="1" ht="20" customHeight="1">
      <c r="A831" s="125" t="s">
        <v>486</v>
      </c>
      <c r="B831" s="126" t="s">
        <v>57</v>
      </c>
      <c r="C831" s="127">
        <v>20672</v>
      </c>
      <c r="D831" s="151">
        <v>115520</v>
      </c>
      <c r="E831" s="152" t="s">
        <v>2504</v>
      </c>
      <c r="F831" s="152" t="s">
        <v>2504</v>
      </c>
      <c r="G831" s="153">
        <v>1500</v>
      </c>
      <c r="H831" s="153">
        <v>3</v>
      </c>
      <c r="I831" s="152" t="s">
        <v>209</v>
      </c>
      <c r="J831" s="152" t="s">
        <v>2505</v>
      </c>
      <c r="K831" s="152" t="s">
        <v>2506</v>
      </c>
      <c r="L831" s="153">
        <v>5</v>
      </c>
      <c r="M831" s="153">
        <v>1</v>
      </c>
      <c r="N831" s="152" t="s">
        <v>1544</v>
      </c>
      <c r="O831" s="153">
        <v>90.37</v>
      </c>
      <c r="P831" s="154"/>
      <c r="Q831" s="153">
        <v>21</v>
      </c>
      <c r="R831" s="152" t="s">
        <v>200</v>
      </c>
      <c r="S831" s="152" t="s">
        <v>201</v>
      </c>
      <c r="T831" s="153">
        <v>475</v>
      </c>
      <c r="U831" s="152" t="s">
        <v>200</v>
      </c>
      <c r="V831" s="152" t="s">
        <v>392</v>
      </c>
      <c r="W831" s="153">
        <v>2</v>
      </c>
      <c r="X831" s="153">
        <v>4</v>
      </c>
      <c r="Y831" s="152" t="s">
        <v>203</v>
      </c>
      <c r="Z831" s="152" t="s">
        <v>195</v>
      </c>
      <c r="AA831" s="152" t="s">
        <v>196</v>
      </c>
      <c r="AB831" s="152" t="s">
        <v>187</v>
      </c>
      <c r="AC831" s="152" t="s">
        <v>187</v>
      </c>
      <c r="AD831" s="154"/>
      <c r="AE831" s="152" t="s">
        <v>209</v>
      </c>
      <c r="AF831" s="153">
        <v>23.390540000000001</v>
      </c>
      <c r="AG831" s="155">
        <v>92.290199000000001</v>
      </c>
      <c r="AO831" s="121"/>
      <c r="AT831" s="111"/>
      <c r="AX831" s="121"/>
    </row>
    <row r="832" spans="1:50" s="110" customFormat="1" ht="20" customHeight="1">
      <c r="A832" s="125" t="s">
        <v>1620</v>
      </c>
      <c r="B832" s="126" t="s">
        <v>61</v>
      </c>
      <c r="C832" s="127">
        <v>18214</v>
      </c>
      <c r="D832" s="145">
        <v>113738</v>
      </c>
      <c r="E832" s="146" t="s">
        <v>3136</v>
      </c>
      <c r="F832" s="146" t="s">
        <v>3136</v>
      </c>
      <c r="G832" s="147">
        <v>4700</v>
      </c>
      <c r="H832" s="147">
        <v>4</v>
      </c>
      <c r="I832" s="146" t="s">
        <v>209</v>
      </c>
      <c r="J832" s="146" t="s">
        <v>3137</v>
      </c>
      <c r="K832" s="146" t="s">
        <v>3138</v>
      </c>
      <c r="L832" s="147">
        <v>5</v>
      </c>
      <c r="M832" s="147">
        <v>1</v>
      </c>
      <c r="N832" s="146" t="s">
        <v>1544</v>
      </c>
      <c r="O832" s="147">
        <v>65</v>
      </c>
      <c r="P832" s="147">
        <v>4</v>
      </c>
      <c r="Q832" s="147">
        <v>21</v>
      </c>
      <c r="R832" s="146" t="s">
        <v>200</v>
      </c>
      <c r="S832" s="146" t="s">
        <v>201</v>
      </c>
      <c r="T832" s="147">
        <v>475</v>
      </c>
      <c r="U832" s="146" t="s">
        <v>200</v>
      </c>
      <c r="V832" s="146" t="s">
        <v>392</v>
      </c>
      <c r="W832" s="147">
        <v>2</v>
      </c>
      <c r="X832" s="147">
        <v>2</v>
      </c>
      <c r="Y832" s="146" t="s">
        <v>194</v>
      </c>
      <c r="Z832" s="146" t="s">
        <v>195</v>
      </c>
      <c r="AA832" s="146" t="s">
        <v>196</v>
      </c>
      <c r="AB832" s="146" t="s">
        <v>187</v>
      </c>
      <c r="AC832" s="146" t="s">
        <v>187</v>
      </c>
      <c r="AD832" s="148"/>
      <c r="AE832" s="146" t="s">
        <v>209</v>
      </c>
      <c r="AF832" s="147">
        <v>24.855179</v>
      </c>
      <c r="AG832" s="149">
        <v>94.908356999999995</v>
      </c>
      <c r="AO832" s="121"/>
      <c r="AT832" s="111"/>
      <c r="AX832" s="121"/>
    </row>
    <row r="833" spans="1:50" s="110" customFormat="1" ht="20" customHeight="1">
      <c r="A833" s="125" t="s">
        <v>1620</v>
      </c>
      <c r="B833" s="126" t="s">
        <v>61</v>
      </c>
      <c r="C833" s="127">
        <v>14881</v>
      </c>
      <c r="D833" s="128">
        <v>108886</v>
      </c>
      <c r="E833" s="129" t="s">
        <v>4752</v>
      </c>
      <c r="F833" s="129" t="s">
        <v>4752</v>
      </c>
      <c r="G833" s="130">
        <v>1926000</v>
      </c>
      <c r="H833" s="130">
        <v>5</v>
      </c>
      <c r="I833" s="129" t="s">
        <v>209</v>
      </c>
      <c r="J833" s="129" t="s">
        <v>4753</v>
      </c>
      <c r="K833" s="129" t="s">
        <v>4752</v>
      </c>
      <c r="L833" s="130">
        <v>5</v>
      </c>
      <c r="M833" s="130">
        <v>1</v>
      </c>
      <c r="N833" s="129" t="s">
        <v>1544</v>
      </c>
      <c r="O833" s="130">
        <v>53</v>
      </c>
      <c r="P833" s="130">
        <v>41.167999999999999</v>
      </c>
      <c r="Q833" s="130">
        <v>21</v>
      </c>
      <c r="R833" s="129" t="s">
        <v>200</v>
      </c>
      <c r="S833" s="129" t="s">
        <v>201</v>
      </c>
      <c r="T833" s="130">
        <v>475</v>
      </c>
      <c r="U833" s="129" t="s">
        <v>200</v>
      </c>
      <c r="V833" s="129" t="s">
        <v>392</v>
      </c>
      <c r="W833" s="130">
        <v>4</v>
      </c>
      <c r="X833" s="130">
        <v>2</v>
      </c>
      <c r="Y833" s="129" t="s">
        <v>194</v>
      </c>
      <c r="Z833" s="129" t="s">
        <v>195</v>
      </c>
      <c r="AA833" s="129" t="s">
        <v>196</v>
      </c>
      <c r="AB833" s="129" t="s">
        <v>187</v>
      </c>
      <c r="AC833" s="129" t="s">
        <v>187</v>
      </c>
      <c r="AD833" s="131"/>
      <c r="AE833" s="129" t="s">
        <v>209</v>
      </c>
      <c r="AF833" s="130">
        <v>18.390139999999999</v>
      </c>
      <c r="AG833" s="132">
        <v>97.02955</v>
      </c>
      <c r="AO833" s="121"/>
      <c r="AT833" s="111"/>
      <c r="AX833" s="121"/>
    </row>
    <row r="834" spans="1:50" s="110" customFormat="1" ht="20" customHeight="1">
      <c r="A834" s="125" t="s">
        <v>1620</v>
      </c>
      <c r="B834" s="126" t="s">
        <v>61</v>
      </c>
      <c r="C834" s="127">
        <v>12401</v>
      </c>
      <c r="D834" s="128">
        <v>104372</v>
      </c>
      <c r="E834" s="129" t="s">
        <v>4860</v>
      </c>
      <c r="F834" s="129" t="s">
        <v>4861</v>
      </c>
      <c r="G834" s="130">
        <v>1015000</v>
      </c>
      <c r="H834" s="130">
        <v>5</v>
      </c>
      <c r="I834" s="129" t="s">
        <v>209</v>
      </c>
      <c r="J834" s="129" t="s">
        <v>4862</v>
      </c>
      <c r="K834" s="129" t="s">
        <v>4863</v>
      </c>
      <c r="L834" s="130">
        <v>5</v>
      </c>
      <c r="M834" s="130">
        <v>1</v>
      </c>
      <c r="N834" s="129" t="s">
        <v>1544</v>
      </c>
      <c r="O834" s="130">
        <v>64</v>
      </c>
      <c r="P834" s="130">
        <v>43.52</v>
      </c>
      <c r="Q834" s="130">
        <v>21</v>
      </c>
      <c r="R834" s="129" t="s">
        <v>200</v>
      </c>
      <c r="S834" s="129" t="s">
        <v>201</v>
      </c>
      <c r="T834" s="130">
        <v>475</v>
      </c>
      <c r="U834" s="129" t="s">
        <v>200</v>
      </c>
      <c r="V834" s="129" t="s">
        <v>392</v>
      </c>
      <c r="W834" s="130">
        <v>3</v>
      </c>
      <c r="X834" s="130">
        <v>2</v>
      </c>
      <c r="Y834" s="129" t="s">
        <v>194</v>
      </c>
      <c r="Z834" s="129" t="s">
        <v>195</v>
      </c>
      <c r="AA834" s="129" t="s">
        <v>196</v>
      </c>
      <c r="AB834" s="129" t="s">
        <v>187</v>
      </c>
      <c r="AC834" s="129" t="s">
        <v>187</v>
      </c>
      <c r="AD834" s="131"/>
      <c r="AE834" s="129" t="s">
        <v>209</v>
      </c>
      <c r="AF834" s="130">
        <v>26.196030000284299</v>
      </c>
      <c r="AG834" s="132">
        <v>96.916459999829101</v>
      </c>
      <c r="AO834" s="121"/>
      <c r="AT834" s="111"/>
      <c r="AX834" s="121"/>
    </row>
    <row r="835" spans="1:50" s="110" customFormat="1" ht="20" customHeight="1">
      <c r="A835" s="125" t="s">
        <v>1620</v>
      </c>
      <c r="B835" s="126" t="s">
        <v>61</v>
      </c>
      <c r="C835" s="127">
        <v>18358</v>
      </c>
      <c r="D835" s="128">
        <v>113913</v>
      </c>
      <c r="E835" s="129" t="s">
        <v>4493</v>
      </c>
      <c r="F835" s="129" t="s">
        <v>4493</v>
      </c>
      <c r="G835" s="130">
        <v>67000</v>
      </c>
      <c r="H835" s="130">
        <v>5</v>
      </c>
      <c r="I835" s="129" t="s">
        <v>209</v>
      </c>
      <c r="J835" s="129" t="s">
        <v>4494</v>
      </c>
      <c r="K835" s="129" t="s">
        <v>4493</v>
      </c>
      <c r="L835" s="130">
        <v>5</v>
      </c>
      <c r="M835" s="130">
        <v>1</v>
      </c>
      <c r="N835" s="129" t="s">
        <v>1544</v>
      </c>
      <c r="O835" s="130">
        <v>84</v>
      </c>
      <c r="P835" s="130">
        <v>50</v>
      </c>
      <c r="Q835" s="130">
        <v>21</v>
      </c>
      <c r="R835" s="129" t="s">
        <v>200</v>
      </c>
      <c r="S835" s="129" t="s">
        <v>201</v>
      </c>
      <c r="T835" s="130">
        <v>475</v>
      </c>
      <c r="U835" s="129" t="s">
        <v>200</v>
      </c>
      <c r="V835" s="129" t="s">
        <v>392</v>
      </c>
      <c r="W835" s="130">
        <v>2</v>
      </c>
      <c r="X835" s="130">
        <v>2</v>
      </c>
      <c r="Y835" s="129" t="s">
        <v>194</v>
      </c>
      <c r="Z835" s="129" t="s">
        <v>195</v>
      </c>
      <c r="AA835" s="129" t="s">
        <v>196</v>
      </c>
      <c r="AB835" s="129" t="s">
        <v>187</v>
      </c>
      <c r="AC835" s="129" t="s">
        <v>187</v>
      </c>
      <c r="AD835" s="131"/>
      <c r="AE835" s="129" t="s">
        <v>209</v>
      </c>
      <c r="AF835" s="130">
        <v>23.86844</v>
      </c>
      <c r="AG835" s="132">
        <v>94.213489999999993</v>
      </c>
      <c r="AO835" s="121"/>
      <c r="AT835" s="111"/>
      <c r="AX835" s="121"/>
    </row>
    <row r="836" spans="1:50" s="110" customFormat="1" ht="20" customHeight="1">
      <c r="A836" s="125" t="s">
        <v>1620</v>
      </c>
      <c r="B836" s="126" t="s">
        <v>61</v>
      </c>
      <c r="C836" s="127">
        <v>17355</v>
      </c>
      <c r="D836" s="128">
        <v>106301</v>
      </c>
      <c r="E836" s="129" t="s">
        <v>4166</v>
      </c>
      <c r="F836" s="129" t="s">
        <v>4166</v>
      </c>
      <c r="G836" s="130">
        <v>26000</v>
      </c>
      <c r="H836" s="130">
        <v>5</v>
      </c>
      <c r="I836" s="129" t="s">
        <v>209</v>
      </c>
      <c r="J836" s="129" t="s">
        <v>4167</v>
      </c>
      <c r="K836" s="129" t="s">
        <v>4166</v>
      </c>
      <c r="L836" s="130">
        <v>5</v>
      </c>
      <c r="M836" s="130">
        <v>1</v>
      </c>
      <c r="N836" s="129" t="s">
        <v>1544</v>
      </c>
      <c r="O836" s="130">
        <v>100</v>
      </c>
      <c r="P836" s="130">
        <v>95</v>
      </c>
      <c r="Q836" s="130">
        <v>21</v>
      </c>
      <c r="R836" s="129" t="s">
        <v>200</v>
      </c>
      <c r="S836" s="129" t="s">
        <v>201</v>
      </c>
      <c r="T836" s="130">
        <v>475</v>
      </c>
      <c r="U836" s="129" t="s">
        <v>200</v>
      </c>
      <c r="V836" s="129" t="s">
        <v>392</v>
      </c>
      <c r="W836" s="130">
        <v>2</v>
      </c>
      <c r="X836" s="130">
        <v>2</v>
      </c>
      <c r="Y836" s="129" t="s">
        <v>194</v>
      </c>
      <c r="Z836" s="129" t="s">
        <v>195</v>
      </c>
      <c r="AA836" s="129" t="s">
        <v>196</v>
      </c>
      <c r="AB836" s="129" t="s">
        <v>187</v>
      </c>
      <c r="AC836" s="129" t="s">
        <v>187</v>
      </c>
      <c r="AD836" s="131"/>
      <c r="AE836" s="129" t="s">
        <v>209</v>
      </c>
      <c r="AF836" s="130">
        <v>22.009320000117899</v>
      </c>
      <c r="AG836" s="132">
        <v>93.097549999632704</v>
      </c>
      <c r="AO836" s="121"/>
      <c r="AT836" s="111"/>
      <c r="AX836" s="121"/>
    </row>
    <row r="837" spans="1:50" s="110" customFormat="1" ht="20" customHeight="1">
      <c r="A837" s="125" t="s">
        <v>1620</v>
      </c>
      <c r="B837" s="126" t="s">
        <v>61</v>
      </c>
      <c r="C837" s="127">
        <v>13161</v>
      </c>
      <c r="D837" s="128">
        <v>112994</v>
      </c>
      <c r="E837" s="129" t="s">
        <v>2506</v>
      </c>
      <c r="F837" s="129" t="s">
        <v>2506</v>
      </c>
      <c r="G837" s="130">
        <v>19000</v>
      </c>
      <c r="H837" s="130">
        <v>5</v>
      </c>
      <c r="I837" s="129" t="s">
        <v>209</v>
      </c>
      <c r="J837" s="129" t="s">
        <v>2505</v>
      </c>
      <c r="K837" s="129" t="s">
        <v>2506</v>
      </c>
      <c r="L837" s="130">
        <v>5</v>
      </c>
      <c r="M837" s="130">
        <v>1</v>
      </c>
      <c r="N837" s="129" t="s">
        <v>1544</v>
      </c>
      <c r="O837" s="130">
        <v>90</v>
      </c>
      <c r="P837" s="130">
        <v>45</v>
      </c>
      <c r="Q837" s="130">
        <v>21</v>
      </c>
      <c r="R837" s="129" t="s">
        <v>200</v>
      </c>
      <c r="S837" s="129" t="s">
        <v>201</v>
      </c>
      <c r="T837" s="130">
        <v>475</v>
      </c>
      <c r="U837" s="129" t="s">
        <v>200</v>
      </c>
      <c r="V837" s="129" t="s">
        <v>392</v>
      </c>
      <c r="W837" s="130">
        <v>2</v>
      </c>
      <c r="X837" s="130">
        <v>2</v>
      </c>
      <c r="Y837" s="129" t="s">
        <v>194</v>
      </c>
      <c r="Z837" s="129" t="s">
        <v>195</v>
      </c>
      <c r="AA837" s="129" t="s">
        <v>196</v>
      </c>
      <c r="AB837" s="129" t="s">
        <v>187</v>
      </c>
      <c r="AC837" s="129" t="s">
        <v>187</v>
      </c>
      <c r="AD837" s="131"/>
      <c r="AE837" s="129" t="s">
        <v>209</v>
      </c>
      <c r="AF837" s="130">
        <v>21.924570000305302</v>
      </c>
      <c r="AG837" s="132">
        <v>92.7802700001603</v>
      </c>
      <c r="AO837" s="121"/>
      <c r="AT837" s="111"/>
      <c r="AX837" s="121"/>
    </row>
    <row r="838" spans="1:50" s="110" customFormat="1" ht="20" customHeight="1">
      <c r="A838" s="125" t="s">
        <v>1620</v>
      </c>
      <c r="B838" s="126" t="s">
        <v>61</v>
      </c>
      <c r="C838" s="127">
        <v>17169</v>
      </c>
      <c r="D838" s="128">
        <v>112521</v>
      </c>
      <c r="E838" s="129" t="s">
        <v>3708</v>
      </c>
      <c r="F838" s="129" t="s">
        <v>3709</v>
      </c>
      <c r="G838" s="130">
        <v>11000</v>
      </c>
      <c r="H838" s="130">
        <v>5</v>
      </c>
      <c r="I838" s="129" t="s">
        <v>209</v>
      </c>
      <c r="J838" s="129" t="s">
        <v>3710</v>
      </c>
      <c r="K838" s="129" t="s">
        <v>3711</v>
      </c>
      <c r="L838" s="130">
        <v>5</v>
      </c>
      <c r="M838" s="130">
        <v>1</v>
      </c>
      <c r="N838" s="129" t="s">
        <v>1544</v>
      </c>
      <c r="O838" s="130">
        <v>88</v>
      </c>
      <c r="P838" s="130">
        <v>18</v>
      </c>
      <c r="Q838" s="130">
        <v>21</v>
      </c>
      <c r="R838" s="129" t="s">
        <v>200</v>
      </c>
      <c r="S838" s="129" t="s">
        <v>201</v>
      </c>
      <c r="T838" s="130">
        <v>475</v>
      </c>
      <c r="U838" s="129" t="s">
        <v>200</v>
      </c>
      <c r="V838" s="129" t="s">
        <v>392</v>
      </c>
      <c r="W838" s="130">
        <v>2</v>
      </c>
      <c r="X838" s="130">
        <v>2</v>
      </c>
      <c r="Y838" s="129" t="s">
        <v>194</v>
      </c>
      <c r="Z838" s="129" t="s">
        <v>195</v>
      </c>
      <c r="AA838" s="129" t="s">
        <v>196</v>
      </c>
      <c r="AB838" s="129" t="s">
        <v>187</v>
      </c>
      <c r="AC838" s="129" t="s">
        <v>209</v>
      </c>
      <c r="AD838" s="131"/>
      <c r="AE838" s="129" t="s">
        <v>209</v>
      </c>
      <c r="AF838" s="130">
        <v>26.238171000000001</v>
      </c>
      <c r="AG838" s="132">
        <v>94.814143000000001</v>
      </c>
      <c r="AO838" s="121"/>
      <c r="AT838" s="111"/>
      <c r="AX838" s="121"/>
    </row>
    <row r="839" spans="1:50" s="110" customFormat="1" ht="20" customHeight="1">
      <c r="A839" s="125" t="s">
        <v>1620</v>
      </c>
      <c r="B839" s="126" t="s">
        <v>61</v>
      </c>
      <c r="C839" s="127">
        <v>18291</v>
      </c>
      <c r="D839" s="128">
        <v>113836</v>
      </c>
      <c r="E839" s="129" t="s">
        <v>3436</v>
      </c>
      <c r="F839" s="129" t="s">
        <v>3436</v>
      </c>
      <c r="G839" s="130">
        <v>7500</v>
      </c>
      <c r="H839" s="130">
        <v>5</v>
      </c>
      <c r="I839" s="129" t="s">
        <v>209</v>
      </c>
      <c r="J839" s="129" t="s">
        <v>3437</v>
      </c>
      <c r="K839" s="129" t="s">
        <v>3436</v>
      </c>
      <c r="L839" s="130">
        <v>5</v>
      </c>
      <c r="M839" s="130">
        <v>1</v>
      </c>
      <c r="N839" s="129" t="s">
        <v>1544</v>
      </c>
      <c r="O839" s="130">
        <v>87</v>
      </c>
      <c r="P839" s="130">
        <v>50</v>
      </c>
      <c r="Q839" s="130">
        <v>21</v>
      </c>
      <c r="R839" s="129" t="s">
        <v>200</v>
      </c>
      <c r="S839" s="129" t="s">
        <v>201</v>
      </c>
      <c r="T839" s="130">
        <v>475</v>
      </c>
      <c r="U839" s="129" t="s">
        <v>200</v>
      </c>
      <c r="V839" s="129" t="s">
        <v>392</v>
      </c>
      <c r="W839" s="130">
        <v>2</v>
      </c>
      <c r="X839" s="130">
        <v>2</v>
      </c>
      <c r="Y839" s="129" t="s">
        <v>194</v>
      </c>
      <c r="Z839" s="129" t="s">
        <v>195</v>
      </c>
      <c r="AA839" s="129" t="s">
        <v>196</v>
      </c>
      <c r="AB839" s="129" t="s">
        <v>187</v>
      </c>
      <c r="AC839" s="129" t="s">
        <v>187</v>
      </c>
      <c r="AD839" s="131"/>
      <c r="AE839" s="129" t="s">
        <v>209</v>
      </c>
      <c r="AF839" s="130">
        <v>23.3461274187454</v>
      </c>
      <c r="AG839" s="132">
        <v>94.036417008637997</v>
      </c>
      <c r="AO839" s="121"/>
      <c r="AT839" s="111"/>
      <c r="AX839" s="121"/>
    </row>
    <row r="840" spans="1:50" s="110" customFormat="1" ht="20" customHeight="1">
      <c r="A840" s="125" t="s">
        <v>1620</v>
      </c>
      <c r="B840" s="126" t="s">
        <v>61</v>
      </c>
      <c r="C840" s="127">
        <v>17260</v>
      </c>
      <c r="D840" s="128">
        <v>112629</v>
      </c>
      <c r="E840" s="129" t="s">
        <v>2749</v>
      </c>
      <c r="F840" s="129" t="s">
        <v>2749</v>
      </c>
      <c r="G840" s="130">
        <v>2200</v>
      </c>
      <c r="H840" s="130">
        <v>5</v>
      </c>
      <c r="I840" s="129" t="s">
        <v>209</v>
      </c>
      <c r="J840" s="129" t="s">
        <v>2750</v>
      </c>
      <c r="K840" s="129" t="s">
        <v>2751</v>
      </c>
      <c r="L840" s="130">
        <v>5</v>
      </c>
      <c r="M840" s="130">
        <v>1</v>
      </c>
      <c r="N840" s="129" t="s">
        <v>1544</v>
      </c>
      <c r="O840" s="130">
        <v>83</v>
      </c>
      <c r="P840" s="130">
        <v>45</v>
      </c>
      <c r="Q840" s="130">
        <v>21</v>
      </c>
      <c r="R840" s="129" t="s">
        <v>200</v>
      </c>
      <c r="S840" s="129" t="s">
        <v>201</v>
      </c>
      <c r="T840" s="130">
        <v>475</v>
      </c>
      <c r="U840" s="129" t="s">
        <v>200</v>
      </c>
      <c r="V840" s="129" t="s">
        <v>392</v>
      </c>
      <c r="W840" s="130">
        <v>2</v>
      </c>
      <c r="X840" s="130">
        <v>2</v>
      </c>
      <c r="Y840" s="129" t="s">
        <v>194</v>
      </c>
      <c r="Z840" s="129" t="s">
        <v>195</v>
      </c>
      <c r="AA840" s="129" t="s">
        <v>196</v>
      </c>
      <c r="AB840" s="129" t="s">
        <v>187</v>
      </c>
      <c r="AC840" s="129" t="s">
        <v>187</v>
      </c>
      <c r="AD840" s="131"/>
      <c r="AE840" s="129" t="s">
        <v>209</v>
      </c>
      <c r="AF840" s="130">
        <v>26.503881991260901</v>
      </c>
      <c r="AG840" s="132">
        <v>95.097156374067396</v>
      </c>
      <c r="AO840" s="121"/>
      <c r="AT840" s="111"/>
      <c r="AX840" s="121"/>
    </row>
    <row r="841" spans="1:50" s="110" customFormat="1" ht="20" customHeight="1">
      <c r="A841" s="125" t="s">
        <v>231</v>
      </c>
      <c r="B841" s="126" t="s">
        <v>66</v>
      </c>
      <c r="C841" s="127">
        <v>16399</v>
      </c>
      <c r="D841" s="151">
        <v>111546</v>
      </c>
      <c r="E841" s="152" t="s">
        <v>3607</v>
      </c>
      <c r="F841" s="152" t="s">
        <v>4885</v>
      </c>
      <c r="G841" s="153">
        <v>1730000</v>
      </c>
      <c r="H841" s="153">
        <v>3</v>
      </c>
      <c r="I841" s="152" t="s">
        <v>209</v>
      </c>
      <c r="J841" s="152" t="s">
        <v>222</v>
      </c>
      <c r="K841" s="152" t="s">
        <v>223</v>
      </c>
      <c r="L841" s="153">
        <v>4</v>
      </c>
      <c r="M841" s="153">
        <v>1</v>
      </c>
      <c r="N841" s="152" t="s">
        <v>1544</v>
      </c>
      <c r="O841" s="153">
        <v>99.043999999999997</v>
      </c>
      <c r="P841" s="154"/>
      <c r="Q841" s="153">
        <v>21</v>
      </c>
      <c r="R841" s="152" t="s">
        <v>200</v>
      </c>
      <c r="S841" s="152" t="s">
        <v>201</v>
      </c>
      <c r="T841" s="153">
        <v>475</v>
      </c>
      <c r="U841" s="152" t="s">
        <v>200</v>
      </c>
      <c r="V841" s="152" t="s">
        <v>392</v>
      </c>
      <c r="W841" s="153">
        <v>4</v>
      </c>
      <c r="X841" s="153">
        <v>4</v>
      </c>
      <c r="Y841" s="152" t="s">
        <v>203</v>
      </c>
      <c r="Z841" s="152" t="s">
        <v>195</v>
      </c>
      <c r="AA841" s="152" t="s">
        <v>196</v>
      </c>
      <c r="AB841" s="152" t="s">
        <v>187</v>
      </c>
      <c r="AC841" s="152" t="s">
        <v>187</v>
      </c>
      <c r="AD841" s="154"/>
      <c r="AE841" s="152" t="s">
        <v>209</v>
      </c>
      <c r="AF841" s="153">
        <v>27.556499350400099</v>
      </c>
      <c r="AG841" s="155">
        <v>69.1119417493193</v>
      </c>
      <c r="AO841" s="121"/>
      <c r="AT841" s="111"/>
      <c r="AX841" s="121"/>
    </row>
    <row r="842" spans="1:50" s="110" customFormat="1" ht="20" customHeight="1">
      <c r="A842" s="125" t="s">
        <v>224</v>
      </c>
      <c r="B842" s="126" t="s">
        <v>68</v>
      </c>
      <c r="C842" s="127">
        <v>15778</v>
      </c>
      <c r="D842" s="157">
        <v>110531</v>
      </c>
      <c r="E842" s="158" t="s">
        <v>1813</v>
      </c>
      <c r="F842" s="158" t="s">
        <v>1813</v>
      </c>
      <c r="G842" s="159">
        <v>300</v>
      </c>
      <c r="H842" s="159">
        <v>2</v>
      </c>
      <c r="I842" s="158" t="s">
        <v>209</v>
      </c>
      <c r="J842" s="158" t="s">
        <v>1814</v>
      </c>
      <c r="K842" s="158" t="s">
        <v>1815</v>
      </c>
      <c r="L842" s="159">
        <v>0</v>
      </c>
      <c r="M842" s="159">
        <v>1</v>
      </c>
      <c r="N842" s="158" t="s">
        <v>1544</v>
      </c>
      <c r="O842" s="159">
        <v>50</v>
      </c>
      <c r="P842" s="160"/>
      <c r="Q842" s="159">
        <v>21</v>
      </c>
      <c r="R842" s="158" t="s">
        <v>200</v>
      </c>
      <c r="S842" s="158" t="s">
        <v>201</v>
      </c>
      <c r="T842" s="159">
        <v>475</v>
      </c>
      <c r="U842" s="158" t="s">
        <v>200</v>
      </c>
      <c r="V842" s="158" t="s">
        <v>392</v>
      </c>
      <c r="W842" s="159">
        <v>1</v>
      </c>
      <c r="X842" s="159">
        <v>4</v>
      </c>
      <c r="Y842" s="158" t="s">
        <v>203</v>
      </c>
      <c r="Z842" s="158" t="s">
        <v>195</v>
      </c>
      <c r="AA842" s="158" t="s">
        <v>196</v>
      </c>
      <c r="AB842" s="158" t="s">
        <v>187</v>
      </c>
      <c r="AC842" s="158" t="s">
        <v>187</v>
      </c>
      <c r="AD842" s="160"/>
      <c r="AE842" s="158" t="s">
        <v>209</v>
      </c>
      <c r="AF842" s="159">
        <v>7.98766</v>
      </c>
      <c r="AG842" s="161">
        <v>81.026780000000002</v>
      </c>
      <c r="AO842" s="121"/>
      <c r="AT842" s="111"/>
      <c r="AX842" s="121"/>
    </row>
    <row r="843" spans="1:50" s="110" customFormat="1" ht="20" customHeight="1">
      <c r="A843" s="125" t="s">
        <v>1620</v>
      </c>
      <c r="B843" s="126" t="s">
        <v>61</v>
      </c>
      <c r="C843" s="127">
        <v>15252</v>
      </c>
      <c r="D843" s="128">
        <v>109821</v>
      </c>
      <c r="E843" s="129" t="s">
        <v>4495</v>
      </c>
      <c r="F843" s="129" t="s">
        <v>4495</v>
      </c>
      <c r="G843" s="130">
        <v>68000</v>
      </c>
      <c r="H843" s="130">
        <v>5</v>
      </c>
      <c r="I843" s="129" t="s">
        <v>209</v>
      </c>
      <c r="J843" s="129" t="s">
        <v>4496</v>
      </c>
      <c r="K843" s="129" t="s">
        <v>4497</v>
      </c>
      <c r="L843" s="130">
        <v>5</v>
      </c>
      <c r="M843" s="130">
        <v>1</v>
      </c>
      <c r="N843" s="129" t="s">
        <v>1544</v>
      </c>
      <c r="O843" s="130">
        <v>90</v>
      </c>
      <c r="P843" s="130">
        <v>45</v>
      </c>
      <c r="Q843" s="130">
        <v>21</v>
      </c>
      <c r="R843" s="129" t="s">
        <v>200</v>
      </c>
      <c r="S843" s="129" t="s">
        <v>201</v>
      </c>
      <c r="T843" s="130">
        <v>479</v>
      </c>
      <c r="U843" s="129" t="s">
        <v>200</v>
      </c>
      <c r="V843" s="129" t="s">
        <v>4498</v>
      </c>
      <c r="W843" s="130">
        <v>2</v>
      </c>
      <c r="X843" s="130">
        <v>2</v>
      </c>
      <c r="Y843" s="129" t="s">
        <v>194</v>
      </c>
      <c r="Z843" s="129" t="s">
        <v>195</v>
      </c>
      <c r="AA843" s="129" t="s">
        <v>196</v>
      </c>
      <c r="AB843" s="129" t="s">
        <v>187</v>
      </c>
      <c r="AC843" s="129" t="s">
        <v>187</v>
      </c>
      <c r="AD843" s="131"/>
      <c r="AE843" s="129" t="s">
        <v>209</v>
      </c>
      <c r="AF843" s="130">
        <v>27.169090000000001</v>
      </c>
      <c r="AG843" s="132">
        <v>96.439800000000005</v>
      </c>
      <c r="AO843" s="121"/>
      <c r="AT843" s="111"/>
      <c r="AX843" s="121"/>
    </row>
    <row r="844" spans="1:50" s="110" customFormat="1" ht="20" customHeight="1">
      <c r="A844" s="125" t="s">
        <v>483</v>
      </c>
      <c r="B844" s="126" t="s">
        <v>55</v>
      </c>
      <c r="C844" s="127">
        <v>11164</v>
      </c>
      <c r="D844" s="145">
        <v>102965</v>
      </c>
      <c r="E844" s="146" t="s">
        <v>3834</v>
      </c>
      <c r="F844" s="146" t="s">
        <v>3834</v>
      </c>
      <c r="G844" s="147">
        <v>14000</v>
      </c>
      <c r="H844" s="147">
        <v>4</v>
      </c>
      <c r="I844" s="146" t="s">
        <v>209</v>
      </c>
      <c r="J844" s="146" t="s">
        <v>2549</v>
      </c>
      <c r="K844" s="146" t="s">
        <v>2548</v>
      </c>
      <c r="L844" s="147">
        <v>5</v>
      </c>
      <c r="M844" s="147">
        <v>1</v>
      </c>
      <c r="N844" s="146" t="s">
        <v>1544</v>
      </c>
      <c r="O844" s="147">
        <v>50</v>
      </c>
      <c r="P844" s="147">
        <v>3</v>
      </c>
      <c r="Q844" s="147">
        <v>20</v>
      </c>
      <c r="R844" s="146" t="s">
        <v>574</v>
      </c>
      <c r="S844" s="146" t="s">
        <v>575</v>
      </c>
      <c r="T844" s="147">
        <v>260</v>
      </c>
      <c r="U844" s="146" t="s">
        <v>1796</v>
      </c>
      <c r="V844" s="146" t="s">
        <v>1797</v>
      </c>
      <c r="W844" s="147">
        <v>13</v>
      </c>
      <c r="X844" s="147">
        <v>2</v>
      </c>
      <c r="Y844" s="146" t="s">
        <v>194</v>
      </c>
      <c r="Z844" s="146" t="s">
        <v>195</v>
      </c>
      <c r="AA844" s="146" t="s">
        <v>196</v>
      </c>
      <c r="AB844" s="146" t="s">
        <v>187</v>
      </c>
      <c r="AC844" s="146" t="s">
        <v>209</v>
      </c>
      <c r="AD844" s="148"/>
      <c r="AE844" s="146" t="s">
        <v>209</v>
      </c>
      <c r="AF844" s="147">
        <v>12.2860487408302</v>
      </c>
      <c r="AG844" s="149">
        <v>104.431655457584</v>
      </c>
      <c r="AO844" s="121"/>
      <c r="AT844" s="111"/>
      <c r="AX844" s="121"/>
    </row>
    <row r="845" spans="1:50" s="110" customFormat="1" ht="20" customHeight="1">
      <c r="A845" s="125" t="s">
        <v>237</v>
      </c>
      <c r="B845" s="126" t="s">
        <v>60</v>
      </c>
      <c r="C845" s="127">
        <v>11247</v>
      </c>
      <c r="D845" s="145">
        <v>105316</v>
      </c>
      <c r="E845" s="146" t="s">
        <v>3847</v>
      </c>
      <c r="F845" s="146" t="s">
        <v>3847</v>
      </c>
      <c r="G845" s="147">
        <v>14000</v>
      </c>
      <c r="H845" s="147">
        <v>4</v>
      </c>
      <c r="I845" s="146" t="s">
        <v>209</v>
      </c>
      <c r="J845" s="146" t="s">
        <v>3848</v>
      </c>
      <c r="K845" s="146" t="s">
        <v>3849</v>
      </c>
      <c r="L845" s="147">
        <v>3</v>
      </c>
      <c r="M845" s="147">
        <v>1</v>
      </c>
      <c r="N845" s="146" t="s">
        <v>1544</v>
      </c>
      <c r="O845" s="147">
        <v>90</v>
      </c>
      <c r="P845" s="147">
        <v>5</v>
      </c>
      <c r="Q845" s="147">
        <v>20</v>
      </c>
      <c r="R845" s="146" t="s">
        <v>574</v>
      </c>
      <c r="S845" s="146" t="s">
        <v>575</v>
      </c>
      <c r="T845" s="147">
        <v>260</v>
      </c>
      <c r="U845" s="146" t="s">
        <v>1796</v>
      </c>
      <c r="V845" s="146" t="s">
        <v>1797</v>
      </c>
      <c r="W845" s="147">
        <v>2</v>
      </c>
      <c r="X845" s="147">
        <v>2</v>
      </c>
      <c r="Y845" s="146" t="s">
        <v>194</v>
      </c>
      <c r="Z845" s="146" t="s">
        <v>195</v>
      </c>
      <c r="AA845" s="146" t="s">
        <v>196</v>
      </c>
      <c r="AB845" s="146" t="s">
        <v>187</v>
      </c>
      <c r="AC845" s="146" t="s">
        <v>187</v>
      </c>
      <c r="AD845" s="148"/>
      <c r="AE845" s="146" t="s">
        <v>209</v>
      </c>
      <c r="AF845" s="147">
        <v>2.2065810790598102</v>
      </c>
      <c r="AG845" s="149">
        <v>102.271649953213</v>
      </c>
      <c r="AO845" s="121"/>
      <c r="AT845" s="111"/>
      <c r="AX845" s="121"/>
    </row>
    <row r="846" spans="1:50" s="110" customFormat="1" ht="20" customHeight="1">
      <c r="A846" s="125" t="s">
        <v>237</v>
      </c>
      <c r="B846" s="126" t="s">
        <v>60</v>
      </c>
      <c r="C846" s="127">
        <v>11164</v>
      </c>
      <c r="D846" s="128">
        <v>102965</v>
      </c>
      <c r="E846" s="129" t="s">
        <v>3834</v>
      </c>
      <c r="F846" s="129" t="s">
        <v>4459</v>
      </c>
      <c r="G846" s="130">
        <v>59000</v>
      </c>
      <c r="H846" s="130">
        <v>5</v>
      </c>
      <c r="I846" s="129" t="s">
        <v>209</v>
      </c>
      <c r="J846" s="129" t="s">
        <v>1058</v>
      </c>
      <c r="K846" s="129" t="s">
        <v>1059</v>
      </c>
      <c r="L846" s="130">
        <v>5</v>
      </c>
      <c r="M846" s="130">
        <v>1</v>
      </c>
      <c r="N846" s="129" t="s">
        <v>1544</v>
      </c>
      <c r="O846" s="130">
        <v>60</v>
      </c>
      <c r="P846" s="130">
        <v>12</v>
      </c>
      <c r="Q846" s="130">
        <v>20</v>
      </c>
      <c r="R846" s="129" t="s">
        <v>574</v>
      </c>
      <c r="S846" s="129" t="s">
        <v>575</v>
      </c>
      <c r="T846" s="130">
        <v>260</v>
      </c>
      <c r="U846" s="129" t="s">
        <v>1796</v>
      </c>
      <c r="V846" s="129" t="s">
        <v>1797</v>
      </c>
      <c r="W846" s="130">
        <v>13</v>
      </c>
      <c r="X846" s="130">
        <v>2</v>
      </c>
      <c r="Y846" s="129" t="s">
        <v>194</v>
      </c>
      <c r="Z846" s="129" t="s">
        <v>195</v>
      </c>
      <c r="AA846" s="129" t="s">
        <v>196</v>
      </c>
      <c r="AB846" s="129" t="s">
        <v>187</v>
      </c>
      <c r="AC846" s="129" t="s">
        <v>209</v>
      </c>
      <c r="AD846" s="131"/>
      <c r="AE846" s="129" t="s">
        <v>209</v>
      </c>
      <c r="AF846" s="130">
        <v>3.2075093989628898</v>
      </c>
      <c r="AG846" s="132">
        <v>101.808823618551</v>
      </c>
      <c r="AO846" s="121"/>
      <c r="AT846" s="111"/>
      <c r="AX846" s="121"/>
    </row>
    <row r="847" spans="1:50" s="110" customFormat="1" ht="20" customHeight="1">
      <c r="A847" s="125" t="s">
        <v>1620</v>
      </c>
      <c r="B847" s="126" t="s">
        <v>61</v>
      </c>
      <c r="C847" s="127">
        <v>11164</v>
      </c>
      <c r="D847" s="128">
        <v>102965</v>
      </c>
      <c r="E847" s="129" t="s">
        <v>3834</v>
      </c>
      <c r="F847" s="129" t="s">
        <v>4444</v>
      </c>
      <c r="G847" s="130">
        <v>55000</v>
      </c>
      <c r="H847" s="130">
        <v>5</v>
      </c>
      <c r="I847" s="129" t="s">
        <v>209</v>
      </c>
      <c r="J847" s="129" t="s">
        <v>1058</v>
      </c>
      <c r="K847" s="129" t="s">
        <v>1059</v>
      </c>
      <c r="L847" s="130">
        <v>5</v>
      </c>
      <c r="M847" s="130">
        <v>1</v>
      </c>
      <c r="N847" s="129" t="s">
        <v>1544</v>
      </c>
      <c r="O847" s="130">
        <v>95</v>
      </c>
      <c r="P847" s="130">
        <v>30</v>
      </c>
      <c r="Q847" s="130">
        <v>20</v>
      </c>
      <c r="R847" s="129" t="s">
        <v>574</v>
      </c>
      <c r="S847" s="129" t="s">
        <v>575</v>
      </c>
      <c r="T847" s="130">
        <v>260</v>
      </c>
      <c r="U847" s="129" t="s">
        <v>1796</v>
      </c>
      <c r="V847" s="129" t="s">
        <v>1797</v>
      </c>
      <c r="W847" s="130">
        <v>13</v>
      </c>
      <c r="X847" s="130">
        <v>2</v>
      </c>
      <c r="Y847" s="129" t="s">
        <v>194</v>
      </c>
      <c r="Z847" s="129" t="s">
        <v>195</v>
      </c>
      <c r="AA847" s="129" t="s">
        <v>196</v>
      </c>
      <c r="AB847" s="129" t="s">
        <v>187</v>
      </c>
      <c r="AC847" s="129" t="s">
        <v>209</v>
      </c>
      <c r="AD847" s="131"/>
      <c r="AE847" s="129" t="s">
        <v>209</v>
      </c>
      <c r="AF847" s="130">
        <v>16.825314623970701</v>
      </c>
      <c r="AG847" s="132">
        <v>96.1679022845627</v>
      </c>
      <c r="AO847" s="121"/>
      <c r="AT847" s="111"/>
      <c r="AX847" s="121"/>
    </row>
    <row r="848" spans="1:50" s="110" customFormat="1" ht="20" customHeight="1">
      <c r="A848" s="125" t="s">
        <v>408</v>
      </c>
      <c r="B848" s="126" t="s">
        <v>64</v>
      </c>
      <c r="C848" s="127">
        <v>11164</v>
      </c>
      <c r="D848" s="145">
        <v>102965</v>
      </c>
      <c r="E848" s="146" t="s">
        <v>3834</v>
      </c>
      <c r="F848" s="146" t="s">
        <v>3834</v>
      </c>
      <c r="G848" s="147">
        <v>54000</v>
      </c>
      <c r="H848" s="147">
        <v>4</v>
      </c>
      <c r="I848" s="146" t="s">
        <v>209</v>
      </c>
      <c r="J848" s="146" t="s">
        <v>1058</v>
      </c>
      <c r="K848" s="146" t="s">
        <v>1059</v>
      </c>
      <c r="L848" s="147">
        <v>5</v>
      </c>
      <c r="M848" s="147">
        <v>1</v>
      </c>
      <c r="N848" s="146" t="s">
        <v>1544</v>
      </c>
      <c r="O848" s="147">
        <v>60</v>
      </c>
      <c r="P848" s="147">
        <v>4</v>
      </c>
      <c r="Q848" s="147">
        <v>20</v>
      </c>
      <c r="R848" s="146" t="s">
        <v>574</v>
      </c>
      <c r="S848" s="146" t="s">
        <v>575</v>
      </c>
      <c r="T848" s="147">
        <v>260</v>
      </c>
      <c r="U848" s="146" t="s">
        <v>1796</v>
      </c>
      <c r="V848" s="146" t="s">
        <v>1797</v>
      </c>
      <c r="W848" s="147">
        <v>13</v>
      </c>
      <c r="X848" s="147">
        <v>2</v>
      </c>
      <c r="Y848" s="146" t="s">
        <v>194</v>
      </c>
      <c r="Z848" s="146" t="s">
        <v>195</v>
      </c>
      <c r="AA848" s="146" t="s">
        <v>196</v>
      </c>
      <c r="AB848" s="146" t="s">
        <v>209</v>
      </c>
      <c r="AC848" s="146" t="s">
        <v>209</v>
      </c>
      <c r="AD848" s="148"/>
      <c r="AE848" s="146" t="s">
        <v>209</v>
      </c>
      <c r="AF848" s="147">
        <v>1.3292920982517</v>
      </c>
      <c r="AG848" s="149">
        <v>103.811902671571</v>
      </c>
      <c r="AO848" s="121"/>
      <c r="AT848" s="111"/>
      <c r="AX848" s="121"/>
    </row>
    <row r="849" spans="1:50" s="110" customFormat="1" ht="20" customHeight="1">
      <c r="A849" s="125" t="s">
        <v>408</v>
      </c>
      <c r="B849" s="126" t="s">
        <v>64</v>
      </c>
      <c r="C849" s="127">
        <v>11247</v>
      </c>
      <c r="D849" s="145">
        <v>105316</v>
      </c>
      <c r="E849" s="146" t="s">
        <v>3847</v>
      </c>
      <c r="F849" s="146" t="s">
        <v>3847</v>
      </c>
      <c r="G849" s="147">
        <v>24000</v>
      </c>
      <c r="H849" s="147">
        <v>4</v>
      </c>
      <c r="I849" s="146" t="s">
        <v>209</v>
      </c>
      <c r="J849" s="146" t="s">
        <v>3848</v>
      </c>
      <c r="K849" s="146" t="s">
        <v>3849</v>
      </c>
      <c r="L849" s="147">
        <v>3</v>
      </c>
      <c r="M849" s="147">
        <v>1</v>
      </c>
      <c r="N849" s="146" t="s">
        <v>1544</v>
      </c>
      <c r="O849" s="147">
        <v>90</v>
      </c>
      <c r="P849" s="147">
        <v>5</v>
      </c>
      <c r="Q849" s="147">
        <v>20</v>
      </c>
      <c r="R849" s="146" t="s">
        <v>574</v>
      </c>
      <c r="S849" s="146" t="s">
        <v>575</v>
      </c>
      <c r="T849" s="147">
        <v>260</v>
      </c>
      <c r="U849" s="146" t="s">
        <v>1796</v>
      </c>
      <c r="V849" s="146" t="s">
        <v>1797</v>
      </c>
      <c r="W849" s="147">
        <v>2</v>
      </c>
      <c r="X849" s="147">
        <v>2</v>
      </c>
      <c r="Y849" s="146" t="s">
        <v>194</v>
      </c>
      <c r="Z849" s="146" t="s">
        <v>195</v>
      </c>
      <c r="AA849" s="146" t="s">
        <v>196</v>
      </c>
      <c r="AB849" s="146" t="s">
        <v>209</v>
      </c>
      <c r="AC849" s="146" t="s">
        <v>209</v>
      </c>
      <c r="AD849" s="148"/>
      <c r="AE849" s="146" t="s">
        <v>209</v>
      </c>
      <c r="AF849" s="147">
        <v>1.3027199997282</v>
      </c>
      <c r="AG849" s="149">
        <v>103.747159999934</v>
      </c>
      <c r="AO849" s="121"/>
      <c r="AT849" s="111"/>
      <c r="AX849" s="121"/>
    </row>
    <row r="850" spans="1:50" s="110" customFormat="1" ht="20" customHeight="1">
      <c r="A850" s="125" t="s">
        <v>478</v>
      </c>
      <c r="B850" s="126" t="s">
        <v>56</v>
      </c>
      <c r="C850" s="127">
        <v>11164</v>
      </c>
      <c r="D850" s="145">
        <v>102965</v>
      </c>
      <c r="E850" s="146" t="s">
        <v>3834</v>
      </c>
      <c r="F850" s="146" t="s">
        <v>3834</v>
      </c>
      <c r="G850" s="147">
        <v>57000</v>
      </c>
      <c r="H850" s="147">
        <v>4</v>
      </c>
      <c r="I850" s="146" t="s">
        <v>209</v>
      </c>
      <c r="J850" s="146" t="s">
        <v>1058</v>
      </c>
      <c r="K850" s="146" t="s">
        <v>1059</v>
      </c>
      <c r="L850" s="147">
        <v>5</v>
      </c>
      <c r="M850" s="147">
        <v>1</v>
      </c>
      <c r="N850" s="146" t="s">
        <v>1544</v>
      </c>
      <c r="O850" s="147">
        <v>55</v>
      </c>
      <c r="P850" s="147">
        <v>4</v>
      </c>
      <c r="Q850" s="147">
        <v>20</v>
      </c>
      <c r="R850" s="146" t="s">
        <v>574</v>
      </c>
      <c r="S850" s="146" t="s">
        <v>575</v>
      </c>
      <c r="T850" s="147">
        <v>260</v>
      </c>
      <c r="U850" s="146" t="s">
        <v>1796</v>
      </c>
      <c r="V850" s="146" t="s">
        <v>1797</v>
      </c>
      <c r="W850" s="147">
        <v>13</v>
      </c>
      <c r="X850" s="147">
        <v>2</v>
      </c>
      <c r="Y850" s="146" t="s">
        <v>194</v>
      </c>
      <c r="Z850" s="146" t="s">
        <v>195</v>
      </c>
      <c r="AA850" s="146" t="s">
        <v>196</v>
      </c>
      <c r="AB850" s="146" t="s">
        <v>187</v>
      </c>
      <c r="AC850" s="146" t="s">
        <v>209</v>
      </c>
      <c r="AD850" s="148"/>
      <c r="AE850" s="146" t="s">
        <v>209</v>
      </c>
      <c r="AF850" s="147">
        <v>13.777215</v>
      </c>
      <c r="AG850" s="149">
        <v>100.487729</v>
      </c>
      <c r="AO850" s="121"/>
      <c r="AT850" s="111"/>
      <c r="AX850" s="121"/>
    </row>
    <row r="851" spans="1:50" s="110" customFormat="1" ht="20" customHeight="1">
      <c r="A851" s="125" t="s">
        <v>480</v>
      </c>
      <c r="B851" s="126" t="s">
        <v>63</v>
      </c>
      <c r="C851" s="127">
        <v>11164</v>
      </c>
      <c r="D851" s="151">
        <v>102965</v>
      </c>
      <c r="E851" s="152" t="s">
        <v>3834</v>
      </c>
      <c r="F851" s="152" t="s">
        <v>3834</v>
      </c>
      <c r="G851" s="153">
        <v>474000</v>
      </c>
      <c r="H851" s="153">
        <v>3</v>
      </c>
      <c r="I851" s="152" t="s">
        <v>209</v>
      </c>
      <c r="J851" s="152" t="s">
        <v>2549</v>
      </c>
      <c r="K851" s="152" t="s">
        <v>2548</v>
      </c>
      <c r="L851" s="153">
        <v>5</v>
      </c>
      <c r="M851" s="153">
        <v>1</v>
      </c>
      <c r="N851" s="152" t="s">
        <v>1544</v>
      </c>
      <c r="O851" s="153">
        <v>59</v>
      </c>
      <c r="P851" s="153">
        <v>2</v>
      </c>
      <c r="Q851" s="153">
        <v>20</v>
      </c>
      <c r="R851" s="152" t="s">
        <v>574</v>
      </c>
      <c r="S851" s="152" t="s">
        <v>575</v>
      </c>
      <c r="T851" s="153">
        <v>260</v>
      </c>
      <c r="U851" s="152" t="s">
        <v>1796</v>
      </c>
      <c r="V851" s="152" t="s">
        <v>1797</v>
      </c>
      <c r="W851" s="153">
        <v>13</v>
      </c>
      <c r="X851" s="153">
        <v>2</v>
      </c>
      <c r="Y851" s="152" t="s">
        <v>194</v>
      </c>
      <c r="Z851" s="152" t="s">
        <v>195</v>
      </c>
      <c r="AA851" s="152" t="s">
        <v>196</v>
      </c>
      <c r="AB851" s="152" t="s">
        <v>187</v>
      </c>
      <c r="AC851" s="152" t="s">
        <v>209</v>
      </c>
      <c r="AD851" s="154"/>
      <c r="AE851" s="152" t="s">
        <v>209</v>
      </c>
      <c r="AF851" s="153">
        <v>21.032108000000001</v>
      </c>
      <c r="AG851" s="155">
        <v>105.84332000000001</v>
      </c>
      <c r="AO851" s="121"/>
      <c r="AT851" s="111"/>
      <c r="AX851" s="121"/>
    </row>
    <row r="852" spans="1:50" s="110" customFormat="1" ht="20" customHeight="1">
      <c r="A852" s="125" t="s">
        <v>478</v>
      </c>
      <c r="B852" s="126" t="s">
        <v>56</v>
      </c>
      <c r="C852" s="127">
        <v>18725</v>
      </c>
      <c r="D852" s="128">
        <v>114360</v>
      </c>
      <c r="E852" s="129" t="s">
        <v>2343</v>
      </c>
      <c r="F852" s="129" t="s">
        <v>2343</v>
      </c>
      <c r="G852" s="130">
        <v>1000</v>
      </c>
      <c r="H852" s="130">
        <v>5</v>
      </c>
      <c r="I852" s="129" t="s">
        <v>209</v>
      </c>
      <c r="J852" s="129" t="s">
        <v>2344</v>
      </c>
      <c r="K852" s="129" t="s">
        <v>2343</v>
      </c>
      <c r="L852" s="130">
        <v>3</v>
      </c>
      <c r="M852" s="130">
        <v>1</v>
      </c>
      <c r="N852" s="129" t="s">
        <v>1544</v>
      </c>
      <c r="O852" s="130">
        <v>80</v>
      </c>
      <c r="P852" s="130">
        <v>70</v>
      </c>
      <c r="Q852" s="130">
        <v>20</v>
      </c>
      <c r="R852" s="129" t="s">
        <v>574</v>
      </c>
      <c r="S852" s="129" t="s">
        <v>575</v>
      </c>
      <c r="T852" s="130">
        <v>295</v>
      </c>
      <c r="U852" s="129" t="s">
        <v>1702</v>
      </c>
      <c r="V852" s="129" t="s">
        <v>1703</v>
      </c>
      <c r="W852" s="130">
        <v>2</v>
      </c>
      <c r="X852" s="130">
        <v>2</v>
      </c>
      <c r="Y852" s="129" t="s">
        <v>194</v>
      </c>
      <c r="Z852" s="129" t="s">
        <v>195</v>
      </c>
      <c r="AA852" s="129" t="s">
        <v>196</v>
      </c>
      <c r="AB852" s="129" t="s">
        <v>187</v>
      </c>
      <c r="AC852" s="129" t="s">
        <v>209</v>
      </c>
      <c r="AD852" s="131"/>
      <c r="AE852" s="129" t="s">
        <v>209</v>
      </c>
      <c r="AF852" s="130">
        <v>19.91178</v>
      </c>
      <c r="AG852" s="132">
        <v>99.978380000000001</v>
      </c>
      <c r="AO852" s="121"/>
      <c r="AT852" s="111"/>
      <c r="AX852" s="121"/>
    </row>
    <row r="853" spans="1:50" s="110" customFormat="1" ht="20" customHeight="1">
      <c r="A853" s="125" t="s">
        <v>1620</v>
      </c>
      <c r="B853" s="126" t="s">
        <v>61</v>
      </c>
      <c r="C853" s="127">
        <v>12949</v>
      </c>
      <c r="D853" s="128">
        <v>105576</v>
      </c>
      <c r="E853" s="129" t="s">
        <v>2934</v>
      </c>
      <c r="F853" s="129" t="s">
        <v>2934</v>
      </c>
      <c r="G853" s="130">
        <v>222000</v>
      </c>
      <c r="H853" s="130">
        <v>5</v>
      </c>
      <c r="I853" s="129" t="s">
        <v>209</v>
      </c>
      <c r="J853" s="129" t="s">
        <v>2933</v>
      </c>
      <c r="K853" s="129" t="s">
        <v>2934</v>
      </c>
      <c r="L853" s="130">
        <v>5</v>
      </c>
      <c r="M853" s="130">
        <v>1</v>
      </c>
      <c r="N853" s="129" t="s">
        <v>1544</v>
      </c>
      <c r="O853" s="130">
        <v>80</v>
      </c>
      <c r="P853" s="130">
        <v>43</v>
      </c>
      <c r="Q853" s="130">
        <v>23</v>
      </c>
      <c r="R853" s="129" t="s">
        <v>1623</v>
      </c>
      <c r="S853" s="129" t="s">
        <v>1624</v>
      </c>
      <c r="T853" s="130">
        <v>317</v>
      </c>
      <c r="U853" s="129" t="s">
        <v>1713</v>
      </c>
      <c r="V853" s="129" t="s">
        <v>1714</v>
      </c>
      <c r="W853" s="130">
        <v>5</v>
      </c>
      <c r="X853" s="130">
        <v>2</v>
      </c>
      <c r="Y853" s="129" t="s">
        <v>194</v>
      </c>
      <c r="Z853" s="129" t="s">
        <v>195</v>
      </c>
      <c r="AA853" s="129" t="s">
        <v>196</v>
      </c>
      <c r="AB853" s="129" t="s">
        <v>187</v>
      </c>
      <c r="AC853" s="129" t="s">
        <v>187</v>
      </c>
      <c r="AD853" s="131"/>
      <c r="AE853" s="129" t="s">
        <v>209</v>
      </c>
      <c r="AF853" s="130">
        <v>20.811579999999999</v>
      </c>
      <c r="AG853" s="132">
        <v>99.135080000000002</v>
      </c>
      <c r="AO853" s="121"/>
      <c r="AT853" s="111"/>
      <c r="AX853" s="121"/>
    </row>
    <row r="854" spans="1:50" s="110" customFormat="1" ht="20" customHeight="1">
      <c r="A854" s="125" t="s">
        <v>1620</v>
      </c>
      <c r="B854" s="126" t="s">
        <v>61</v>
      </c>
      <c r="C854" s="127">
        <v>18541</v>
      </c>
      <c r="D854" s="128">
        <v>114158</v>
      </c>
      <c r="E854" s="129" t="s">
        <v>4278</v>
      </c>
      <c r="F854" s="129" t="s">
        <v>4279</v>
      </c>
      <c r="G854" s="130">
        <v>34000</v>
      </c>
      <c r="H854" s="130">
        <v>5</v>
      </c>
      <c r="I854" s="129" t="s">
        <v>209</v>
      </c>
      <c r="J854" s="129" t="s">
        <v>4280</v>
      </c>
      <c r="K854" s="129" t="s">
        <v>4281</v>
      </c>
      <c r="L854" s="130">
        <v>5</v>
      </c>
      <c r="M854" s="130">
        <v>1</v>
      </c>
      <c r="N854" s="129" t="s">
        <v>1544</v>
      </c>
      <c r="O854" s="130">
        <v>90</v>
      </c>
      <c r="P854" s="130">
        <v>65</v>
      </c>
      <c r="Q854" s="130">
        <v>23</v>
      </c>
      <c r="R854" s="129" t="s">
        <v>1623</v>
      </c>
      <c r="S854" s="129" t="s">
        <v>1624</v>
      </c>
      <c r="T854" s="130">
        <v>317</v>
      </c>
      <c r="U854" s="129" t="s">
        <v>1713</v>
      </c>
      <c r="V854" s="129" t="s">
        <v>1714</v>
      </c>
      <c r="W854" s="130">
        <v>2</v>
      </c>
      <c r="X854" s="130">
        <v>2</v>
      </c>
      <c r="Y854" s="129" t="s">
        <v>194</v>
      </c>
      <c r="Z854" s="129" t="s">
        <v>195</v>
      </c>
      <c r="AA854" s="129" t="s">
        <v>196</v>
      </c>
      <c r="AB854" s="129" t="s">
        <v>187</v>
      </c>
      <c r="AC854" s="129" t="s">
        <v>187</v>
      </c>
      <c r="AD854" s="131"/>
      <c r="AE854" s="129" t="s">
        <v>209</v>
      </c>
      <c r="AF854" s="130">
        <v>26.136530000259299</v>
      </c>
      <c r="AG854" s="132">
        <v>98.460140000260793</v>
      </c>
      <c r="AO854" s="121"/>
      <c r="AT854" s="111"/>
      <c r="AX854" s="121"/>
    </row>
    <row r="855" spans="1:50" s="110" customFormat="1" ht="20" customHeight="1">
      <c r="A855" s="125" t="s">
        <v>1620</v>
      </c>
      <c r="B855" s="126" t="s">
        <v>61</v>
      </c>
      <c r="C855" s="127">
        <v>15628</v>
      </c>
      <c r="D855" s="128">
        <v>110266</v>
      </c>
      <c r="E855" s="129" t="s">
        <v>1710</v>
      </c>
      <c r="F855" s="129" t="s">
        <v>1710</v>
      </c>
      <c r="G855" s="130">
        <v>200</v>
      </c>
      <c r="H855" s="130">
        <v>5</v>
      </c>
      <c r="I855" s="129" t="s">
        <v>209</v>
      </c>
      <c r="J855" s="129" t="s">
        <v>1711</v>
      </c>
      <c r="K855" s="129" t="s">
        <v>1712</v>
      </c>
      <c r="L855" s="130">
        <v>0</v>
      </c>
      <c r="M855" s="130">
        <v>1</v>
      </c>
      <c r="N855" s="129" t="s">
        <v>1544</v>
      </c>
      <c r="O855" s="130">
        <v>56</v>
      </c>
      <c r="P855" s="130">
        <v>29</v>
      </c>
      <c r="Q855" s="130">
        <v>23</v>
      </c>
      <c r="R855" s="129" t="s">
        <v>1623</v>
      </c>
      <c r="S855" s="129" t="s">
        <v>1624</v>
      </c>
      <c r="T855" s="130">
        <v>317</v>
      </c>
      <c r="U855" s="129" t="s">
        <v>1713</v>
      </c>
      <c r="V855" s="129" t="s">
        <v>1714</v>
      </c>
      <c r="W855" s="130">
        <v>2</v>
      </c>
      <c r="X855" s="130">
        <v>2</v>
      </c>
      <c r="Y855" s="129" t="s">
        <v>194</v>
      </c>
      <c r="Z855" s="129" t="s">
        <v>195</v>
      </c>
      <c r="AA855" s="129" t="s">
        <v>196</v>
      </c>
      <c r="AB855" s="129" t="s">
        <v>187</v>
      </c>
      <c r="AC855" s="129" t="s">
        <v>187</v>
      </c>
      <c r="AD855" s="131"/>
      <c r="AE855" s="129" t="s">
        <v>209</v>
      </c>
      <c r="AF855" s="130">
        <v>27.447009799262801</v>
      </c>
      <c r="AG855" s="132">
        <v>98.495325058004994</v>
      </c>
      <c r="AO855" s="121"/>
      <c r="AT855" s="111"/>
      <c r="AX855" s="121"/>
    </row>
    <row r="856" spans="1:50" s="110" customFormat="1" ht="20" customHeight="1">
      <c r="A856" s="125" t="s">
        <v>185</v>
      </c>
      <c r="B856" s="126" t="s">
        <v>59</v>
      </c>
      <c r="C856" s="127">
        <v>10269</v>
      </c>
      <c r="D856" s="145">
        <v>100256</v>
      </c>
      <c r="E856" s="146" t="s">
        <v>4540</v>
      </c>
      <c r="F856" s="146" t="s">
        <v>4540</v>
      </c>
      <c r="G856" s="147">
        <v>78000</v>
      </c>
      <c r="H856" s="147">
        <v>4</v>
      </c>
      <c r="I856" s="146" t="s">
        <v>209</v>
      </c>
      <c r="J856" s="146" t="s">
        <v>4541</v>
      </c>
      <c r="K856" s="146" t="s">
        <v>4540</v>
      </c>
      <c r="L856" s="147">
        <v>4</v>
      </c>
      <c r="M856" s="147">
        <v>1</v>
      </c>
      <c r="N856" s="146" t="s">
        <v>1544</v>
      </c>
      <c r="O856" s="147">
        <v>90</v>
      </c>
      <c r="P856" s="147">
        <v>6</v>
      </c>
      <c r="Q856" s="147">
        <v>17</v>
      </c>
      <c r="R856" s="146" t="s">
        <v>190</v>
      </c>
      <c r="S856" s="146" t="s">
        <v>191</v>
      </c>
      <c r="T856" s="147">
        <v>305</v>
      </c>
      <c r="U856" s="146" t="s">
        <v>396</v>
      </c>
      <c r="V856" s="146" t="s">
        <v>397</v>
      </c>
      <c r="W856" s="147">
        <v>1</v>
      </c>
      <c r="X856" s="147">
        <v>2</v>
      </c>
      <c r="Y856" s="146" t="s">
        <v>194</v>
      </c>
      <c r="Z856" s="146" t="s">
        <v>195</v>
      </c>
      <c r="AA856" s="146" t="s">
        <v>196</v>
      </c>
      <c r="AB856" s="146" t="s">
        <v>187</v>
      </c>
      <c r="AC856" s="146" t="s">
        <v>187</v>
      </c>
      <c r="AD856" s="148"/>
      <c r="AE856" s="146" t="s">
        <v>209</v>
      </c>
      <c r="AF856" s="147">
        <v>-10.23409</v>
      </c>
      <c r="AG856" s="149">
        <v>123.89682000000001</v>
      </c>
      <c r="AO856" s="121"/>
      <c r="AT856" s="111"/>
      <c r="AX856" s="121"/>
    </row>
    <row r="857" spans="1:50" s="110" customFormat="1" ht="20" customHeight="1">
      <c r="A857" s="125" t="s">
        <v>185</v>
      </c>
      <c r="B857" s="126" t="s">
        <v>59</v>
      </c>
      <c r="C857" s="127">
        <v>14579</v>
      </c>
      <c r="D857" s="145">
        <v>108420</v>
      </c>
      <c r="E857" s="146" t="s">
        <v>4334</v>
      </c>
      <c r="F857" s="146" t="s">
        <v>4334</v>
      </c>
      <c r="G857" s="147">
        <v>37000</v>
      </c>
      <c r="H857" s="147">
        <v>4</v>
      </c>
      <c r="I857" s="146" t="s">
        <v>209</v>
      </c>
      <c r="J857" s="146" t="s">
        <v>4335</v>
      </c>
      <c r="K857" s="146" t="s">
        <v>4336</v>
      </c>
      <c r="L857" s="147">
        <v>5</v>
      </c>
      <c r="M857" s="147">
        <v>1</v>
      </c>
      <c r="N857" s="146" t="s">
        <v>1544</v>
      </c>
      <c r="O857" s="147">
        <v>80</v>
      </c>
      <c r="P857" s="147">
        <v>6</v>
      </c>
      <c r="Q857" s="147">
        <v>17</v>
      </c>
      <c r="R857" s="146" t="s">
        <v>190</v>
      </c>
      <c r="S857" s="146" t="s">
        <v>191</v>
      </c>
      <c r="T857" s="147">
        <v>305</v>
      </c>
      <c r="U857" s="146" t="s">
        <v>396</v>
      </c>
      <c r="V857" s="146" t="s">
        <v>397</v>
      </c>
      <c r="W857" s="147">
        <v>1</v>
      </c>
      <c r="X857" s="147">
        <v>2</v>
      </c>
      <c r="Y857" s="146" t="s">
        <v>194</v>
      </c>
      <c r="Z857" s="146" t="s">
        <v>195</v>
      </c>
      <c r="AA857" s="146" t="s">
        <v>196</v>
      </c>
      <c r="AB857" s="146" t="s">
        <v>187</v>
      </c>
      <c r="AC857" s="146" t="s">
        <v>187</v>
      </c>
      <c r="AD857" s="148"/>
      <c r="AE857" s="146" t="s">
        <v>209</v>
      </c>
      <c r="AF857" s="147">
        <v>-10.713480000000001</v>
      </c>
      <c r="AG857" s="149">
        <v>123.17579000000001</v>
      </c>
      <c r="AO857" s="121"/>
      <c r="AT857" s="111"/>
      <c r="AX857" s="121"/>
    </row>
    <row r="858" spans="1:50" s="110" customFormat="1" ht="20" customHeight="1">
      <c r="A858" s="125" t="s">
        <v>185</v>
      </c>
      <c r="B858" s="126" t="s">
        <v>59</v>
      </c>
      <c r="C858" s="127">
        <v>19498</v>
      </c>
      <c r="D858" s="145">
        <v>115077</v>
      </c>
      <c r="E858" s="146" t="s">
        <v>4160</v>
      </c>
      <c r="F858" s="146" t="s">
        <v>4160</v>
      </c>
      <c r="G858" s="147">
        <v>26000</v>
      </c>
      <c r="H858" s="147">
        <v>4</v>
      </c>
      <c r="I858" s="146" t="s">
        <v>209</v>
      </c>
      <c r="J858" s="146" t="s">
        <v>4161</v>
      </c>
      <c r="K858" s="146" t="s">
        <v>4160</v>
      </c>
      <c r="L858" s="147">
        <v>3</v>
      </c>
      <c r="M858" s="147">
        <v>1</v>
      </c>
      <c r="N858" s="146" t="s">
        <v>1544</v>
      </c>
      <c r="O858" s="147">
        <v>80</v>
      </c>
      <c r="P858" s="147">
        <v>6</v>
      </c>
      <c r="Q858" s="147">
        <v>17</v>
      </c>
      <c r="R858" s="146" t="s">
        <v>190</v>
      </c>
      <c r="S858" s="146" t="s">
        <v>191</v>
      </c>
      <c r="T858" s="147">
        <v>305</v>
      </c>
      <c r="U858" s="146" t="s">
        <v>396</v>
      </c>
      <c r="V858" s="146" t="s">
        <v>397</v>
      </c>
      <c r="W858" s="147">
        <v>1</v>
      </c>
      <c r="X858" s="147">
        <v>2</v>
      </c>
      <c r="Y858" s="146" t="s">
        <v>194</v>
      </c>
      <c r="Z858" s="146" t="s">
        <v>195</v>
      </c>
      <c r="AA858" s="146" t="s">
        <v>196</v>
      </c>
      <c r="AB858" s="146" t="s">
        <v>187</v>
      </c>
      <c r="AC858" s="146" t="s">
        <v>187</v>
      </c>
      <c r="AD858" s="148"/>
      <c r="AE858" s="146" t="s">
        <v>209</v>
      </c>
      <c r="AF858" s="147">
        <v>-10.785780000000001</v>
      </c>
      <c r="AG858" s="149">
        <v>122.94553000000001</v>
      </c>
      <c r="AO858" s="121"/>
      <c r="AT858" s="111"/>
      <c r="AX858" s="121"/>
    </row>
    <row r="859" spans="1:50" s="110" customFormat="1" ht="20" customHeight="1">
      <c r="A859" s="125" t="s">
        <v>185</v>
      </c>
      <c r="B859" s="126" t="s">
        <v>59</v>
      </c>
      <c r="C859" s="127">
        <v>11811</v>
      </c>
      <c r="D859" s="145">
        <v>115099</v>
      </c>
      <c r="E859" s="146" t="s">
        <v>4162</v>
      </c>
      <c r="F859" s="146" t="s">
        <v>4162</v>
      </c>
      <c r="G859" s="147">
        <v>26000</v>
      </c>
      <c r="H859" s="147">
        <v>4</v>
      </c>
      <c r="I859" s="146" t="s">
        <v>209</v>
      </c>
      <c r="J859" s="146" t="s">
        <v>4163</v>
      </c>
      <c r="K859" s="146" t="s">
        <v>4162</v>
      </c>
      <c r="L859" s="147">
        <v>4</v>
      </c>
      <c r="M859" s="147">
        <v>1</v>
      </c>
      <c r="N859" s="146" t="s">
        <v>1544</v>
      </c>
      <c r="O859" s="147">
        <v>85</v>
      </c>
      <c r="P859" s="147">
        <v>7</v>
      </c>
      <c r="Q859" s="147">
        <v>17</v>
      </c>
      <c r="R859" s="146" t="s">
        <v>190</v>
      </c>
      <c r="S859" s="146" t="s">
        <v>191</v>
      </c>
      <c r="T859" s="147">
        <v>305</v>
      </c>
      <c r="U859" s="146" t="s">
        <v>396</v>
      </c>
      <c r="V859" s="146" t="s">
        <v>397</v>
      </c>
      <c r="W859" s="147">
        <v>1</v>
      </c>
      <c r="X859" s="147">
        <v>2</v>
      </c>
      <c r="Y859" s="146" t="s">
        <v>194</v>
      </c>
      <c r="Z859" s="146" t="s">
        <v>195</v>
      </c>
      <c r="AA859" s="146" t="s">
        <v>196</v>
      </c>
      <c r="AB859" s="146" t="s">
        <v>187</v>
      </c>
      <c r="AC859" s="146" t="s">
        <v>187</v>
      </c>
      <c r="AD859" s="148"/>
      <c r="AE859" s="146" t="s">
        <v>209</v>
      </c>
      <c r="AF859" s="147">
        <v>-10.79232</v>
      </c>
      <c r="AG859" s="149">
        <v>123.07699</v>
      </c>
      <c r="AO859" s="121"/>
      <c r="AT859" s="111"/>
      <c r="AX859" s="121"/>
    </row>
    <row r="860" spans="1:50" s="110" customFormat="1" ht="20" customHeight="1">
      <c r="A860" s="125" t="s">
        <v>185</v>
      </c>
      <c r="B860" s="126" t="s">
        <v>59</v>
      </c>
      <c r="C860" s="127">
        <v>19494</v>
      </c>
      <c r="D860" s="145">
        <v>115429</v>
      </c>
      <c r="E860" s="146" t="s">
        <v>4147</v>
      </c>
      <c r="F860" s="146" t="s">
        <v>4147</v>
      </c>
      <c r="G860" s="147">
        <v>25000</v>
      </c>
      <c r="H860" s="147">
        <v>4</v>
      </c>
      <c r="I860" s="146" t="s">
        <v>209</v>
      </c>
      <c r="J860" s="146" t="s">
        <v>4148</v>
      </c>
      <c r="K860" s="146" t="s">
        <v>4149</v>
      </c>
      <c r="L860" s="147">
        <v>4</v>
      </c>
      <c r="M860" s="147">
        <v>1</v>
      </c>
      <c r="N860" s="146" t="s">
        <v>1544</v>
      </c>
      <c r="O860" s="147">
        <v>80</v>
      </c>
      <c r="P860" s="147">
        <v>6</v>
      </c>
      <c r="Q860" s="147">
        <v>17</v>
      </c>
      <c r="R860" s="146" t="s">
        <v>190</v>
      </c>
      <c r="S860" s="146" t="s">
        <v>191</v>
      </c>
      <c r="T860" s="147">
        <v>305</v>
      </c>
      <c r="U860" s="146" t="s">
        <v>396</v>
      </c>
      <c r="V860" s="146" t="s">
        <v>397</v>
      </c>
      <c r="W860" s="147">
        <v>1</v>
      </c>
      <c r="X860" s="147">
        <v>2</v>
      </c>
      <c r="Y860" s="146" t="s">
        <v>194</v>
      </c>
      <c r="Z860" s="146" t="s">
        <v>195</v>
      </c>
      <c r="AA860" s="146" t="s">
        <v>196</v>
      </c>
      <c r="AB860" s="146" t="s">
        <v>187</v>
      </c>
      <c r="AC860" s="146" t="s">
        <v>187</v>
      </c>
      <c r="AD860" s="148"/>
      <c r="AE860" s="146" t="s">
        <v>209</v>
      </c>
      <c r="AF860" s="147">
        <v>-10.841659999999999</v>
      </c>
      <c r="AG860" s="149">
        <v>122.98369</v>
      </c>
      <c r="AO860" s="121"/>
      <c r="AT860" s="111"/>
      <c r="AX860" s="121"/>
    </row>
    <row r="861" spans="1:50" s="110" customFormat="1" ht="20" customHeight="1">
      <c r="A861" s="125" t="s">
        <v>185</v>
      </c>
      <c r="B861" s="126" t="s">
        <v>59</v>
      </c>
      <c r="C861" s="127">
        <v>12082</v>
      </c>
      <c r="D861" s="145">
        <v>103753</v>
      </c>
      <c r="E861" s="146" t="s">
        <v>3979</v>
      </c>
      <c r="F861" s="146" t="s">
        <v>3979</v>
      </c>
      <c r="G861" s="147">
        <v>18000</v>
      </c>
      <c r="H861" s="147">
        <v>4</v>
      </c>
      <c r="I861" s="146" t="s">
        <v>209</v>
      </c>
      <c r="J861" s="146" t="s">
        <v>3980</v>
      </c>
      <c r="K861" s="146" t="s">
        <v>3979</v>
      </c>
      <c r="L861" s="147">
        <v>4</v>
      </c>
      <c r="M861" s="147">
        <v>1</v>
      </c>
      <c r="N861" s="146" t="s">
        <v>1544</v>
      </c>
      <c r="O861" s="147">
        <v>55</v>
      </c>
      <c r="P861" s="147">
        <v>5</v>
      </c>
      <c r="Q861" s="147">
        <v>17</v>
      </c>
      <c r="R861" s="146" t="s">
        <v>190</v>
      </c>
      <c r="S861" s="146" t="s">
        <v>191</v>
      </c>
      <c r="T861" s="147">
        <v>305</v>
      </c>
      <c r="U861" s="146" t="s">
        <v>396</v>
      </c>
      <c r="V861" s="146" t="s">
        <v>397</v>
      </c>
      <c r="W861" s="147">
        <v>1</v>
      </c>
      <c r="X861" s="147">
        <v>2</v>
      </c>
      <c r="Y861" s="146" t="s">
        <v>194</v>
      </c>
      <c r="Z861" s="146" t="s">
        <v>195</v>
      </c>
      <c r="AA861" s="146" t="s">
        <v>196</v>
      </c>
      <c r="AB861" s="146" t="s">
        <v>187</v>
      </c>
      <c r="AC861" s="146" t="s">
        <v>187</v>
      </c>
      <c r="AD861" s="148"/>
      <c r="AE861" s="146" t="s">
        <v>209</v>
      </c>
      <c r="AF861" s="147">
        <v>-10.225390000000001</v>
      </c>
      <c r="AG861" s="149">
        <v>123.41414</v>
      </c>
      <c r="AO861" s="121"/>
      <c r="AT861" s="111"/>
      <c r="AX861" s="121"/>
    </row>
    <row r="862" spans="1:50" s="110" customFormat="1" ht="20" customHeight="1">
      <c r="A862" s="125" t="s">
        <v>185</v>
      </c>
      <c r="B862" s="126" t="s">
        <v>59</v>
      </c>
      <c r="C862" s="127">
        <v>19497</v>
      </c>
      <c r="D862" s="145">
        <v>115428</v>
      </c>
      <c r="E862" s="146" t="s">
        <v>3805</v>
      </c>
      <c r="F862" s="146" t="s">
        <v>3805</v>
      </c>
      <c r="G862" s="147">
        <v>13000</v>
      </c>
      <c r="H862" s="147">
        <v>4</v>
      </c>
      <c r="I862" s="146" t="s">
        <v>209</v>
      </c>
      <c r="J862" s="146" t="s">
        <v>3806</v>
      </c>
      <c r="K862" s="146" t="s">
        <v>3807</v>
      </c>
      <c r="L862" s="147">
        <v>4</v>
      </c>
      <c r="M862" s="147">
        <v>1</v>
      </c>
      <c r="N862" s="146" t="s">
        <v>1544</v>
      </c>
      <c r="O862" s="147">
        <v>80</v>
      </c>
      <c r="P862" s="147">
        <v>5</v>
      </c>
      <c r="Q862" s="147">
        <v>17</v>
      </c>
      <c r="R862" s="146" t="s">
        <v>190</v>
      </c>
      <c r="S862" s="146" t="s">
        <v>191</v>
      </c>
      <c r="T862" s="147">
        <v>305</v>
      </c>
      <c r="U862" s="146" t="s">
        <v>396</v>
      </c>
      <c r="V862" s="146" t="s">
        <v>397</v>
      </c>
      <c r="W862" s="147">
        <v>1</v>
      </c>
      <c r="X862" s="147">
        <v>2</v>
      </c>
      <c r="Y862" s="146" t="s">
        <v>194</v>
      </c>
      <c r="Z862" s="146" t="s">
        <v>195</v>
      </c>
      <c r="AA862" s="146" t="s">
        <v>196</v>
      </c>
      <c r="AB862" s="146" t="s">
        <v>187</v>
      </c>
      <c r="AC862" s="146" t="s">
        <v>187</v>
      </c>
      <c r="AD862" s="148"/>
      <c r="AE862" s="146" t="s">
        <v>209</v>
      </c>
      <c r="AF862" s="147">
        <v>-10.56169</v>
      </c>
      <c r="AG862" s="149">
        <v>123.33353</v>
      </c>
      <c r="AO862" s="121"/>
      <c r="AT862" s="111"/>
      <c r="AX862" s="121"/>
    </row>
    <row r="863" spans="1:50" s="110" customFormat="1" ht="20" customHeight="1">
      <c r="A863" s="125" t="s">
        <v>185</v>
      </c>
      <c r="B863" s="126" t="s">
        <v>59</v>
      </c>
      <c r="C863" s="127">
        <v>12614</v>
      </c>
      <c r="D863" s="145">
        <v>104818</v>
      </c>
      <c r="E863" s="146" t="s">
        <v>3659</v>
      </c>
      <c r="F863" s="146" t="s">
        <v>3659</v>
      </c>
      <c r="G863" s="147">
        <v>11000</v>
      </c>
      <c r="H863" s="147">
        <v>4</v>
      </c>
      <c r="I863" s="146" t="s">
        <v>209</v>
      </c>
      <c r="J863" s="146" t="s">
        <v>3660</v>
      </c>
      <c r="K863" s="146" t="s">
        <v>3659</v>
      </c>
      <c r="L863" s="147">
        <v>1</v>
      </c>
      <c r="M863" s="147">
        <v>1</v>
      </c>
      <c r="N863" s="146" t="s">
        <v>1544</v>
      </c>
      <c r="O863" s="147">
        <v>90</v>
      </c>
      <c r="P863" s="147">
        <v>7</v>
      </c>
      <c r="Q863" s="147">
        <v>17</v>
      </c>
      <c r="R863" s="146" t="s">
        <v>190</v>
      </c>
      <c r="S863" s="146" t="s">
        <v>191</v>
      </c>
      <c r="T863" s="147">
        <v>305</v>
      </c>
      <c r="U863" s="146" t="s">
        <v>396</v>
      </c>
      <c r="V863" s="146" t="s">
        <v>397</v>
      </c>
      <c r="W863" s="147">
        <v>2</v>
      </c>
      <c r="X863" s="147">
        <v>2</v>
      </c>
      <c r="Y863" s="146" t="s">
        <v>194</v>
      </c>
      <c r="Z863" s="146" t="s">
        <v>195</v>
      </c>
      <c r="AA863" s="146" t="s">
        <v>196</v>
      </c>
      <c r="AB863" s="146" t="s">
        <v>187</v>
      </c>
      <c r="AC863" s="146" t="s">
        <v>187</v>
      </c>
      <c r="AD863" s="148"/>
      <c r="AE863" s="146" t="s">
        <v>209</v>
      </c>
      <c r="AF863" s="147">
        <v>-9.0445499999999992</v>
      </c>
      <c r="AG863" s="149">
        <v>125.13720000000001</v>
      </c>
      <c r="AO863" s="121"/>
      <c r="AT863" s="111"/>
      <c r="AX863" s="121"/>
    </row>
    <row r="864" spans="1:50" s="110" customFormat="1" ht="20" customHeight="1">
      <c r="A864" s="125" t="s">
        <v>185</v>
      </c>
      <c r="B864" s="126" t="s">
        <v>59</v>
      </c>
      <c r="C864" s="127">
        <v>19499</v>
      </c>
      <c r="D864" s="145">
        <v>115111</v>
      </c>
      <c r="E864" s="146" t="s">
        <v>3553</v>
      </c>
      <c r="F864" s="146" t="s">
        <v>3553</v>
      </c>
      <c r="G864" s="147">
        <v>9000</v>
      </c>
      <c r="H864" s="147">
        <v>4</v>
      </c>
      <c r="I864" s="146" t="s">
        <v>209</v>
      </c>
      <c r="J864" s="146" t="s">
        <v>3554</v>
      </c>
      <c r="K864" s="146" t="s">
        <v>3553</v>
      </c>
      <c r="L864" s="147">
        <v>4</v>
      </c>
      <c r="M864" s="147">
        <v>1</v>
      </c>
      <c r="N864" s="146" t="s">
        <v>1544</v>
      </c>
      <c r="O864" s="147">
        <v>85</v>
      </c>
      <c r="P864" s="147">
        <v>3</v>
      </c>
      <c r="Q864" s="147">
        <v>17</v>
      </c>
      <c r="R864" s="146" t="s">
        <v>190</v>
      </c>
      <c r="S864" s="146" t="s">
        <v>191</v>
      </c>
      <c r="T864" s="147">
        <v>305</v>
      </c>
      <c r="U864" s="146" t="s">
        <v>396</v>
      </c>
      <c r="V864" s="146" t="s">
        <v>397</v>
      </c>
      <c r="W864" s="147">
        <v>1</v>
      </c>
      <c r="X864" s="147">
        <v>2</v>
      </c>
      <c r="Y864" s="146" t="s">
        <v>194</v>
      </c>
      <c r="Z864" s="146" t="s">
        <v>195</v>
      </c>
      <c r="AA864" s="146" t="s">
        <v>196</v>
      </c>
      <c r="AB864" s="146" t="s">
        <v>187</v>
      </c>
      <c r="AC864" s="146" t="s">
        <v>187</v>
      </c>
      <c r="AD864" s="148"/>
      <c r="AE864" s="146" t="s">
        <v>209</v>
      </c>
      <c r="AF864" s="147">
        <v>-10.619669999999999</v>
      </c>
      <c r="AG864" s="149">
        <v>123.30285000000001</v>
      </c>
      <c r="AO864" s="121"/>
      <c r="AT864" s="111"/>
      <c r="AX864" s="121"/>
    </row>
    <row r="865" spans="1:50" s="110" customFormat="1" ht="20" customHeight="1">
      <c r="A865" s="125" t="s">
        <v>185</v>
      </c>
      <c r="B865" s="126" t="s">
        <v>59</v>
      </c>
      <c r="C865" s="127">
        <v>19536</v>
      </c>
      <c r="D865" s="145">
        <v>115075</v>
      </c>
      <c r="E865" s="146" t="s">
        <v>3541</v>
      </c>
      <c r="F865" s="146" t="s">
        <v>3541</v>
      </c>
      <c r="G865" s="147">
        <v>8900</v>
      </c>
      <c r="H865" s="147">
        <v>4</v>
      </c>
      <c r="I865" s="146" t="s">
        <v>209</v>
      </c>
      <c r="J865" s="146" t="s">
        <v>3542</v>
      </c>
      <c r="K865" s="146" t="s">
        <v>3541</v>
      </c>
      <c r="L865" s="147">
        <v>4</v>
      </c>
      <c r="M865" s="147">
        <v>1</v>
      </c>
      <c r="N865" s="146" t="s">
        <v>1544</v>
      </c>
      <c r="O865" s="147">
        <v>55</v>
      </c>
      <c r="P865" s="147">
        <v>4</v>
      </c>
      <c r="Q865" s="147">
        <v>17</v>
      </c>
      <c r="R865" s="146" t="s">
        <v>190</v>
      </c>
      <c r="S865" s="146" t="s">
        <v>191</v>
      </c>
      <c r="T865" s="147">
        <v>305</v>
      </c>
      <c r="U865" s="146" t="s">
        <v>396</v>
      </c>
      <c r="V865" s="146" t="s">
        <v>397</v>
      </c>
      <c r="W865" s="147">
        <v>1</v>
      </c>
      <c r="X865" s="147">
        <v>2</v>
      </c>
      <c r="Y865" s="146" t="s">
        <v>194</v>
      </c>
      <c r="Z865" s="146" t="s">
        <v>195</v>
      </c>
      <c r="AA865" s="146" t="s">
        <v>196</v>
      </c>
      <c r="AB865" s="146" t="s">
        <v>187</v>
      </c>
      <c r="AC865" s="146" t="s">
        <v>187</v>
      </c>
      <c r="AD865" s="148"/>
      <c r="AE865" s="146" t="s">
        <v>209</v>
      </c>
      <c r="AF865" s="147">
        <v>-10.85346</v>
      </c>
      <c r="AG865" s="149">
        <v>122.84359000000001</v>
      </c>
      <c r="AO865" s="121"/>
      <c r="AT865" s="111"/>
      <c r="AX865" s="121"/>
    </row>
    <row r="866" spans="1:50" s="110" customFormat="1" ht="20" customHeight="1">
      <c r="A866" s="125" t="s">
        <v>185</v>
      </c>
      <c r="B866" s="126" t="s">
        <v>59</v>
      </c>
      <c r="C866" s="127">
        <v>13272</v>
      </c>
      <c r="D866" s="145">
        <v>107151</v>
      </c>
      <c r="E866" s="146" t="s">
        <v>3344</v>
      </c>
      <c r="F866" s="146" t="s">
        <v>3344</v>
      </c>
      <c r="G866" s="147">
        <v>6300</v>
      </c>
      <c r="H866" s="147">
        <v>4</v>
      </c>
      <c r="I866" s="146" t="s">
        <v>209</v>
      </c>
      <c r="J866" s="146" t="s">
        <v>3345</v>
      </c>
      <c r="K866" s="146" t="s">
        <v>3346</v>
      </c>
      <c r="L866" s="147">
        <v>4</v>
      </c>
      <c r="M866" s="147">
        <v>1</v>
      </c>
      <c r="N866" s="146" t="s">
        <v>1544</v>
      </c>
      <c r="O866" s="147">
        <v>90</v>
      </c>
      <c r="P866" s="147">
        <v>7</v>
      </c>
      <c r="Q866" s="147">
        <v>17</v>
      </c>
      <c r="R866" s="146" t="s">
        <v>190</v>
      </c>
      <c r="S866" s="146" t="s">
        <v>191</v>
      </c>
      <c r="T866" s="147">
        <v>305</v>
      </c>
      <c r="U866" s="146" t="s">
        <v>396</v>
      </c>
      <c r="V866" s="146" t="s">
        <v>397</v>
      </c>
      <c r="W866" s="147">
        <v>1</v>
      </c>
      <c r="X866" s="147">
        <v>2</v>
      </c>
      <c r="Y866" s="146" t="s">
        <v>194</v>
      </c>
      <c r="Z866" s="146" t="s">
        <v>195</v>
      </c>
      <c r="AA866" s="146" t="s">
        <v>196</v>
      </c>
      <c r="AB866" s="146" t="s">
        <v>187</v>
      </c>
      <c r="AC866" s="146" t="s">
        <v>187</v>
      </c>
      <c r="AD866" s="148"/>
      <c r="AE866" s="146" t="s">
        <v>209</v>
      </c>
      <c r="AF866" s="147">
        <v>-10.81589</v>
      </c>
      <c r="AG866" s="149">
        <v>122.65779000000001</v>
      </c>
      <c r="AO866" s="121"/>
      <c r="AT866" s="111"/>
      <c r="AX866" s="121"/>
    </row>
    <row r="867" spans="1:50" s="110" customFormat="1" ht="20" customHeight="1">
      <c r="A867" s="125" t="s">
        <v>185</v>
      </c>
      <c r="B867" s="126" t="s">
        <v>59</v>
      </c>
      <c r="C867" s="127">
        <v>21838</v>
      </c>
      <c r="D867" s="150"/>
      <c r="E867" s="146" t="s">
        <v>2523</v>
      </c>
      <c r="F867" s="146" t="s">
        <v>2523</v>
      </c>
      <c r="G867" s="147">
        <v>1500</v>
      </c>
      <c r="H867" s="147">
        <v>4</v>
      </c>
      <c r="I867" s="146" t="s">
        <v>209</v>
      </c>
      <c r="J867" s="146" t="s">
        <v>2524</v>
      </c>
      <c r="K867" s="146" t="s">
        <v>2523</v>
      </c>
      <c r="L867" s="147">
        <v>0</v>
      </c>
      <c r="M867" s="147">
        <v>1</v>
      </c>
      <c r="N867" s="146" t="s">
        <v>1544</v>
      </c>
      <c r="O867" s="147">
        <v>60</v>
      </c>
      <c r="P867" s="147">
        <v>5</v>
      </c>
      <c r="Q867" s="147">
        <v>17</v>
      </c>
      <c r="R867" s="146" t="s">
        <v>190</v>
      </c>
      <c r="S867" s="146" t="s">
        <v>191</v>
      </c>
      <c r="T867" s="147">
        <v>305</v>
      </c>
      <c r="U867" s="146" t="s">
        <v>396</v>
      </c>
      <c r="V867" s="146" t="s">
        <v>397</v>
      </c>
      <c r="W867" s="147">
        <v>2</v>
      </c>
      <c r="X867" s="147">
        <v>2</v>
      </c>
      <c r="Y867" s="146" t="s">
        <v>194</v>
      </c>
      <c r="Z867" s="146" t="s">
        <v>195</v>
      </c>
      <c r="AA867" s="146" t="s">
        <v>196</v>
      </c>
      <c r="AB867" s="146" t="s">
        <v>187</v>
      </c>
      <c r="AC867" s="146" t="s">
        <v>209</v>
      </c>
      <c r="AD867" s="148"/>
      <c r="AE867" s="146" t="s">
        <v>209</v>
      </c>
      <c r="AF867" s="147">
        <v>25.24</v>
      </c>
      <c r="AG867" s="149">
        <v>110.19</v>
      </c>
      <c r="AO867" s="121"/>
      <c r="AT867" s="111"/>
      <c r="AX867" s="121"/>
    </row>
    <row r="868" spans="1:50" s="110" customFormat="1" ht="20" customHeight="1">
      <c r="A868" s="125" t="s">
        <v>185</v>
      </c>
      <c r="B868" s="126" t="s">
        <v>59</v>
      </c>
      <c r="C868" s="127">
        <v>15493</v>
      </c>
      <c r="D868" s="128">
        <v>110066</v>
      </c>
      <c r="E868" s="129" t="s">
        <v>4841</v>
      </c>
      <c r="F868" s="129" t="s">
        <v>4842</v>
      </c>
      <c r="G868" s="130">
        <v>805000</v>
      </c>
      <c r="H868" s="130">
        <v>5</v>
      </c>
      <c r="I868" s="129" t="s">
        <v>209</v>
      </c>
      <c r="J868" s="129" t="s">
        <v>4843</v>
      </c>
      <c r="K868" s="129" t="s">
        <v>4844</v>
      </c>
      <c r="L868" s="130">
        <v>5</v>
      </c>
      <c r="M868" s="130">
        <v>1</v>
      </c>
      <c r="N868" s="129" t="s">
        <v>1544</v>
      </c>
      <c r="O868" s="130">
        <v>95</v>
      </c>
      <c r="P868" s="130">
        <v>15</v>
      </c>
      <c r="Q868" s="130">
        <v>17</v>
      </c>
      <c r="R868" s="129" t="s">
        <v>190</v>
      </c>
      <c r="S868" s="129" t="s">
        <v>191</v>
      </c>
      <c r="T868" s="130">
        <v>305</v>
      </c>
      <c r="U868" s="129" t="s">
        <v>396</v>
      </c>
      <c r="V868" s="129" t="s">
        <v>397</v>
      </c>
      <c r="W868" s="130">
        <v>2</v>
      </c>
      <c r="X868" s="130">
        <v>2</v>
      </c>
      <c r="Y868" s="129" t="s">
        <v>194</v>
      </c>
      <c r="Z868" s="129" t="s">
        <v>195</v>
      </c>
      <c r="AA868" s="129" t="s">
        <v>196</v>
      </c>
      <c r="AB868" s="129" t="s">
        <v>187</v>
      </c>
      <c r="AC868" s="129" t="s">
        <v>187</v>
      </c>
      <c r="AD868" s="131"/>
      <c r="AE868" s="129" t="s">
        <v>209</v>
      </c>
      <c r="AF868" s="130">
        <v>-9.7223900000000008</v>
      </c>
      <c r="AG868" s="132">
        <v>124.23008</v>
      </c>
      <c r="AO868" s="121"/>
      <c r="AT868" s="111"/>
      <c r="AX868" s="121"/>
    </row>
    <row r="869" spans="1:50" s="110" customFormat="1" ht="20" customHeight="1">
      <c r="A869" s="125" t="s">
        <v>185</v>
      </c>
      <c r="B869" s="126" t="s">
        <v>59</v>
      </c>
      <c r="C869" s="127">
        <v>15450</v>
      </c>
      <c r="D869" s="128">
        <v>109979</v>
      </c>
      <c r="E869" s="129" t="s">
        <v>4522</v>
      </c>
      <c r="F869" s="129" t="s">
        <v>4522</v>
      </c>
      <c r="G869" s="130">
        <v>447000</v>
      </c>
      <c r="H869" s="130">
        <v>5</v>
      </c>
      <c r="I869" s="129" t="s">
        <v>209</v>
      </c>
      <c r="J869" s="129" t="s">
        <v>4523</v>
      </c>
      <c r="K869" s="129" t="s">
        <v>4522</v>
      </c>
      <c r="L869" s="130">
        <v>4</v>
      </c>
      <c r="M869" s="130">
        <v>1</v>
      </c>
      <c r="N869" s="129" t="s">
        <v>1544</v>
      </c>
      <c r="O869" s="130">
        <v>96</v>
      </c>
      <c r="P869" s="130">
        <v>12</v>
      </c>
      <c r="Q869" s="130">
        <v>17</v>
      </c>
      <c r="R869" s="129" t="s">
        <v>190</v>
      </c>
      <c r="S869" s="129" t="s">
        <v>191</v>
      </c>
      <c r="T869" s="130">
        <v>305</v>
      </c>
      <c r="U869" s="129" t="s">
        <v>396</v>
      </c>
      <c r="V869" s="129" t="s">
        <v>397</v>
      </c>
      <c r="W869" s="130">
        <v>2</v>
      </c>
      <c r="X869" s="130">
        <v>2</v>
      </c>
      <c r="Y869" s="129" t="s">
        <v>194</v>
      </c>
      <c r="Z869" s="129" t="s">
        <v>195</v>
      </c>
      <c r="AA869" s="129" t="s">
        <v>196</v>
      </c>
      <c r="AB869" s="129" t="s">
        <v>187</v>
      </c>
      <c r="AC869" s="129" t="s">
        <v>187</v>
      </c>
      <c r="AD869" s="131"/>
      <c r="AE869" s="129" t="s">
        <v>209</v>
      </c>
      <c r="AF869" s="130">
        <v>-9.3575499999999998</v>
      </c>
      <c r="AG869" s="132">
        <v>124.91906</v>
      </c>
      <c r="AO869" s="121"/>
      <c r="AT869" s="111"/>
      <c r="AX869" s="121"/>
    </row>
    <row r="870" spans="1:50" s="110" customFormat="1" ht="20" customHeight="1">
      <c r="A870" s="125" t="s">
        <v>1549</v>
      </c>
      <c r="B870" s="126" t="s">
        <v>62</v>
      </c>
      <c r="C870" s="127">
        <v>19523</v>
      </c>
      <c r="D870" s="151">
        <v>115041</v>
      </c>
      <c r="E870" s="152" t="s">
        <v>4545</v>
      </c>
      <c r="F870" s="152" t="s">
        <v>4545</v>
      </c>
      <c r="G870" s="153">
        <v>81000</v>
      </c>
      <c r="H870" s="153">
        <v>3</v>
      </c>
      <c r="I870" s="152" t="s">
        <v>209</v>
      </c>
      <c r="J870" s="152" t="s">
        <v>4546</v>
      </c>
      <c r="K870" s="152" t="s">
        <v>4545</v>
      </c>
      <c r="L870" s="153">
        <v>3</v>
      </c>
      <c r="M870" s="153">
        <v>1</v>
      </c>
      <c r="N870" s="152" t="s">
        <v>1544</v>
      </c>
      <c r="O870" s="153">
        <v>98</v>
      </c>
      <c r="P870" s="153">
        <v>2</v>
      </c>
      <c r="Q870" s="153">
        <v>17</v>
      </c>
      <c r="R870" s="152" t="s">
        <v>190</v>
      </c>
      <c r="S870" s="152" t="s">
        <v>191</v>
      </c>
      <c r="T870" s="153">
        <v>305</v>
      </c>
      <c r="U870" s="152" t="s">
        <v>396</v>
      </c>
      <c r="V870" s="152" t="s">
        <v>397</v>
      </c>
      <c r="W870" s="153">
        <v>1</v>
      </c>
      <c r="X870" s="153">
        <v>2</v>
      </c>
      <c r="Y870" s="152" t="s">
        <v>194</v>
      </c>
      <c r="Z870" s="152" t="s">
        <v>195</v>
      </c>
      <c r="AA870" s="152" t="s">
        <v>196</v>
      </c>
      <c r="AB870" s="152" t="s">
        <v>187</v>
      </c>
      <c r="AC870" s="152" t="s">
        <v>187</v>
      </c>
      <c r="AD870" s="154"/>
      <c r="AE870" s="152" t="s">
        <v>209</v>
      </c>
      <c r="AF870" s="153">
        <v>-9.3263800000000003</v>
      </c>
      <c r="AG870" s="155">
        <v>125.29338</v>
      </c>
      <c r="AO870" s="121"/>
      <c r="AT870" s="111"/>
      <c r="AX870" s="121"/>
    </row>
    <row r="871" spans="1:50" s="110" customFormat="1" ht="20" customHeight="1">
      <c r="A871" s="125" t="s">
        <v>1549</v>
      </c>
      <c r="B871" s="126" t="s">
        <v>62</v>
      </c>
      <c r="C871" s="127">
        <v>12614</v>
      </c>
      <c r="D871" s="151">
        <v>104818</v>
      </c>
      <c r="E871" s="152" t="s">
        <v>3659</v>
      </c>
      <c r="F871" s="152" t="s">
        <v>3659</v>
      </c>
      <c r="G871" s="153">
        <v>72000</v>
      </c>
      <c r="H871" s="153">
        <v>3</v>
      </c>
      <c r="I871" s="152" t="s">
        <v>209</v>
      </c>
      <c r="J871" s="152" t="s">
        <v>3660</v>
      </c>
      <c r="K871" s="152" t="s">
        <v>3659</v>
      </c>
      <c r="L871" s="153">
        <v>1</v>
      </c>
      <c r="M871" s="153">
        <v>1</v>
      </c>
      <c r="N871" s="152" t="s">
        <v>1544</v>
      </c>
      <c r="O871" s="153">
        <v>94</v>
      </c>
      <c r="P871" s="153">
        <v>1.5</v>
      </c>
      <c r="Q871" s="153">
        <v>17</v>
      </c>
      <c r="R871" s="152" t="s">
        <v>190</v>
      </c>
      <c r="S871" s="152" t="s">
        <v>191</v>
      </c>
      <c r="T871" s="153">
        <v>305</v>
      </c>
      <c r="U871" s="152" t="s">
        <v>396</v>
      </c>
      <c r="V871" s="152" t="s">
        <v>397</v>
      </c>
      <c r="W871" s="153">
        <v>2</v>
      </c>
      <c r="X871" s="153">
        <v>2</v>
      </c>
      <c r="Y871" s="152" t="s">
        <v>194</v>
      </c>
      <c r="Z871" s="152" t="s">
        <v>195</v>
      </c>
      <c r="AA871" s="152" t="s">
        <v>196</v>
      </c>
      <c r="AB871" s="152" t="s">
        <v>187</v>
      </c>
      <c r="AC871" s="152" t="s">
        <v>187</v>
      </c>
      <c r="AD871" s="154"/>
      <c r="AE871" s="152" t="s">
        <v>209</v>
      </c>
      <c r="AF871" s="153">
        <v>-8.9236699999999995</v>
      </c>
      <c r="AG871" s="155">
        <v>125.18594</v>
      </c>
      <c r="AO871" s="121"/>
      <c r="AT871" s="111"/>
      <c r="AX871" s="121"/>
    </row>
    <row r="872" spans="1:50" s="110" customFormat="1" ht="20" customHeight="1">
      <c r="A872" s="125" t="s">
        <v>1549</v>
      </c>
      <c r="B872" s="126" t="s">
        <v>62</v>
      </c>
      <c r="C872" s="127">
        <v>15536</v>
      </c>
      <c r="D872" s="151">
        <v>110133</v>
      </c>
      <c r="E872" s="152" t="s">
        <v>4398</v>
      </c>
      <c r="F872" s="152" t="s">
        <v>4398</v>
      </c>
      <c r="G872" s="153">
        <v>46000</v>
      </c>
      <c r="H872" s="153">
        <v>3</v>
      </c>
      <c r="I872" s="152" t="s">
        <v>209</v>
      </c>
      <c r="J872" s="152" t="s">
        <v>4399</v>
      </c>
      <c r="K872" s="152" t="s">
        <v>4400</v>
      </c>
      <c r="L872" s="153">
        <v>1</v>
      </c>
      <c r="M872" s="153">
        <v>1</v>
      </c>
      <c r="N872" s="152" t="s">
        <v>1544</v>
      </c>
      <c r="O872" s="153">
        <v>94</v>
      </c>
      <c r="P872" s="153">
        <v>2</v>
      </c>
      <c r="Q872" s="153">
        <v>17</v>
      </c>
      <c r="R872" s="152" t="s">
        <v>190</v>
      </c>
      <c r="S872" s="152" t="s">
        <v>191</v>
      </c>
      <c r="T872" s="153">
        <v>305</v>
      </c>
      <c r="U872" s="152" t="s">
        <v>396</v>
      </c>
      <c r="V872" s="152" t="s">
        <v>397</v>
      </c>
      <c r="W872" s="153">
        <v>1</v>
      </c>
      <c r="X872" s="153">
        <v>2</v>
      </c>
      <c r="Y872" s="152" t="s">
        <v>194</v>
      </c>
      <c r="Z872" s="152" t="s">
        <v>195</v>
      </c>
      <c r="AA872" s="152" t="s">
        <v>196</v>
      </c>
      <c r="AB872" s="152" t="s">
        <v>187</v>
      </c>
      <c r="AC872" s="152" t="s">
        <v>187</v>
      </c>
      <c r="AD872" s="154"/>
      <c r="AE872" s="152" t="s">
        <v>209</v>
      </c>
      <c r="AF872" s="153">
        <v>-8.6722999999999999</v>
      </c>
      <c r="AG872" s="155">
        <v>125.28134</v>
      </c>
      <c r="AO872" s="121"/>
      <c r="AT872" s="111"/>
      <c r="AX872" s="121"/>
    </row>
    <row r="873" spans="1:50" s="110" customFormat="1" ht="20" customHeight="1">
      <c r="A873" s="125" t="s">
        <v>1549</v>
      </c>
      <c r="B873" s="126" t="s">
        <v>62</v>
      </c>
      <c r="C873" s="127">
        <v>11469</v>
      </c>
      <c r="D873" s="151">
        <v>102370</v>
      </c>
      <c r="E873" s="152" t="s">
        <v>4378</v>
      </c>
      <c r="F873" s="152" t="s">
        <v>4378</v>
      </c>
      <c r="G873" s="153">
        <v>43000</v>
      </c>
      <c r="H873" s="153">
        <v>3</v>
      </c>
      <c r="I873" s="152" t="s">
        <v>209</v>
      </c>
      <c r="J873" s="152" t="s">
        <v>1551</v>
      </c>
      <c r="K873" s="152" t="s">
        <v>1552</v>
      </c>
      <c r="L873" s="153">
        <v>3</v>
      </c>
      <c r="M873" s="153">
        <v>1</v>
      </c>
      <c r="N873" s="152" t="s">
        <v>1544</v>
      </c>
      <c r="O873" s="153">
        <v>88</v>
      </c>
      <c r="P873" s="153">
        <v>2</v>
      </c>
      <c r="Q873" s="153">
        <v>17</v>
      </c>
      <c r="R873" s="152" t="s">
        <v>190</v>
      </c>
      <c r="S873" s="152" t="s">
        <v>191</v>
      </c>
      <c r="T873" s="153">
        <v>305</v>
      </c>
      <c r="U873" s="152" t="s">
        <v>396</v>
      </c>
      <c r="V873" s="152" t="s">
        <v>397</v>
      </c>
      <c r="W873" s="153">
        <v>1</v>
      </c>
      <c r="X873" s="153">
        <v>2</v>
      </c>
      <c r="Y873" s="152" t="s">
        <v>194</v>
      </c>
      <c r="Z873" s="152" t="s">
        <v>195</v>
      </c>
      <c r="AA873" s="152" t="s">
        <v>196</v>
      </c>
      <c r="AB873" s="152" t="s">
        <v>187</v>
      </c>
      <c r="AC873" s="152" t="s">
        <v>187</v>
      </c>
      <c r="AD873" s="154"/>
      <c r="AE873" s="152" t="s">
        <v>209</v>
      </c>
      <c r="AF873" s="153">
        <v>-8.4876799999999992</v>
      </c>
      <c r="AG873" s="155">
        <v>127.04468</v>
      </c>
      <c r="AO873" s="121"/>
      <c r="AT873" s="111"/>
      <c r="AX873" s="121"/>
    </row>
    <row r="874" spans="1:50" s="110" customFormat="1" ht="20" customHeight="1">
      <c r="A874" s="125" t="s">
        <v>1549</v>
      </c>
      <c r="B874" s="126" t="s">
        <v>62</v>
      </c>
      <c r="C874" s="127">
        <v>15825</v>
      </c>
      <c r="D874" s="151">
        <v>110628</v>
      </c>
      <c r="E874" s="152" t="s">
        <v>4032</v>
      </c>
      <c r="F874" s="152" t="s">
        <v>4032</v>
      </c>
      <c r="G874" s="153">
        <v>20000</v>
      </c>
      <c r="H874" s="153">
        <v>3</v>
      </c>
      <c r="I874" s="152" t="s">
        <v>209</v>
      </c>
      <c r="J874" s="152" t="s">
        <v>4033</v>
      </c>
      <c r="K874" s="152" t="s">
        <v>4032</v>
      </c>
      <c r="L874" s="153">
        <v>1</v>
      </c>
      <c r="M874" s="153">
        <v>1</v>
      </c>
      <c r="N874" s="152" t="s">
        <v>1544</v>
      </c>
      <c r="O874" s="153">
        <v>89</v>
      </c>
      <c r="P874" s="153">
        <v>1.5</v>
      </c>
      <c r="Q874" s="153">
        <v>17</v>
      </c>
      <c r="R874" s="152" t="s">
        <v>190</v>
      </c>
      <c r="S874" s="152" t="s">
        <v>191</v>
      </c>
      <c r="T874" s="153">
        <v>305</v>
      </c>
      <c r="U874" s="152" t="s">
        <v>396</v>
      </c>
      <c r="V874" s="152" t="s">
        <v>397</v>
      </c>
      <c r="W874" s="153">
        <v>1</v>
      </c>
      <c r="X874" s="153">
        <v>2</v>
      </c>
      <c r="Y874" s="152" t="s">
        <v>194</v>
      </c>
      <c r="Z874" s="152" t="s">
        <v>195</v>
      </c>
      <c r="AA874" s="152" t="s">
        <v>196</v>
      </c>
      <c r="AB874" s="152" t="s">
        <v>187</v>
      </c>
      <c r="AC874" s="152" t="s">
        <v>187</v>
      </c>
      <c r="AD874" s="154"/>
      <c r="AE874" s="152" t="s">
        <v>209</v>
      </c>
      <c r="AF874" s="153">
        <v>-8.5311299999999992</v>
      </c>
      <c r="AG874" s="155">
        <v>126.31516000000001</v>
      </c>
      <c r="AO874" s="121"/>
      <c r="AT874" s="111"/>
      <c r="AX874" s="121"/>
    </row>
    <row r="875" spans="1:50" s="110" customFormat="1" ht="20" customHeight="1">
      <c r="A875" s="125" t="s">
        <v>1549</v>
      </c>
      <c r="B875" s="126" t="s">
        <v>62</v>
      </c>
      <c r="C875" s="127">
        <v>12430</v>
      </c>
      <c r="D875" s="151">
        <v>104430</v>
      </c>
      <c r="E875" s="152" t="s">
        <v>3939</v>
      </c>
      <c r="F875" s="152" t="s">
        <v>3939</v>
      </c>
      <c r="G875" s="153">
        <v>17000</v>
      </c>
      <c r="H875" s="153">
        <v>3</v>
      </c>
      <c r="I875" s="152" t="s">
        <v>209</v>
      </c>
      <c r="J875" s="152" t="s">
        <v>3940</v>
      </c>
      <c r="K875" s="152" t="s">
        <v>3941</v>
      </c>
      <c r="L875" s="153">
        <v>1</v>
      </c>
      <c r="M875" s="153">
        <v>1</v>
      </c>
      <c r="N875" s="152" t="s">
        <v>1544</v>
      </c>
      <c r="O875" s="153">
        <v>92</v>
      </c>
      <c r="P875" s="153">
        <v>2</v>
      </c>
      <c r="Q875" s="153">
        <v>17</v>
      </c>
      <c r="R875" s="152" t="s">
        <v>190</v>
      </c>
      <c r="S875" s="152" t="s">
        <v>191</v>
      </c>
      <c r="T875" s="153">
        <v>305</v>
      </c>
      <c r="U875" s="152" t="s">
        <v>396</v>
      </c>
      <c r="V875" s="152" t="s">
        <v>397</v>
      </c>
      <c r="W875" s="153">
        <v>1</v>
      </c>
      <c r="X875" s="153">
        <v>2</v>
      </c>
      <c r="Y875" s="152" t="s">
        <v>194</v>
      </c>
      <c r="Z875" s="152" t="s">
        <v>195</v>
      </c>
      <c r="AA875" s="152" t="s">
        <v>196</v>
      </c>
      <c r="AB875" s="152" t="s">
        <v>187</v>
      </c>
      <c r="AC875" s="152" t="s">
        <v>187</v>
      </c>
      <c r="AD875" s="154"/>
      <c r="AE875" s="152" t="s">
        <v>209</v>
      </c>
      <c r="AF875" s="153">
        <v>-8.7439</v>
      </c>
      <c r="AG875" s="155">
        <v>126.05798</v>
      </c>
      <c r="AO875" s="121"/>
      <c r="AT875" s="111"/>
      <c r="AX875" s="121"/>
    </row>
    <row r="876" spans="1:50" s="110" customFormat="1" ht="20" customHeight="1">
      <c r="A876" s="125" t="s">
        <v>1549</v>
      </c>
      <c r="B876" s="126" t="s">
        <v>62</v>
      </c>
      <c r="C876" s="127">
        <v>13254</v>
      </c>
      <c r="D876" s="151">
        <v>107121</v>
      </c>
      <c r="E876" s="152" t="s">
        <v>3942</v>
      </c>
      <c r="F876" s="152" t="s">
        <v>3942</v>
      </c>
      <c r="G876" s="153">
        <v>17000</v>
      </c>
      <c r="H876" s="153">
        <v>3</v>
      </c>
      <c r="I876" s="152" t="s">
        <v>209</v>
      </c>
      <c r="J876" s="152" t="s">
        <v>3943</v>
      </c>
      <c r="K876" s="152" t="s">
        <v>3944</v>
      </c>
      <c r="L876" s="153">
        <v>1</v>
      </c>
      <c r="M876" s="153">
        <v>1</v>
      </c>
      <c r="N876" s="152" t="s">
        <v>1544</v>
      </c>
      <c r="O876" s="153">
        <v>77</v>
      </c>
      <c r="P876" s="153">
        <v>2</v>
      </c>
      <c r="Q876" s="153">
        <v>17</v>
      </c>
      <c r="R876" s="152" t="s">
        <v>190</v>
      </c>
      <c r="S876" s="152" t="s">
        <v>191</v>
      </c>
      <c r="T876" s="153">
        <v>305</v>
      </c>
      <c r="U876" s="152" t="s">
        <v>396</v>
      </c>
      <c r="V876" s="152" t="s">
        <v>397</v>
      </c>
      <c r="W876" s="153">
        <v>1</v>
      </c>
      <c r="X876" s="153">
        <v>2</v>
      </c>
      <c r="Y876" s="152" t="s">
        <v>194</v>
      </c>
      <c r="Z876" s="152" t="s">
        <v>195</v>
      </c>
      <c r="AA876" s="152" t="s">
        <v>196</v>
      </c>
      <c r="AB876" s="152" t="s">
        <v>187</v>
      </c>
      <c r="AC876" s="152" t="s">
        <v>187</v>
      </c>
      <c r="AD876" s="154"/>
      <c r="AE876" s="152" t="s">
        <v>209</v>
      </c>
      <c r="AF876" s="153">
        <v>-8.7098099999999992</v>
      </c>
      <c r="AG876" s="155">
        <v>126.72825</v>
      </c>
      <c r="AO876" s="121"/>
      <c r="AT876" s="111"/>
      <c r="AX876" s="121"/>
    </row>
    <row r="877" spans="1:50" s="110" customFormat="1" ht="20" customHeight="1">
      <c r="A877" s="125" t="s">
        <v>1549</v>
      </c>
      <c r="B877" s="126" t="s">
        <v>62</v>
      </c>
      <c r="C877" s="127">
        <v>12179</v>
      </c>
      <c r="D877" s="151">
        <v>103949</v>
      </c>
      <c r="E877" s="152" t="s">
        <v>3913</v>
      </c>
      <c r="F877" s="152" t="s">
        <v>3913</v>
      </c>
      <c r="G877" s="153">
        <v>16000</v>
      </c>
      <c r="H877" s="153">
        <v>3</v>
      </c>
      <c r="I877" s="152" t="s">
        <v>209</v>
      </c>
      <c r="J877" s="152" t="s">
        <v>3914</v>
      </c>
      <c r="K877" s="152" t="s">
        <v>3913</v>
      </c>
      <c r="L877" s="153">
        <v>1</v>
      </c>
      <c r="M877" s="153">
        <v>1</v>
      </c>
      <c r="N877" s="152" t="s">
        <v>1544</v>
      </c>
      <c r="O877" s="153">
        <v>58</v>
      </c>
      <c r="P877" s="153">
        <v>0.8</v>
      </c>
      <c r="Q877" s="153">
        <v>17</v>
      </c>
      <c r="R877" s="152" t="s">
        <v>190</v>
      </c>
      <c r="S877" s="152" t="s">
        <v>191</v>
      </c>
      <c r="T877" s="153">
        <v>305</v>
      </c>
      <c r="U877" s="152" t="s">
        <v>396</v>
      </c>
      <c r="V877" s="152" t="s">
        <v>397</v>
      </c>
      <c r="W877" s="153">
        <v>1</v>
      </c>
      <c r="X877" s="153">
        <v>2</v>
      </c>
      <c r="Y877" s="152" t="s">
        <v>194</v>
      </c>
      <c r="Z877" s="152" t="s">
        <v>195</v>
      </c>
      <c r="AA877" s="152" t="s">
        <v>196</v>
      </c>
      <c r="AB877" s="152" t="s">
        <v>187</v>
      </c>
      <c r="AC877" s="152" t="s">
        <v>187</v>
      </c>
      <c r="AD877" s="154"/>
      <c r="AE877" s="152" t="s">
        <v>209</v>
      </c>
      <c r="AF877" s="153">
        <v>-8.7607499999999998</v>
      </c>
      <c r="AG877" s="155">
        <v>125.83817999999999</v>
      </c>
      <c r="AO877" s="121"/>
      <c r="AT877" s="111"/>
      <c r="AX877" s="121"/>
    </row>
    <row r="878" spans="1:50" s="110" customFormat="1" ht="20" customHeight="1">
      <c r="A878" s="125" t="s">
        <v>1549</v>
      </c>
      <c r="B878" s="126" t="s">
        <v>62</v>
      </c>
      <c r="C878" s="127">
        <v>12954</v>
      </c>
      <c r="D878" s="151">
        <v>105587</v>
      </c>
      <c r="E878" s="152" t="s">
        <v>3009</v>
      </c>
      <c r="F878" s="152" t="s">
        <v>3009</v>
      </c>
      <c r="G878" s="153">
        <v>3800</v>
      </c>
      <c r="H878" s="153">
        <v>3</v>
      </c>
      <c r="I878" s="152" t="s">
        <v>209</v>
      </c>
      <c r="J878" s="152" t="s">
        <v>3010</v>
      </c>
      <c r="K878" s="152" t="s">
        <v>3009</v>
      </c>
      <c r="L878" s="153">
        <v>1</v>
      </c>
      <c r="M878" s="153">
        <v>1</v>
      </c>
      <c r="N878" s="152" t="s">
        <v>1544</v>
      </c>
      <c r="O878" s="153">
        <v>83</v>
      </c>
      <c r="P878" s="153">
        <v>1</v>
      </c>
      <c r="Q878" s="153">
        <v>17</v>
      </c>
      <c r="R878" s="152" t="s">
        <v>190</v>
      </c>
      <c r="S878" s="152" t="s">
        <v>191</v>
      </c>
      <c r="T878" s="153">
        <v>305</v>
      </c>
      <c r="U878" s="152" t="s">
        <v>396</v>
      </c>
      <c r="V878" s="152" t="s">
        <v>397</v>
      </c>
      <c r="W878" s="153">
        <v>1</v>
      </c>
      <c r="X878" s="153">
        <v>2</v>
      </c>
      <c r="Y878" s="152" t="s">
        <v>194</v>
      </c>
      <c r="Z878" s="152" t="s">
        <v>195</v>
      </c>
      <c r="AA878" s="152" t="s">
        <v>196</v>
      </c>
      <c r="AB878" s="152" t="s">
        <v>187</v>
      </c>
      <c r="AC878" s="152" t="s">
        <v>187</v>
      </c>
      <c r="AD878" s="154"/>
      <c r="AE878" s="152" t="s">
        <v>209</v>
      </c>
      <c r="AF878" s="153">
        <v>-8.8556399999999993</v>
      </c>
      <c r="AG878" s="155">
        <v>125.72547</v>
      </c>
      <c r="AO878" s="121"/>
      <c r="AT878" s="111"/>
      <c r="AX878" s="121"/>
    </row>
    <row r="879" spans="1:50" s="110" customFormat="1" ht="20" customHeight="1">
      <c r="A879" s="125" t="s">
        <v>1549</v>
      </c>
      <c r="B879" s="126" t="s">
        <v>62</v>
      </c>
      <c r="C879" s="127">
        <v>19153</v>
      </c>
      <c r="D879" s="145">
        <v>109980</v>
      </c>
      <c r="E879" s="146" t="s">
        <v>4818</v>
      </c>
      <c r="F879" s="146" t="s">
        <v>4818</v>
      </c>
      <c r="G879" s="147">
        <v>502000</v>
      </c>
      <c r="H879" s="147">
        <v>4</v>
      </c>
      <c r="I879" s="146" t="s">
        <v>209</v>
      </c>
      <c r="J879" s="146" t="s">
        <v>4819</v>
      </c>
      <c r="K879" s="146" t="s">
        <v>4818</v>
      </c>
      <c r="L879" s="147">
        <v>4</v>
      </c>
      <c r="M879" s="147">
        <v>1</v>
      </c>
      <c r="N879" s="146" t="s">
        <v>1544</v>
      </c>
      <c r="O879" s="147">
        <v>98</v>
      </c>
      <c r="P879" s="147">
        <v>2.9159999999999999</v>
      </c>
      <c r="Q879" s="147">
        <v>17</v>
      </c>
      <c r="R879" s="146" t="s">
        <v>190</v>
      </c>
      <c r="S879" s="146" t="s">
        <v>191</v>
      </c>
      <c r="T879" s="147">
        <v>305</v>
      </c>
      <c r="U879" s="146" t="s">
        <v>396</v>
      </c>
      <c r="V879" s="146" t="s">
        <v>397</v>
      </c>
      <c r="W879" s="147">
        <v>1</v>
      </c>
      <c r="X879" s="147">
        <v>2</v>
      </c>
      <c r="Y879" s="146" t="s">
        <v>194</v>
      </c>
      <c r="Z879" s="146" t="s">
        <v>195</v>
      </c>
      <c r="AA879" s="146" t="s">
        <v>196</v>
      </c>
      <c r="AB879" s="146" t="s">
        <v>187</v>
      </c>
      <c r="AC879" s="146" t="s">
        <v>187</v>
      </c>
      <c r="AD879" s="148"/>
      <c r="AE879" s="146" t="s">
        <v>209</v>
      </c>
      <c r="AF879" s="147">
        <v>-8.5775799999999993</v>
      </c>
      <c r="AG879" s="149">
        <v>125.58471</v>
      </c>
      <c r="AO879" s="121"/>
      <c r="AT879" s="111"/>
      <c r="AX879" s="121"/>
    </row>
    <row r="880" spans="1:50" s="110" customFormat="1" ht="20" customHeight="1">
      <c r="A880" s="125" t="s">
        <v>1549</v>
      </c>
      <c r="B880" s="126" t="s">
        <v>62</v>
      </c>
      <c r="C880" s="127">
        <v>13466</v>
      </c>
      <c r="D880" s="145">
        <v>106195</v>
      </c>
      <c r="E880" s="146" t="s">
        <v>4702</v>
      </c>
      <c r="F880" s="146" t="s">
        <v>4702</v>
      </c>
      <c r="G880" s="147">
        <v>151000</v>
      </c>
      <c r="H880" s="147">
        <v>4</v>
      </c>
      <c r="I880" s="146" t="s">
        <v>209</v>
      </c>
      <c r="J880" s="146" t="s">
        <v>4703</v>
      </c>
      <c r="K880" s="146" t="s">
        <v>4704</v>
      </c>
      <c r="L880" s="147">
        <v>2</v>
      </c>
      <c r="M880" s="147">
        <v>1</v>
      </c>
      <c r="N880" s="146" t="s">
        <v>1544</v>
      </c>
      <c r="O880" s="147">
        <v>99</v>
      </c>
      <c r="P880" s="147">
        <v>2.3330000000000002</v>
      </c>
      <c r="Q880" s="147">
        <v>17</v>
      </c>
      <c r="R880" s="146" t="s">
        <v>190</v>
      </c>
      <c r="S880" s="146" t="s">
        <v>191</v>
      </c>
      <c r="T880" s="147">
        <v>305</v>
      </c>
      <c r="U880" s="146" t="s">
        <v>396</v>
      </c>
      <c r="V880" s="146" t="s">
        <v>397</v>
      </c>
      <c r="W880" s="147">
        <v>1</v>
      </c>
      <c r="X880" s="147">
        <v>2</v>
      </c>
      <c r="Y880" s="146" t="s">
        <v>194</v>
      </c>
      <c r="Z880" s="146" t="s">
        <v>195</v>
      </c>
      <c r="AA880" s="146" t="s">
        <v>196</v>
      </c>
      <c r="AB880" s="146" t="s">
        <v>187</v>
      </c>
      <c r="AC880" s="146" t="s">
        <v>187</v>
      </c>
      <c r="AD880" s="148"/>
      <c r="AE880" s="146" t="s">
        <v>209</v>
      </c>
      <c r="AF880" s="147">
        <v>-8.8660599999999992</v>
      </c>
      <c r="AG880" s="149">
        <v>125.54413</v>
      </c>
      <c r="AO880" s="121"/>
      <c r="AT880" s="111"/>
      <c r="AX880" s="121"/>
    </row>
    <row r="881" spans="1:50" s="110" customFormat="1" ht="20" customHeight="1">
      <c r="A881" s="125" t="s">
        <v>1549</v>
      </c>
      <c r="B881" s="126" t="s">
        <v>62</v>
      </c>
      <c r="C881" s="127">
        <v>13234</v>
      </c>
      <c r="D881" s="145">
        <v>106084</v>
      </c>
      <c r="E881" s="146" t="s">
        <v>4643</v>
      </c>
      <c r="F881" s="146" t="s">
        <v>4643</v>
      </c>
      <c r="G881" s="147">
        <v>118000</v>
      </c>
      <c r="H881" s="147">
        <v>4</v>
      </c>
      <c r="I881" s="146" t="s">
        <v>209</v>
      </c>
      <c r="J881" s="146" t="s">
        <v>4644</v>
      </c>
      <c r="K881" s="146" t="s">
        <v>4645</v>
      </c>
      <c r="L881" s="147">
        <v>2</v>
      </c>
      <c r="M881" s="147">
        <v>1</v>
      </c>
      <c r="N881" s="146" t="s">
        <v>1544</v>
      </c>
      <c r="O881" s="147">
        <v>92</v>
      </c>
      <c r="P881" s="147">
        <v>2.5</v>
      </c>
      <c r="Q881" s="147">
        <v>17</v>
      </c>
      <c r="R881" s="146" t="s">
        <v>190</v>
      </c>
      <c r="S881" s="146" t="s">
        <v>191</v>
      </c>
      <c r="T881" s="147">
        <v>305</v>
      </c>
      <c r="U881" s="146" t="s">
        <v>396</v>
      </c>
      <c r="V881" s="146" t="s">
        <v>397</v>
      </c>
      <c r="W881" s="147">
        <v>1</v>
      </c>
      <c r="X881" s="147">
        <v>2</v>
      </c>
      <c r="Y881" s="146" t="s">
        <v>194</v>
      </c>
      <c r="Z881" s="146" t="s">
        <v>195</v>
      </c>
      <c r="AA881" s="146" t="s">
        <v>196</v>
      </c>
      <c r="AB881" s="146" t="s">
        <v>187</v>
      </c>
      <c r="AC881" s="146" t="s">
        <v>187</v>
      </c>
      <c r="AD881" s="148"/>
      <c r="AE881" s="146" t="s">
        <v>209</v>
      </c>
      <c r="AF881" s="147">
        <v>-8.6299799999999998</v>
      </c>
      <c r="AG881" s="149">
        <v>126.51061</v>
      </c>
      <c r="AO881" s="121"/>
      <c r="AT881" s="111"/>
      <c r="AX881" s="121"/>
    </row>
    <row r="882" spans="1:50" s="110" customFormat="1" ht="20" customHeight="1">
      <c r="A882" s="125" t="s">
        <v>1549</v>
      </c>
      <c r="B882" s="126" t="s">
        <v>62</v>
      </c>
      <c r="C882" s="127">
        <v>15450</v>
      </c>
      <c r="D882" s="145">
        <v>109979</v>
      </c>
      <c r="E882" s="146" t="s">
        <v>4522</v>
      </c>
      <c r="F882" s="146" t="s">
        <v>4522</v>
      </c>
      <c r="G882" s="147">
        <v>73000</v>
      </c>
      <c r="H882" s="147">
        <v>4</v>
      </c>
      <c r="I882" s="146" t="s">
        <v>209</v>
      </c>
      <c r="J882" s="146" t="s">
        <v>4523</v>
      </c>
      <c r="K882" s="146" t="s">
        <v>4522</v>
      </c>
      <c r="L882" s="147">
        <v>4</v>
      </c>
      <c r="M882" s="147">
        <v>1</v>
      </c>
      <c r="N882" s="146" t="s">
        <v>1544</v>
      </c>
      <c r="O882" s="147">
        <v>99</v>
      </c>
      <c r="P882" s="147">
        <v>3</v>
      </c>
      <c r="Q882" s="147">
        <v>17</v>
      </c>
      <c r="R882" s="146" t="s">
        <v>190</v>
      </c>
      <c r="S882" s="146" t="s">
        <v>191</v>
      </c>
      <c r="T882" s="147">
        <v>305</v>
      </c>
      <c r="U882" s="146" t="s">
        <v>396</v>
      </c>
      <c r="V882" s="146" t="s">
        <v>397</v>
      </c>
      <c r="W882" s="147">
        <v>2</v>
      </c>
      <c r="X882" s="147">
        <v>2</v>
      </c>
      <c r="Y882" s="146" t="s">
        <v>194</v>
      </c>
      <c r="Z882" s="146" t="s">
        <v>195</v>
      </c>
      <c r="AA882" s="146" t="s">
        <v>196</v>
      </c>
      <c r="AB882" s="146" t="s">
        <v>187</v>
      </c>
      <c r="AC882" s="146" t="s">
        <v>187</v>
      </c>
      <c r="AD882" s="148"/>
      <c r="AE882" s="146" t="s">
        <v>209</v>
      </c>
      <c r="AF882" s="147">
        <v>-9.0180000000000007</v>
      </c>
      <c r="AG882" s="149">
        <v>125.81716</v>
      </c>
      <c r="AO882" s="121"/>
      <c r="AT882" s="111"/>
      <c r="AX882" s="121"/>
    </row>
    <row r="883" spans="1:50" s="110" customFormat="1" ht="20" customHeight="1">
      <c r="A883" s="125" t="s">
        <v>1549</v>
      </c>
      <c r="B883" s="126" t="s">
        <v>62</v>
      </c>
      <c r="C883" s="127">
        <v>19647</v>
      </c>
      <c r="D883" s="145">
        <v>103166</v>
      </c>
      <c r="E883" s="146" t="s">
        <v>3877</v>
      </c>
      <c r="F883" s="146" t="s">
        <v>3877</v>
      </c>
      <c r="G883" s="147">
        <v>15000</v>
      </c>
      <c r="H883" s="147">
        <v>4</v>
      </c>
      <c r="I883" s="146" t="s">
        <v>209</v>
      </c>
      <c r="J883" s="146" t="s">
        <v>1689</v>
      </c>
      <c r="K883" s="146" t="s">
        <v>1690</v>
      </c>
      <c r="L883" s="147">
        <v>1</v>
      </c>
      <c r="M883" s="147">
        <v>1</v>
      </c>
      <c r="N883" s="146" t="s">
        <v>1544</v>
      </c>
      <c r="O883" s="147">
        <v>94</v>
      </c>
      <c r="P883" s="147">
        <v>2.5</v>
      </c>
      <c r="Q883" s="147">
        <v>17</v>
      </c>
      <c r="R883" s="146" t="s">
        <v>190</v>
      </c>
      <c r="S883" s="146" t="s">
        <v>191</v>
      </c>
      <c r="T883" s="147">
        <v>305</v>
      </c>
      <c r="U883" s="146" t="s">
        <v>396</v>
      </c>
      <c r="V883" s="146" t="s">
        <v>397</v>
      </c>
      <c r="W883" s="147">
        <v>2</v>
      </c>
      <c r="X883" s="147">
        <v>2</v>
      </c>
      <c r="Y883" s="146" t="s">
        <v>194</v>
      </c>
      <c r="Z883" s="146" t="s">
        <v>195</v>
      </c>
      <c r="AA883" s="146" t="s">
        <v>196</v>
      </c>
      <c r="AB883" s="146" t="s">
        <v>187</v>
      </c>
      <c r="AC883" s="146" t="s">
        <v>187</v>
      </c>
      <c r="AD883" s="148"/>
      <c r="AE883" s="146" t="s">
        <v>209</v>
      </c>
      <c r="AF883" s="147">
        <v>-8.5642600000000009</v>
      </c>
      <c r="AG883" s="149">
        <v>125.90851000000001</v>
      </c>
      <c r="AO883" s="121"/>
      <c r="AT883" s="111"/>
      <c r="AX883" s="121"/>
    </row>
    <row r="884" spans="1:50" s="110" customFormat="1" ht="20" customHeight="1">
      <c r="A884" s="125" t="s">
        <v>1549</v>
      </c>
      <c r="B884" s="126" t="s">
        <v>62</v>
      </c>
      <c r="C884" s="127">
        <v>21001</v>
      </c>
      <c r="D884" s="145">
        <v>117719</v>
      </c>
      <c r="E884" s="146" t="s">
        <v>3447</v>
      </c>
      <c r="F884" s="146" t="s">
        <v>3447</v>
      </c>
      <c r="G884" s="147">
        <v>7700</v>
      </c>
      <c r="H884" s="147">
        <v>4</v>
      </c>
      <c r="I884" s="146" t="s">
        <v>209</v>
      </c>
      <c r="J884" s="146" t="s">
        <v>3448</v>
      </c>
      <c r="K884" s="146" t="s">
        <v>3447</v>
      </c>
      <c r="L884" s="147">
        <v>1</v>
      </c>
      <c r="M884" s="147">
        <v>1</v>
      </c>
      <c r="N884" s="146" t="s">
        <v>1544</v>
      </c>
      <c r="O884" s="147">
        <v>90</v>
      </c>
      <c r="P884" s="147">
        <v>5</v>
      </c>
      <c r="Q884" s="147">
        <v>17</v>
      </c>
      <c r="R884" s="146" t="s">
        <v>190</v>
      </c>
      <c r="S884" s="146" t="s">
        <v>191</v>
      </c>
      <c r="T884" s="147">
        <v>305</v>
      </c>
      <c r="U884" s="146" t="s">
        <v>396</v>
      </c>
      <c r="V884" s="146" t="s">
        <v>397</v>
      </c>
      <c r="W884" s="147">
        <v>1</v>
      </c>
      <c r="X884" s="147">
        <v>2</v>
      </c>
      <c r="Y884" s="146" t="s">
        <v>194</v>
      </c>
      <c r="Z884" s="146" t="s">
        <v>195</v>
      </c>
      <c r="AA884" s="146" t="s">
        <v>196</v>
      </c>
      <c r="AB884" s="146" t="s">
        <v>187</v>
      </c>
      <c r="AC884" s="146" t="s">
        <v>187</v>
      </c>
      <c r="AD884" s="148"/>
      <c r="AE884" s="146" t="s">
        <v>209</v>
      </c>
      <c r="AF884" s="147">
        <v>-8.5360910000000008</v>
      </c>
      <c r="AG884" s="149">
        <v>126.98610499999999</v>
      </c>
      <c r="AO884" s="121"/>
      <c r="AT884" s="111"/>
      <c r="AX884" s="121"/>
    </row>
    <row r="885" spans="1:50" s="110" customFormat="1" ht="20" customHeight="1">
      <c r="A885" s="125" t="s">
        <v>1549</v>
      </c>
      <c r="B885" s="126" t="s">
        <v>62</v>
      </c>
      <c r="C885" s="127">
        <v>10153</v>
      </c>
      <c r="D885" s="145">
        <v>100050</v>
      </c>
      <c r="E885" s="146" t="s">
        <v>3281</v>
      </c>
      <c r="F885" s="146" t="s">
        <v>3281</v>
      </c>
      <c r="G885" s="147">
        <v>5800</v>
      </c>
      <c r="H885" s="147">
        <v>4</v>
      </c>
      <c r="I885" s="146" t="s">
        <v>209</v>
      </c>
      <c r="J885" s="146" t="s">
        <v>3282</v>
      </c>
      <c r="K885" s="146" t="s">
        <v>3283</v>
      </c>
      <c r="L885" s="147">
        <v>1</v>
      </c>
      <c r="M885" s="147">
        <v>1</v>
      </c>
      <c r="N885" s="146" t="s">
        <v>1544</v>
      </c>
      <c r="O885" s="147">
        <v>64</v>
      </c>
      <c r="P885" s="147">
        <v>2.5</v>
      </c>
      <c r="Q885" s="147">
        <v>17</v>
      </c>
      <c r="R885" s="146" t="s">
        <v>190</v>
      </c>
      <c r="S885" s="146" t="s">
        <v>191</v>
      </c>
      <c r="T885" s="147">
        <v>305</v>
      </c>
      <c r="U885" s="146" t="s">
        <v>396</v>
      </c>
      <c r="V885" s="146" t="s">
        <v>397</v>
      </c>
      <c r="W885" s="147">
        <v>1</v>
      </c>
      <c r="X885" s="147">
        <v>2</v>
      </c>
      <c r="Y885" s="146" t="s">
        <v>194</v>
      </c>
      <c r="Z885" s="146" t="s">
        <v>195</v>
      </c>
      <c r="AA885" s="146" t="s">
        <v>196</v>
      </c>
      <c r="AB885" s="146" t="s">
        <v>187</v>
      </c>
      <c r="AC885" s="146" t="s">
        <v>187</v>
      </c>
      <c r="AD885" s="148"/>
      <c r="AE885" s="146" t="s">
        <v>209</v>
      </c>
      <c r="AF885" s="147">
        <v>-8.2301900000000003</v>
      </c>
      <c r="AG885" s="149">
        <v>125.58441000000001</v>
      </c>
      <c r="AO885" s="121"/>
      <c r="AT885" s="111"/>
      <c r="AX885" s="121"/>
    </row>
    <row r="886" spans="1:50" s="110" customFormat="1" ht="20" customHeight="1">
      <c r="A886" s="125" t="s">
        <v>1549</v>
      </c>
      <c r="B886" s="126" t="s">
        <v>62</v>
      </c>
      <c r="C886" s="127">
        <v>21838</v>
      </c>
      <c r="D886" s="150"/>
      <c r="E886" s="146" t="s">
        <v>2523</v>
      </c>
      <c r="F886" s="146" t="s">
        <v>2523</v>
      </c>
      <c r="G886" s="147">
        <v>5600</v>
      </c>
      <c r="H886" s="147">
        <v>4</v>
      </c>
      <c r="I886" s="146" t="s">
        <v>209</v>
      </c>
      <c r="J886" s="146" t="s">
        <v>2524</v>
      </c>
      <c r="K886" s="146" t="s">
        <v>2523</v>
      </c>
      <c r="L886" s="147">
        <v>0</v>
      </c>
      <c r="M886" s="147">
        <v>1</v>
      </c>
      <c r="N886" s="146" t="s">
        <v>1544</v>
      </c>
      <c r="O886" s="147">
        <v>70</v>
      </c>
      <c r="P886" s="147">
        <v>4</v>
      </c>
      <c r="Q886" s="147">
        <v>17</v>
      </c>
      <c r="R886" s="146" t="s">
        <v>190</v>
      </c>
      <c r="S886" s="146" t="s">
        <v>191</v>
      </c>
      <c r="T886" s="147">
        <v>305</v>
      </c>
      <c r="U886" s="146" t="s">
        <v>396</v>
      </c>
      <c r="V886" s="146" t="s">
        <v>397</v>
      </c>
      <c r="W886" s="147">
        <v>2</v>
      </c>
      <c r="X886" s="147">
        <v>2</v>
      </c>
      <c r="Y886" s="146" t="s">
        <v>194</v>
      </c>
      <c r="Z886" s="146" t="s">
        <v>195</v>
      </c>
      <c r="AA886" s="146" t="s">
        <v>196</v>
      </c>
      <c r="AB886" s="146" t="s">
        <v>187</v>
      </c>
      <c r="AC886" s="146" t="s">
        <v>187</v>
      </c>
      <c r="AD886" s="148"/>
      <c r="AE886" s="146" t="s">
        <v>209</v>
      </c>
      <c r="AF886" s="147">
        <v>-9.0299999999999994</v>
      </c>
      <c r="AG886" s="149">
        <v>125.09</v>
      </c>
      <c r="AO886" s="121"/>
      <c r="AT886" s="111"/>
      <c r="AX886" s="121"/>
    </row>
    <row r="887" spans="1:50" s="110" customFormat="1" ht="20" customHeight="1">
      <c r="A887" s="125" t="s">
        <v>1549</v>
      </c>
      <c r="B887" s="126" t="s">
        <v>62</v>
      </c>
      <c r="C887" s="127">
        <v>12025</v>
      </c>
      <c r="D887" s="145">
        <v>103623</v>
      </c>
      <c r="E887" s="146" t="s">
        <v>2896</v>
      </c>
      <c r="F887" s="146" t="s">
        <v>2896</v>
      </c>
      <c r="G887" s="147">
        <v>3100</v>
      </c>
      <c r="H887" s="147">
        <v>4</v>
      </c>
      <c r="I887" s="146" t="s">
        <v>209</v>
      </c>
      <c r="J887" s="146" t="s">
        <v>2897</v>
      </c>
      <c r="K887" s="146" t="s">
        <v>2898</v>
      </c>
      <c r="L887" s="147">
        <v>1</v>
      </c>
      <c r="M887" s="147">
        <v>1</v>
      </c>
      <c r="N887" s="146" t="s">
        <v>1544</v>
      </c>
      <c r="O887" s="147">
        <v>56</v>
      </c>
      <c r="P887" s="147">
        <v>3</v>
      </c>
      <c r="Q887" s="147">
        <v>17</v>
      </c>
      <c r="R887" s="146" t="s">
        <v>190</v>
      </c>
      <c r="S887" s="146" t="s">
        <v>191</v>
      </c>
      <c r="T887" s="147">
        <v>305</v>
      </c>
      <c r="U887" s="146" t="s">
        <v>396</v>
      </c>
      <c r="V887" s="146" t="s">
        <v>397</v>
      </c>
      <c r="W887" s="147">
        <v>1</v>
      </c>
      <c r="X887" s="147">
        <v>2</v>
      </c>
      <c r="Y887" s="146" t="s">
        <v>194</v>
      </c>
      <c r="Z887" s="146" t="s">
        <v>195</v>
      </c>
      <c r="AA887" s="146" t="s">
        <v>196</v>
      </c>
      <c r="AB887" s="146" t="s">
        <v>187</v>
      </c>
      <c r="AC887" s="146" t="s">
        <v>187</v>
      </c>
      <c r="AD887" s="148"/>
      <c r="AE887" s="146" t="s">
        <v>209</v>
      </c>
      <c r="AF887" s="147">
        <v>-8.7660599999999995</v>
      </c>
      <c r="AG887" s="149">
        <v>125.96916</v>
      </c>
      <c r="AO887" s="121"/>
      <c r="AT887" s="111"/>
      <c r="AX887" s="121"/>
    </row>
    <row r="888" spans="1:50" s="110" customFormat="1" ht="20" customHeight="1">
      <c r="A888" s="125" t="s">
        <v>185</v>
      </c>
      <c r="B888" s="126" t="s">
        <v>59</v>
      </c>
      <c r="C888" s="127">
        <v>15565</v>
      </c>
      <c r="D888" s="145">
        <v>110169</v>
      </c>
      <c r="E888" s="146" t="s">
        <v>4856</v>
      </c>
      <c r="F888" s="146" t="s">
        <v>4857</v>
      </c>
      <c r="G888" s="147">
        <v>964000</v>
      </c>
      <c r="H888" s="147">
        <v>4</v>
      </c>
      <c r="I888" s="146" t="s">
        <v>209</v>
      </c>
      <c r="J888" s="146" t="s">
        <v>4858</v>
      </c>
      <c r="K888" s="146" t="s">
        <v>4856</v>
      </c>
      <c r="L888" s="147">
        <v>5</v>
      </c>
      <c r="M888" s="147">
        <v>1</v>
      </c>
      <c r="N888" s="146" t="s">
        <v>1544</v>
      </c>
      <c r="O888" s="147">
        <v>75</v>
      </c>
      <c r="P888" s="147">
        <v>10</v>
      </c>
      <c r="Q888" s="147">
        <v>17</v>
      </c>
      <c r="R888" s="146" t="s">
        <v>190</v>
      </c>
      <c r="S888" s="146" t="s">
        <v>191</v>
      </c>
      <c r="T888" s="147">
        <v>306</v>
      </c>
      <c r="U888" s="146" t="s">
        <v>400</v>
      </c>
      <c r="V888" s="146" t="s">
        <v>401</v>
      </c>
      <c r="W888" s="147">
        <v>1</v>
      </c>
      <c r="X888" s="147">
        <v>2</v>
      </c>
      <c r="Y888" s="146" t="s">
        <v>194</v>
      </c>
      <c r="Z888" s="146" t="s">
        <v>195</v>
      </c>
      <c r="AA888" s="146" t="s">
        <v>196</v>
      </c>
      <c r="AB888" s="146" t="s">
        <v>187</v>
      </c>
      <c r="AC888" s="146" t="s">
        <v>187</v>
      </c>
      <c r="AD888" s="148"/>
      <c r="AE888" s="146" t="s">
        <v>209</v>
      </c>
      <c r="AF888" s="147">
        <v>-3.0107699999999999</v>
      </c>
      <c r="AG888" s="149">
        <v>119.84153999999999</v>
      </c>
      <c r="AO888" s="121"/>
      <c r="AT888" s="111"/>
      <c r="AX888" s="121"/>
    </row>
    <row r="889" spans="1:50" s="110" customFormat="1" ht="20" customHeight="1">
      <c r="A889" s="125" t="s">
        <v>185</v>
      </c>
      <c r="B889" s="126" t="s">
        <v>59</v>
      </c>
      <c r="C889" s="127">
        <v>14283</v>
      </c>
      <c r="D889" s="145">
        <v>107807</v>
      </c>
      <c r="E889" s="146" t="s">
        <v>4711</v>
      </c>
      <c r="F889" s="146" t="s">
        <v>4712</v>
      </c>
      <c r="G889" s="147">
        <v>176000</v>
      </c>
      <c r="H889" s="147">
        <v>4</v>
      </c>
      <c r="I889" s="146" t="s">
        <v>209</v>
      </c>
      <c r="J889" s="146" t="s">
        <v>4713</v>
      </c>
      <c r="K889" s="146" t="s">
        <v>4711</v>
      </c>
      <c r="L889" s="147">
        <v>4</v>
      </c>
      <c r="M889" s="147">
        <v>1</v>
      </c>
      <c r="N889" s="146" t="s">
        <v>1544</v>
      </c>
      <c r="O889" s="147">
        <v>93</v>
      </c>
      <c r="P889" s="147">
        <v>8</v>
      </c>
      <c r="Q889" s="147">
        <v>17</v>
      </c>
      <c r="R889" s="146" t="s">
        <v>190</v>
      </c>
      <c r="S889" s="146" t="s">
        <v>191</v>
      </c>
      <c r="T889" s="147">
        <v>306</v>
      </c>
      <c r="U889" s="146" t="s">
        <v>400</v>
      </c>
      <c r="V889" s="146" t="s">
        <v>401</v>
      </c>
      <c r="W889" s="147">
        <v>1</v>
      </c>
      <c r="X889" s="147">
        <v>2</v>
      </c>
      <c r="Y889" s="146" t="s">
        <v>194</v>
      </c>
      <c r="Z889" s="146" t="s">
        <v>195</v>
      </c>
      <c r="AA889" s="146" t="s">
        <v>196</v>
      </c>
      <c r="AB889" s="146" t="s">
        <v>187</v>
      </c>
      <c r="AC889" s="146" t="s">
        <v>187</v>
      </c>
      <c r="AD889" s="148"/>
      <c r="AE889" s="146" t="s">
        <v>209</v>
      </c>
      <c r="AF889" s="147">
        <v>-1.6086100000000001</v>
      </c>
      <c r="AG889" s="149">
        <v>121.16833</v>
      </c>
      <c r="AO889" s="121"/>
      <c r="AT889" s="111"/>
      <c r="AX889" s="121"/>
    </row>
    <row r="890" spans="1:50" s="110" customFormat="1" ht="20" customHeight="1">
      <c r="A890" s="125" t="s">
        <v>185</v>
      </c>
      <c r="B890" s="126" t="s">
        <v>59</v>
      </c>
      <c r="C890" s="127">
        <v>13465</v>
      </c>
      <c r="D890" s="145">
        <v>106194</v>
      </c>
      <c r="E890" s="146" t="s">
        <v>4696</v>
      </c>
      <c r="F890" s="146" t="s">
        <v>4696</v>
      </c>
      <c r="G890" s="147">
        <v>148000</v>
      </c>
      <c r="H890" s="147">
        <v>4</v>
      </c>
      <c r="I890" s="146" t="s">
        <v>209</v>
      </c>
      <c r="J890" s="146" t="s">
        <v>1096</v>
      </c>
      <c r="K890" s="146" t="s">
        <v>1097</v>
      </c>
      <c r="L890" s="147">
        <v>4</v>
      </c>
      <c r="M890" s="147">
        <v>1</v>
      </c>
      <c r="N890" s="146" t="s">
        <v>1544</v>
      </c>
      <c r="O890" s="147">
        <v>92</v>
      </c>
      <c r="P890" s="147">
        <v>8</v>
      </c>
      <c r="Q890" s="147">
        <v>17</v>
      </c>
      <c r="R890" s="146" t="s">
        <v>190</v>
      </c>
      <c r="S890" s="146" t="s">
        <v>191</v>
      </c>
      <c r="T890" s="147">
        <v>306</v>
      </c>
      <c r="U890" s="146" t="s">
        <v>400</v>
      </c>
      <c r="V890" s="146" t="s">
        <v>401</v>
      </c>
      <c r="W890" s="147">
        <v>1</v>
      </c>
      <c r="X890" s="147">
        <v>2</v>
      </c>
      <c r="Y890" s="146" t="s">
        <v>194</v>
      </c>
      <c r="Z890" s="146" t="s">
        <v>195</v>
      </c>
      <c r="AA890" s="146" t="s">
        <v>196</v>
      </c>
      <c r="AB890" s="146" t="s">
        <v>187</v>
      </c>
      <c r="AC890" s="146" t="s">
        <v>187</v>
      </c>
      <c r="AD890" s="148"/>
      <c r="AE890" s="146" t="s">
        <v>209</v>
      </c>
      <c r="AF890" s="147">
        <v>-3.0810999998651001</v>
      </c>
      <c r="AG890" s="149">
        <v>119.483509999986</v>
      </c>
      <c r="AO890" s="121"/>
      <c r="AT890" s="111"/>
      <c r="AX890" s="121"/>
    </row>
    <row r="891" spans="1:50" s="110" customFormat="1" ht="20" customHeight="1">
      <c r="A891" s="125" t="s">
        <v>185</v>
      </c>
      <c r="B891" s="126" t="s">
        <v>59</v>
      </c>
      <c r="C891" s="127">
        <v>10616</v>
      </c>
      <c r="D891" s="145">
        <v>100924</v>
      </c>
      <c r="E891" s="146" t="s">
        <v>4285</v>
      </c>
      <c r="F891" s="146" t="s">
        <v>4286</v>
      </c>
      <c r="G891" s="147">
        <v>35000</v>
      </c>
      <c r="H891" s="147">
        <v>4</v>
      </c>
      <c r="I891" s="146" t="s">
        <v>209</v>
      </c>
      <c r="J891" s="146" t="s">
        <v>4287</v>
      </c>
      <c r="K891" s="146" t="s">
        <v>4285</v>
      </c>
      <c r="L891" s="147">
        <v>4</v>
      </c>
      <c r="M891" s="147">
        <v>1</v>
      </c>
      <c r="N891" s="146" t="s">
        <v>1544</v>
      </c>
      <c r="O891" s="147">
        <v>70</v>
      </c>
      <c r="P891" s="147">
        <v>4.5</v>
      </c>
      <c r="Q891" s="147">
        <v>17</v>
      </c>
      <c r="R891" s="146" t="s">
        <v>190</v>
      </c>
      <c r="S891" s="146" t="s">
        <v>191</v>
      </c>
      <c r="T891" s="147">
        <v>306</v>
      </c>
      <c r="U891" s="146" t="s">
        <v>400</v>
      </c>
      <c r="V891" s="146" t="s">
        <v>401</v>
      </c>
      <c r="W891" s="147">
        <v>1</v>
      </c>
      <c r="X891" s="147">
        <v>2</v>
      </c>
      <c r="Y891" s="146" t="s">
        <v>194</v>
      </c>
      <c r="Z891" s="146" t="s">
        <v>195</v>
      </c>
      <c r="AA891" s="146" t="s">
        <v>196</v>
      </c>
      <c r="AB891" s="146" t="s">
        <v>187</v>
      </c>
      <c r="AC891" s="146" t="s">
        <v>187</v>
      </c>
      <c r="AD891" s="148"/>
      <c r="AE891" s="146" t="s">
        <v>209</v>
      </c>
      <c r="AF891" s="147">
        <v>-3.0492599999999999</v>
      </c>
      <c r="AG891" s="149">
        <v>119.19516</v>
      </c>
      <c r="AO891" s="121"/>
      <c r="AT891" s="111"/>
      <c r="AX891" s="121"/>
    </row>
    <row r="892" spans="1:50" s="110" customFormat="1" ht="20" customHeight="1">
      <c r="A892" s="125" t="s">
        <v>185</v>
      </c>
      <c r="B892" s="126" t="s">
        <v>59</v>
      </c>
      <c r="C892" s="127">
        <v>12456</v>
      </c>
      <c r="D892" s="145">
        <v>104491</v>
      </c>
      <c r="E892" s="146" t="s">
        <v>4077</v>
      </c>
      <c r="F892" s="146" t="s">
        <v>4078</v>
      </c>
      <c r="G892" s="147">
        <v>22000</v>
      </c>
      <c r="H892" s="147">
        <v>4</v>
      </c>
      <c r="I892" s="146" t="s">
        <v>209</v>
      </c>
      <c r="J892" s="146" t="s">
        <v>4079</v>
      </c>
      <c r="K892" s="146" t="s">
        <v>4077</v>
      </c>
      <c r="L892" s="147">
        <v>3</v>
      </c>
      <c r="M892" s="147">
        <v>1</v>
      </c>
      <c r="N892" s="146" t="s">
        <v>1544</v>
      </c>
      <c r="O892" s="147">
        <v>70</v>
      </c>
      <c r="P892" s="147">
        <v>7</v>
      </c>
      <c r="Q892" s="147">
        <v>17</v>
      </c>
      <c r="R892" s="146" t="s">
        <v>190</v>
      </c>
      <c r="S892" s="146" t="s">
        <v>191</v>
      </c>
      <c r="T892" s="147">
        <v>306</v>
      </c>
      <c r="U892" s="146" t="s">
        <v>400</v>
      </c>
      <c r="V892" s="146" t="s">
        <v>401</v>
      </c>
      <c r="W892" s="147">
        <v>1</v>
      </c>
      <c r="X892" s="147">
        <v>2</v>
      </c>
      <c r="Y892" s="146" t="s">
        <v>194</v>
      </c>
      <c r="Z892" s="146" t="s">
        <v>195</v>
      </c>
      <c r="AA892" s="146" t="s">
        <v>196</v>
      </c>
      <c r="AB892" s="146" t="s">
        <v>187</v>
      </c>
      <c r="AC892" s="146" t="s">
        <v>187</v>
      </c>
      <c r="AD892" s="148"/>
      <c r="AE892" s="146" t="s">
        <v>209</v>
      </c>
      <c r="AF892" s="147">
        <v>-2.3907099999999999</v>
      </c>
      <c r="AG892" s="149">
        <v>119.48071</v>
      </c>
      <c r="AO892" s="121"/>
      <c r="AT892" s="111"/>
      <c r="AX892" s="121"/>
    </row>
    <row r="893" spans="1:50" s="110" customFormat="1" ht="20" customHeight="1">
      <c r="A893" s="125" t="s">
        <v>185</v>
      </c>
      <c r="B893" s="126" t="s">
        <v>59</v>
      </c>
      <c r="C893" s="127">
        <v>11273</v>
      </c>
      <c r="D893" s="145">
        <v>105373</v>
      </c>
      <c r="E893" s="146" t="s">
        <v>3558</v>
      </c>
      <c r="F893" s="146" t="s">
        <v>3559</v>
      </c>
      <c r="G893" s="147">
        <v>9100</v>
      </c>
      <c r="H893" s="147">
        <v>4</v>
      </c>
      <c r="I893" s="146" t="s">
        <v>209</v>
      </c>
      <c r="J893" s="146" t="s">
        <v>3560</v>
      </c>
      <c r="K893" s="146" t="s">
        <v>3561</v>
      </c>
      <c r="L893" s="147">
        <v>3</v>
      </c>
      <c r="M893" s="147">
        <v>1</v>
      </c>
      <c r="N893" s="146" t="s">
        <v>1544</v>
      </c>
      <c r="O893" s="147">
        <v>90</v>
      </c>
      <c r="P893" s="147">
        <v>5</v>
      </c>
      <c r="Q893" s="147">
        <v>17</v>
      </c>
      <c r="R893" s="146" t="s">
        <v>190</v>
      </c>
      <c r="S893" s="146" t="s">
        <v>191</v>
      </c>
      <c r="T893" s="147">
        <v>306</v>
      </c>
      <c r="U893" s="146" t="s">
        <v>400</v>
      </c>
      <c r="V893" s="146" t="s">
        <v>401</v>
      </c>
      <c r="W893" s="147">
        <v>1</v>
      </c>
      <c r="X893" s="147">
        <v>2</v>
      </c>
      <c r="Y893" s="146" t="s">
        <v>194</v>
      </c>
      <c r="Z893" s="146" t="s">
        <v>195</v>
      </c>
      <c r="AA893" s="146" t="s">
        <v>196</v>
      </c>
      <c r="AB893" s="146" t="s">
        <v>187</v>
      </c>
      <c r="AC893" s="146" t="s">
        <v>187</v>
      </c>
      <c r="AD893" s="148"/>
      <c r="AE893" s="146" t="s">
        <v>209</v>
      </c>
      <c r="AF893" s="147">
        <v>-1.3941300000000001</v>
      </c>
      <c r="AG893" s="149">
        <v>120.03682999999999</v>
      </c>
      <c r="AO893" s="121"/>
      <c r="AT893" s="111"/>
      <c r="AX893" s="121"/>
    </row>
    <row r="894" spans="1:50" s="110" customFormat="1" ht="20" customHeight="1">
      <c r="A894" s="125" t="s">
        <v>185</v>
      </c>
      <c r="B894" s="126" t="s">
        <v>59</v>
      </c>
      <c r="C894" s="127">
        <v>14825</v>
      </c>
      <c r="D894" s="145">
        <v>108802</v>
      </c>
      <c r="E894" s="146" t="s">
        <v>3451</v>
      </c>
      <c r="F894" s="146" t="s">
        <v>3452</v>
      </c>
      <c r="G894" s="147">
        <v>7900</v>
      </c>
      <c r="H894" s="147">
        <v>4</v>
      </c>
      <c r="I894" s="146" t="s">
        <v>209</v>
      </c>
      <c r="J894" s="146" t="s">
        <v>3453</v>
      </c>
      <c r="K894" s="146" t="s">
        <v>3451</v>
      </c>
      <c r="L894" s="147">
        <v>3</v>
      </c>
      <c r="M894" s="147">
        <v>1</v>
      </c>
      <c r="N894" s="146" t="s">
        <v>1544</v>
      </c>
      <c r="O894" s="147">
        <v>85</v>
      </c>
      <c r="P894" s="147">
        <v>5</v>
      </c>
      <c r="Q894" s="147">
        <v>17</v>
      </c>
      <c r="R894" s="146" t="s">
        <v>190</v>
      </c>
      <c r="S894" s="146" t="s">
        <v>191</v>
      </c>
      <c r="T894" s="147">
        <v>306</v>
      </c>
      <c r="U894" s="146" t="s">
        <v>400</v>
      </c>
      <c r="V894" s="146" t="s">
        <v>401</v>
      </c>
      <c r="W894" s="147">
        <v>1</v>
      </c>
      <c r="X894" s="147">
        <v>2</v>
      </c>
      <c r="Y894" s="146" t="s">
        <v>194</v>
      </c>
      <c r="Z894" s="146" t="s">
        <v>195</v>
      </c>
      <c r="AA894" s="146" t="s">
        <v>196</v>
      </c>
      <c r="AB894" s="146" t="s">
        <v>187</v>
      </c>
      <c r="AC894" s="146" t="s">
        <v>187</v>
      </c>
      <c r="AD894" s="148"/>
      <c r="AE894" s="146" t="s">
        <v>209</v>
      </c>
      <c r="AF894" s="147">
        <v>-2.1500699999999999</v>
      </c>
      <c r="AG894" s="149">
        <v>119.95563</v>
      </c>
      <c r="AO894" s="121"/>
      <c r="AT894" s="111"/>
      <c r="AX894" s="121"/>
    </row>
    <row r="895" spans="1:50" s="110" customFormat="1" ht="20" customHeight="1">
      <c r="A895" s="125" t="s">
        <v>185</v>
      </c>
      <c r="B895" s="126" t="s">
        <v>59</v>
      </c>
      <c r="C895" s="127">
        <v>15218</v>
      </c>
      <c r="D895" s="145">
        <v>109762</v>
      </c>
      <c r="E895" s="146" t="s">
        <v>2457</v>
      </c>
      <c r="F895" s="146" t="s">
        <v>2457</v>
      </c>
      <c r="G895" s="147">
        <v>1300</v>
      </c>
      <c r="H895" s="147">
        <v>4</v>
      </c>
      <c r="I895" s="146" t="s">
        <v>209</v>
      </c>
      <c r="J895" s="146" t="s">
        <v>2458</v>
      </c>
      <c r="K895" s="146" t="s">
        <v>2459</v>
      </c>
      <c r="L895" s="147">
        <v>1</v>
      </c>
      <c r="M895" s="147">
        <v>1</v>
      </c>
      <c r="N895" s="146" t="s">
        <v>1544</v>
      </c>
      <c r="O895" s="147">
        <v>70</v>
      </c>
      <c r="P895" s="147">
        <v>3</v>
      </c>
      <c r="Q895" s="147">
        <v>17</v>
      </c>
      <c r="R895" s="146" t="s">
        <v>190</v>
      </c>
      <c r="S895" s="146" t="s">
        <v>191</v>
      </c>
      <c r="T895" s="147">
        <v>306</v>
      </c>
      <c r="U895" s="146" t="s">
        <v>400</v>
      </c>
      <c r="V895" s="146" t="s">
        <v>401</v>
      </c>
      <c r="W895" s="147">
        <v>1</v>
      </c>
      <c r="X895" s="147">
        <v>2</v>
      </c>
      <c r="Y895" s="146" t="s">
        <v>194</v>
      </c>
      <c r="Z895" s="146" t="s">
        <v>195</v>
      </c>
      <c r="AA895" s="146" t="s">
        <v>196</v>
      </c>
      <c r="AB895" s="146" t="s">
        <v>187</v>
      </c>
      <c r="AC895" s="146" t="s">
        <v>187</v>
      </c>
      <c r="AD895" s="148"/>
      <c r="AE895" s="146" t="s">
        <v>209</v>
      </c>
      <c r="AF895" s="147">
        <v>-2.4522200000000001</v>
      </c>
      <c r="AG895" s="149">
        <v>119.34945</v>
      </c>
      <c r="AO895" s="121"/>
      <c r="AT895" s="111"/>
      <c r="AX895" s="121"/>
    </row>
    <row r="896" spans="1:50" s="110" customFormat="1" ht="20" customHeight="1">
      <c r="A896" s="125" t="s">
        <v>185</v>
      </c>
      <c r="B896" s="126" t="s">
        <v>59</v>
      </c>
      <c r="C896" s="127">
        <v>15475</v>
      </c>
      <c r="D896" s="157">
        <v>110044</v>
      </c>
      <c r="E896" s="158" t="s">
        <v>2910</v>
      </c>
      <c r="F896" s="158" t="s">
        <v>2910</v>
      </c>
      <c r="G896" s="159">
        <v>51000</v>
      </c>
      <c r="H896" s="159">
        <v>2</v>
      </c>
      <c r="I896" s="158" t="s">
        <v>209</v>
      </c>
      <c r="J896" s="158" t="s">
        <v>2912</v>
      </c>
      <c r="K896" s="158" t="s">
        <v>2911</v>
      </c>
      <c r="L896" s="159">
        <v>1</v>
      </c>
      <c r="M896" s="159">
        <v>4</v>
      </c>
      <c r="N896" s="158" t="s">
        <v>1548</v>
      </c>
      <c r="O896" s="159">
        <v>7</v>
      </c>
      <c r="P896" s="159">
        <v>8.0000000000000002E-3</v>
      </c>
      <c r="Q896" s="159">
        <v>17</v>
      </c>
      <c r="R896" s="158" t="s">
        <v>190</v>
      </c>
      <c r="S896" s="158" t="s">
        <v>191</v>
      </c>
      <c r="T896" s="159">
        <v>131</v>
      </c>
      <c r="U896" s="158" t="s">
        <v>406</v>
      </c>
      <c r="V896" s="158" t="s">
        <v>407</v>
      </c>
      <c r="W896" s="159">
        <v>2</v>
      </c>
      <c r="X896" s="159">
        <v>2</v>
      </c>
      <c r="Y896" s="158" t="s">
        <v>194</v>
      </c>
      <c r="Z896" s="158" t="s">
        <v>195</v>
      </c>
      <c r="AA896" s="158" t="s">
        <v>196</v>
      </c>
      <c r="AB896" s="158" t="s">
        <v>187</v>
      </c>
      <c r="AC896" s="158" t="s">
        <v>187</v>
      </c>
      <c r="AD896" s="160"/>
      <c r="AE896" s="158" t="s">
        <v>209</v>
      </c>
      <c r="AF896" s="159">
        <v>3.9504800000000002</v>
      </c>
      <c r="AG896" s="161">
        <v>117.38348000000001</v>
      </c>
      <c r="AO896" s="121"/>
      <c r="AT896" s="111"/>
      <c r="AX896" s="121"/>
    </row>
    <row r="897" spans="1:50" s="110" customFormat="1" ht="20" customHeight="1">
      <c r="A897" s="125" t="s">
        <v>237</v>
      </c>
      <c r="B897" s="126" t="s">
        <v>60</v>
      </c>
      <c r="C897" s="127">
        <v>15475</v>
      </c>
      <c r="D897" s="157">
        <v>110044</v>
      </c>
      <c r="E897" s="158" t="s">
        <v>2910</v>
      </c>
      <c r="F897" s="158" t="s">
        <v>2911</v>
      </c>
      <c r="G897" s="159">
        <v>3100</v>
      </c>
      <c r="H897" s="159">
        <v>2</v>
      </c>
      <c r="I897" s="158" t="s">
        <v>209</v>
      </c>
      <c r="J897" s="158" t="s">
        <v>2912</v>
      </c>
      <c r="K897" s="158" t="s">
        <v>2911</v>
      </c>
      <c r="L897" s="159">
        <v>1</v>
      </c>
      <c r="M897" s="159">
        <v>4</v>
      </c>
      <c r="N897" s="158" t="s">
        <v>1548</v>
      </c>
      <c r="O897" s="159">
        <v>12</v>
      </c>
      <c r="P897" s="159">
        <v>1.639</v>
      </c>
      <c r="Q897" s="159">
        <v>17</v>
      </c>
      <c r="R897" s="158" t="s">
        <v>190</v>
      </c>
      <c r="S897" s="158" t="s">
        <v>191</v>
      </c>
      <c r="T897" s="159">
        <v>131</v>
      </c>
      <c r="U897" s="158" t="s">
        <v>406</v>
      </c>
      <c r="V897" s="158" t="s">
        <v>407</v>
      </c>
      <c r="W897" s="159">
        <v>2</v>
      </c>
      <c r="X897" s="159">
        <v>2</v>
      </c>
      <c r="Y897" s="158" t="s">
        <v>194</v>
      </c>
      <c r="Z897" s="158" t="s">
        <v>195</v>
      </c>
      <c r="AA897" s="158" t="s">
        <v>196</v>
      </c>
      <c r="AB897" s="158" t="s">
        <v>187</v>
      </c>
      <c r="AC897" s="158" t="s">
        <v>187</v>
      </c>
      <c r="AD897" s="160"/>
      <c r="AE897" s="158" t="s">
        <v>209</v>
      </c>
      <c r="AF897" s="159">
        <v>4.4312899999999997</v>
      </c>
      <c r="AG897" s="161">
        <v>117.89449</v>
      </c>
      <c r="AO897" s="121"/>
      <c r="AT897" s="111"/>
      <c r="AX897" s="121"/>
    </row>
    <row r="898" spans="1:50" s="110" customFormat="1" ht="20" customHeight="1">
      <c r="A898" s="125" t="s">
        <v>237</v>
      </c>
      <c r="B898" s="126" t="s">
        <v>60</v>
      </c>
      <c r="C898" s="127">
        <v>20963</v>
      </c>
      <c r="D898" s="145">
        <v>117616</v>
      </c>
      <c r="E898" s="146" t="s">
        <v>4061</v>
      </c>
      <c r="F898" s="146" t="s">
        <v>4061</v>
      </c>
      <c r="G898" s="147">
        <v>21000</v>
      </c>
      <c r="H898" s="147">
        <v>4</v>
      </c>
      <c r="I898" s="146" t="s">
        <v>209</v>
      </c>
      <c r="J898" s="146" t="s">
        <v>4062</v>
      </c>
      <c r="K898" s="146" t="s">
        <v>4061</v>
      </c>
      <c r="L898" s="147">
        <v>0</v>
      </c>
      <c r="M898" s="147">
        <v>4</v>
      </c>
      <c r="N898" s="146" t="s">
        <v>1548</v>
      </c>
      <c r="O898" s="147">
        <v>14</v>
      </c>
      <c r="P898" s="147">
        <v>4</v>
      </c>
      <c r="Q898" s="147">
        <v>17</v>
      </c>
      <c r="R898" s="146" t="s">
        <v>190</v>
      </c>
      <c r="S898" s="146" t="s">
        <v>191</v>
      </c>
      <c r="T898" s="147">
        <v>131</v>
      </c>
      <c r="U898" s="146" t="s">
        <v>406</v>
      </c>
      <c r="V898" s="146" t="s">
        <v>407</v>
      </c>
      <c r="W898" s="147">
        <v>1</v>
      </c>
      <c r="X898" s="147">
        <v>2</v>
      </c>
      <c r="Y898" s="146" t="s">
        <v>194</v>
      </c>
      <c r="Z898" s="146" t="s">
        <v>195</v>
      </c>
      <c r="AA898" s="146" t="s">
        <v>196</v>
      </c>
      <c r="AB898" s="146" t="s">
        <v>187</v>
      </c>
      <c r="AC898" s="146" t="s">
        <v>187</v>
      </c>
      <c r="AD898" s="148"/>
      <c r="AE898" s="146" t="s">
        <v>209</v>
      </c>
      <c r="AF898" s="147">
        <v>5.7250259999999997</v>
      </c>
      <c r="AG898" s="149">
        <v>117.450119</v>
      </c>
      <c r="AO898" s="121"/>
      <c r="AT898" s="111"/>
      <c r="AX898" s="121"/>
    </row>
    <row r="899" spans="1:50" s="110" customFormat="1" ht="20" customHeight="1">
      <c r="A899" s="125" t="s">
        <v>185</v>
      </c>
      <c r="B899" s="126" t="s">
        <v>59</v>
      </c>
      <c r="C899" s="127">
        <v>10300</v>
      </c>
      <c r="D899" s="163">
        <v>100303</v>
      </c>
      <c r="E899" s="164" t="s">
        <v>4354</v>
      </c>
      <c r="F899" s="164" t="s">
        <v>4354</v>
      </c>
      <c r="G899" s="165">
        <v>39000</v>
      </c>
      <c r="H899" s="165">
        <v>1</v>
      </c>
      <c r="I899" s="164" t="s">
        <v>187</v>
      </c>
      <c r="J899" s="164" t="s">
        <v>4355</v>
      </c>
      <c r="K899" s="164" t="s">
        <v>4354</v>
      </c>
      <c r="L899" s="165">
        <v>1</v>
      </c>
      <c r="M899" s="165">
        <v>4</v>
      </c>
      <c r="N899" s="164" t="s">
        <v>1548</v>
      </c>
      <c r="O899" s="165">
        <v>0</v>
      </c>
      <c r="P899" s="165">
        <v>0</v>
      </c>
      <c r="Q899" s="165">
        <v>17</v>
      </c>
      <c r="R899" s="164" t="s">
        <v>190</v>
      </c>
      <c r="S899" s="164" t="s">
        <v>191</v>
      </c>
      <c r="T899" s="165">
        <v>133</v>
      </c>
      <c r="U899" s="164" t="s">
        <v>340</v>
      </c>
      <c r="V899" s="164" t="s">
        <v>341</v>
      </c>
      <c r="W899" s="165">
        <v>1</v>
      </c>
      <c r="X899" s="165">
        <v>2</v>
      </c>
      <c r="Y899" s="164" t="s">
        <v>194</v>
      </c>
      <c r="Z899" s="164" t="s">
        <v>195</v>
      </c>
      <c r="AA899" s="164" t="s">
        <v>196</v>
      </c>
      <c r="AB899" s="164" t="s">
        <v>187</v>
      </c>
      <c r="AC899" s="164" t="s">
        <v>187</v>
      </c>
      <c r="AD899" s="165">
        <v>1</v>
      </c>
      <c r="AE899" s="164" t="s">
        <v>187</v>
      </c>
      <c r="AF899" s="165">
        <v>-0.78617999999999999</v>
      </c>
      <c r="AG899" s="166">
        <v>116.38997999999999</v>
      </c>
      <c r="AO899" s="121"/>
      <c r="AT899" s="111"/>
      <c r="AX899" s="121"/>
    </row>
    <row r="900" spans="1:50" s="110" customFormat="1" ht="20" customHeight="1">
      <c r="A900" s="125" t="s">
        <v>185</v>
      </c>
      <c r="B900" s="126" t="s">
        <v>59</v>
      </c>
      <c r="C900" s="127">
        <v>14933</v>
      </c>
      <c r="D900" s="163">
        <v>108981</v>
      </c>
      <c r="E900" s="164" t="s">
        <v>4017</v>
      </c>
      <c r="F900" s="164" t="s">
        <v>4017</v>
      </c>
      <c r="G900" s="165">
        <v>19000</v>
      </c>
      <c r="H900" s="165">
        <v>1</v>
      </c>
      <c r="I900" s="164" t="s">
        <v>187</v>
      </c>
      <c r="J900" s="164" t="s">
        <v>4018</v>
      </c>
      <c r="K900" s="164" t="s">
        <v>4017</v>
      </c>
      <c r="L900" s="165">
        <v>2</v>
      </c>
      <c r="M900" s="165">
        <v>4</v>
      </c>
      <c r="N900" s="164" t="s">
        <v>1548</v>
      </c>
      <c r="O900" s="165">
        <v>5</v>
      </c>
      <c r="P900" s="165">
        <v>0.2</v>
      </c>
      <c r="Q900" s="165">
        <v>17</v>
      </c>
      <c r="R900" s="164" t="s">
        <v>190</v>
      </c>
      <c r="S900" s="164" t="s">
        <v>191</v>
      </c>
      <c r="T900" s="165">
        <v>133</v>
      </c>
      <c r="U900" s="164" t="s">
        <v>340</v>
      </c>
      <c r="V900" s="164" t="s">
        <v>341</v>
      </c>
      <c r="W900" s="165">
        <v>1</v>
      </c>
      <c r="X900" s="165">
        <v>2</v>
      </c>
      <c r="Y900" s="164" t="s">
        <v>194</v>
      </c>
      <c r="Z900" s="164" t="s">
        <v>195</v>
      </c>
      <c r="AA900" s="164" t="s">
        <v>196</v>
      </c>
      <c r="AB900" s="164" t="s">
        <v>187</v>
      </c>
      <c r="AC900" s="164" t="s">
        <v>187</v>
      </c>
      <c r="AD900" s="165">
        <v>1</v>
      </c>
      <c r="AE900" s="164" t="s">
        <v>209</v>
      </c>
      <c r="AF900" s="165">
        <v>-0.38356000000000001</v>
      </c>
      <c r="AG900" s="166">
        <v>114.70559</v>
      </c>
      <c r="AO900" s="121"/>
      <c r="AT900" s="111"/>
      <c r="AX900" s="121"/>
    </row>
    <row r="901" spans="1:50" s="110" customFormat="1" ht="20" customHeight="1">
      <c r="A901" s="125" t="s">
        <v>185</v>
      </c>
      <c r="B901" s="126" t="s">
        <v>59</v>
      </c>
      <c r="C901" s="127">
        <v>15304</v>
      </c>
      <c r="D901" s="157">
        <v>109903</v>
      </c>
      <c r="E901" s="158" t="s">
        <v>4307</v>
      </c>
      <c r="F901" s="158" t="s">
        <v>4307</v>
      </c>
      <c r="G901" s="159">
        <v>36000</v>
      </c>
      <c r="H901" s="159">
        <v>2</v>
      </c>
      <c r="I901" s="158" t="s">
        <v>209</v>
      </c>
      <c r="J901" s="158" t="s">
        <v>4308</v>
      </c>
      <c r="K901" s="158" t="s">
        <v>4309</v>
      </c>
      <c r="L901" s="159">
        <v>3</v>
      </c>
      <c r="M901" s="159">
        <v>4</v>
      </c>
      <c r="N901" s="158" t="s">
        <v>1548</v>
      </c>
      <c r="O901" s="159">
        <v>15</v>
      </c>
      <c r="P901" s="159">
        <v>2</v>
      </c>
      <c r="Q901" s="159">
        <v>17</v>
      </c>
      <c r="R901" s="158" t="s">
        <v>190</v>
      </c>
      <c r="S901" s="158" t="s">
        <v>191</v>
      </c>
      <c r="T901" s="159">
        <v>133</v>
      </c>
      <c r="U901" s="158" t="s">
        <v>340</v>
      </c>
      <c r="V901" s="158" t="s">
        <v>341</v>
      </c>
      <c r="W901" s="159">
        <v>1</v>
      </c>
      <c r="X901" s="159">
        <v>2</v>
      </c>
      <c r="Y901" s="158" t="s">
        <v>194</v>
      </c>
      <c r="Z901" s="158" t="s">
        <v>195</v>
      </c>
      <c r="AA901" s="158" t="s">
        <v>196</v>
      </c>
      <c r="AB901" s="158" t="s">
        <v>187</v>
      </c>
      <c r="AC901" s="158" t="s">
        <v>187</v>
      </c>
      <c r="AD901" s="160"/>
      <c r="AE901" s="158" t="s">
        <v>209</v>
      </c>
      <c r="AF901" s="159">
        <v>-1.15726</v>
      </c>
      <c r="AG901" s="161">
        <v>115.36853000000001</v>
      </c>
      <c r="AO901" s="121"/>
      <c r="AT901" s="111"/>
      <c r="AX901" s="121"/>
    </row>
    <row r="902" spans="1:50" s="110" customFormat="1" ht="20" customHeight="1">
      <c r="A902" s="125" t="s">
        <v>185</v>
      </c>
      <c r="B902" s="126" t="s">
        <v>59</v>
      </c>
      <c r="C902" s="127">
        <v>11650</v>
      </c>
      <c r="D902" s="157">
        <v>102778</v>
      </c>
      <c r="E902" s="158" t="s">
        <v>3251</v>
      </c>
      <c r="F902" s="158" t="s">
        <v>3251</v>
      </c>
      <c r="G902" s="159">
        <v>5500</v>
      </c>
      <c r="H902" s="159">
        <v>2</v>
      </c>
      <c r="I902" s="158" t="s">
        <v>209</v>
      </c>
      <c r="J902" s="158" t="s">
        <v>3252</v>
      </c>
      <c r="K902" s="158" t="s">
        <v>3251</v>
      </c>
      <c r="L902" s="159">
        <v>0</v>
      </c>
      <c r="M902" s="159">
        <v>4</v>
      </c>
      <c r="N902" s="158" t="s">
        <v>1548</v>
      </c>
      <c r="O902" s="159">
        <v>35</v>
      </c>
      <c r="P902" s="159">
        <v>2</v>
      </c>
      <c r="Q902" s="159">
        <v>17</v>
      </c>
      <c r="R902" s="158" t="s">
        <v>190</v>
      </c>
      <c r="S902" s="158" t="s">
        <v>191</v>
      </c>
      <c r="T902" s="159">
        <v>133</v>
      </c>
      <c r="U902" s="158" t="s">
        <v>340</v>
      </c>
      <c r="V902" s="158" t="s">
        <v>341</v>
      </c>
      <c r="W902" s="159">
        <v>1</v>
      </c>
      <c r="X902" s="159">
        <v>2</v>
      </c>
      <c r="Y902" s="158" t="s">
        <v>194</v>
      </c>
      <c r="Z902" s="158" t="s">
        <v>195</v>
      </c>
      <c r="AA902" s="158" t="s">
        <v>196</v>
      </c>
      <c r="AB902" s="158" t="s">
        <v>187</v>
      </c>
      <c r="AC902" s="158" t="s">
        <v>187</v>
      </c>
      <c r="AD902" s="160"/>
      <c r="AE902" s="158" t="s">
        <v>209</v>
      </c>
      <c r="AF902" s="159">
        <v>-0.65639000000000003</v>
      </c>
      <c r="AG902" s="161">
        <v>115.01681000000001</v>
      </c>
      <c r="AO902" s="121"/>
      <c r="AT902" s="111"/>
      <c r="AX902" s="121"/>
    </row>
    <row r="903" spans="1:50" s="110" customFormat="1" ht="20" customHeight="1">
      <c r="A903" s="125" t="s">
        <v>185</v>
      </c>
      <c r="B903" s="126" t="s">
        <v>59</v>
      </c>
      <c r="C903" s="127">
        <v>14232</v>
      </c>
      <c r="D903" s="145">
        <v>107702</v>
      </c>
      <c r="E903" s="146" t="s">
        <v>4587</v>
      </c>
      <c r="F903" s="146" t="s">
        <v>4587</v>
      </c>
      <c r="G903" s="147">
        <v>93000</v>
      </c>
      <c r="H903" s="147">
        <v>4</v>
      </c>
      <c r="I903" s="146" t="s">
        <v>209</v>
      </c>
      <c r="J903" s="146" t="s">
        <v>4588</v>
      </c>
      <c r="K903" s="146" t="s">
        <v>4589</v>
      </c>
      <c r="L903" s="147">
        <v>4</v>
      </c>
      <c r="M903" s="147">
        <v>4</v>
      </c>
      <c r="N903" s="146" t="s">
        <v>1548</v>
      </c>
      <c r="O903" s="147">
        <v>14</v>
      </c>
      <c r="P903" s="147">
        <v>9</v>
      </c>
      <c r="Q903" s="147">
        <v>17</v>
      </c>
      <c r="R903" s="146" t="s">
        <v>190</v>
      </c>
      <c r="S903" s="146" t="s">
        <v>191</v>
      </c>
      <c r="T903" s="147">
        <v>133</v>
      </c>
      <c r="U903" s="146" t="s">
        <v>340</v>
      </c>
      <c r="V903" s="146" t="s">
        <v>341</v>
      </c>
      <c r="W903" s="147">
        <v>1</v>
      </c>
      <c r="X903" s="147">
        <v>2</v>
      </c>
      <c r="Y903" s="146" t="s">
        <v>194</v>
      </c>
      <c r="Z903" s="146" t="s">
        <v>195</v>
      </c>
      <c r="AA903" s="146" t="s">
        <v>196</v>
      </c>
      <c r="AB903" s="146" t="s">
        <v>187</v>
      </c>
      <c r="AC903" s="146" t="s">
        <v>187</v>
      </c>
      <c r="AD903" s="148"/>
      <c r="AE903" s="146" t="s">
        <v>209</v>
      </c>
      <c r="AF903" s="147">
        <v>-0.36071999999999999</v>
      </c>
      <c r="AG903" s="149">
        <v>113.49914</v>
      </c>
      <c r="AO903" s="121"/>
      <c r="AT903" s="111"/>
      <c r="AX903" s="121"/>
    </row>
    <row r="904" spans="1:50" s="110" customFormat="1" ht="20" customHeight="1">
      <c r="A904" s="125" t="s">
        <v>185</v>
      </c>
      <c r="B904" s="126" t="s">
        <v>59</v>
      </c>
      <c r="C904" s="127">
        <v>11649</v>
      </c>
      <c r="D904" s="145">
        <v>102777</v>
      </c>
      <c r="E904" s="146" t="s">
        <v>4310</v>
      </c>
      <c r="F904" s="146" t="s">
        <v>4310</v>
      </c>
      <c r="G904" s="147">
        <v>36000</v>
      </c>
      <c r="H904" s="147">
        <v>4</v>
      </c>
      <c r="I904" s="146" t="s">
        <v>209</v>
      </c>
      <c r="J904" s="146" t="s">
        <v>4311</v>
      </c>
      <c r="K904" s="146" t="s">
        <v>4310</v>
      </c>
      <c r="L904" s="147">
        <v>1</v>
      </c>
      <c r="M904" s="147">
        <v>4</v>
      </c>
      <c r="N904" s="146" t="s">
        <v>1548</v>
      </c>
      <c r="O904" s="147">
        <v>30</v>
      </c>
      <c r="P904" s="147">
        <v>4</v>
      </c>
      <c r="Q904" s="147">
        <v>17</v>
      </c>
      <c r="R904" s="146" t="s">
        <v>190</v>
      </c>
      <c r="S904" s="146" t="s">
        <v>191</v>
      </c>
      <c r="T904" s="147">
        <v>133</v>
      </c>
      <c r="U904" s="146" t="s">
        <v>340</v>
      </c>
      <c r="V904" s="146" t="s">
        <v>341</v>
      </c>
      <c r="W904" s="147">
        <v>1</v>
      </c>
      <c r="X904" s="147">
        <v>2</v>
      </c>
      <c r="Y904" s="146" t="s">
        <v>194</v>
      </c>
      <c r="Z904" s="146" t="s">
        <v>195</v>
      </c>
      <c r="AA904" s="146" t="s">
        <v>196</v>
      </c>
      <c r="AB904" s="146" t="s">
        <v>187</v>
      </c>
      <c r="AC904" s="146" t="s">
        <v>187</v>
      </c>
      <c r="AD904" s="148"/>
      <c r="AE904" s="146" t="s">
        <v>209</v>
      </c>
      <c r="AF904" s="147">
        <v>-2.0010300000000001</v>
      </c>
      <c r="AG904" s="149">
        <v>115.60785</v>
      </c>
      <c r="AO904" s="121"/>
      <c r="AT904" s="111"/>
      <c r="AX904" s="121"/>
    </row>
    <row r="905" spans="1:50" s="110" customFormat="1" ht="20" customHeight="1">
      <c r="A905" s="125" t="s">
        <v>185</v>
      </c>
      <c r="B905" s="126" t="s">
        <v>59</v>
      </c>
      <c r="C905" s="127">
        <v>19533</v>
      </c>
      <c r="D905" s="145">
        <v>115412</v>
      </c>
      <c r="E905" s="146" t="s">
        <v>3621</v>
      </c>
      <c r="F905" s="146" t="s">
        <v>3621</v>
      </c>
      <c r="G905" s="147">
        <v>10000</v>
      </c>
      <c r="H905" s="147">
        <v>4</v>
      </c>
      <c r="I905" s="146" t="s">
        <v>209</v>
      </c>
      <c r="J905" s="146" t="s">
        <v>3622</v>
      </c>
      <c r="K905" s="146" t="s">
        <v>3621</v>
      </c>
      <c r="L905" s="147">
        <v>2</v>
      </c>
      <c r="M905" s="147">
        <v>4</v>
      </c>
      <c r="N905" s="146" t="s">
        <v>1548</v>
      </c>
      <c r="O905" s="147">
        <v>25</v>
      </c>
      <c r="P905" s="147">
        <v>3</v>
      </c>
      <c r="Q905" s="147">
        <v>17</v>
      </c>
      <c r="R905" s="146" t="s">
        <v>190</v>
      </c>
      <c r="S905" s="146" t="s">
        <v>191</v>
      </c>
      <c r="T905" s="147">
        <v>133</v>
      </c>
      <c r="U905" s="146" t="s">
        <v>340</v>
      </c>
      <c r="V905" s="146" t="s">
        <v>341</v>
      </c>
      <c r="W905" s="147">
        <v>1</v>
      </c>
      <c r="X905" s="147">
        <v>2</v>
      </c>
      <c r="Y905" s="146" t="s">
        <v>194</v>
      </c>
      <c r="Z905" s="146" t="s">
        <v>195</v>
      </c>
      <c r="AA905" s="146" t="s">
        <v>196</v>
      </c>
      <c r="AB905" s="146" t="s">
        <v>187</v>
      </c>
      <c r="AC905" s="146" t="s">
        <v>187</v>
      </c>
      <c r="AD905" s="148"/>
      <c r="AE905" s="146" t="s">
        <v>209</v>
      </c>
      <c r="AF905" s="147">
        <v>-1.59012</v>
      </c>
      <c r="AG905" s="149">
        <v>111.95390999999999</v>
      </c>
      <c r="AO905" s="121"/>
      <c r="AT905" s="111"/>
      <c r="AX905" s="121"/>
    </row>
    <row r="906" spans="1:50" s="110" customFormat="1" ht="20" customHeight="1">
      <c r="A906" s="125" t="s">
        <v>185</v>
      </c>
      <c r="B906" s="126" t="s">
        <v>59</v>
      </c>
      <c r="C906" s="127">
        <v>14267</v>
      </c>
      <c r="D906" s="145">
        <v>107771</v>
      </c>
      <c r="E906" s="146" t="s">
        <v>3086</v>
      </c>
      <c r="F906" s="146" t="s">
        <v>3086</v>
      </c>
      <c r="G906" s="147">
        <v>4400</v>
      </c>
      <c r="H906" s="147">
        <v>4</v>
      </c>
      <c r="I906" s="146" t="s">
        <v>209</v>
      </c>
      <c r="J906" s="146" t="s">
        <v>3087</v>
      </c>
      <c r="K906" s="146" t="s">
        <v>3086</v>
      </c>
      <c r="L906" s="147">
        <v>0</v>
      </c>
      <c r="M906" s="147">
        <v>4</v>
      </c>
      <c r="N906" s="146" t="s">
        <v>1548</v>
      </c>
      <c r="O906" s="147">
        <v>34</v>
      </c>
      <c r="P906" s="147">
        <v>5</v>
      </c>
      <c r="Q906" s="147">
        <v>17</v>
      </c>
      <c r="R906" s="146" t="s">
        <v>190</v>
      </c>
      <c r="S906" s="146" t="s">
        <v>191</v>
      </c>
      <c r="T906" s="147">
        <v>133</v>
      </c>
      <c r="U906" s="146" t="s">
        <v>340</v>
      </c>
      <c r="V906" s="146" t="s">
        <v>341</v>
      </c>
      <c r="W906" s="147">
        <v>1</v>
      </c>
      <c r="X906" s="147">
        <v>2</v>
      </c>
      <c r="Y906" s="146" t="s">
        <v>194</v>
      </c>
      <c r="Z906" s="146" t="s">
        <v>195</v>
      </c>
      <c r="AA906" s="146" t="s">
        <v>196</v>
      </c>
      <c r="AB906" s="146" t="s">
        <v>187</v>
      </c>
      <c r="AC906" s="146" t="s">
        <v>187</v>
      </c>
      <c r="AD906" s="148"/>
      <c r="AE906" s="146" t="s">
        <v>209</v>
      </c>
      <c r="AF906" s="147">
        <v>-1.9068799999999999</v>
      </c>
      <c r="AG906" s="149">
        <v>115.08889000000001</v>
      </c>
      <c r="AO906" s="121"/>
      <c r="AT906" s="111"/>
      <c r="AX906" s="121"/>
    </row>
    <row r="907" spans="1:50" s="110" customFormat="1" ht="20" customHeight="1">
      <c r="A907" s="125" t="s">
        <v>370</v>
      </c>
      <c r="B907" s="126" t="s">
        <v>58</v>
      </c>
      <c r="C907" s="127">
        <v>14357</v>
      </c>
      <c r="D907" s="163">
        <v>107968</v>
      </c>
      <c r="E907" s="164" t="s">
        <v>1545</v>
      </c>
      <c r="F907" s="164" t="s">
        <v>1545</v>
      </c>
      <c r="G907" s="165">
        <v>60</v>
      </c>
      <c r="H907" s="165">
        <v>1</v>
      </c>
      <c r="I907" s="164" t="s">
        <v>187</v>
      </c>
      <c r="J907" s="164" t="s">
        <v>1546</v>
      </c>
      <c r="K907" s="164" t="s">
        <v>1547</v>
      </c>
      <c r="L907" s="165">
        <v>4</v>
      </c>
      <c r="M907" s="165">
        <v>4</v>
      </c>
      <c r="N907" s="164" t="s">
        <v>1548</v>
      </c>
      <c r="O907" s="165">
        <v>0</v>
      </c>
      <c r="P907" s="165">
        <v>0</v>
      </c>
      <c r="Q907" s="165">
        <v>17</v>
      </c>
      <c r="R907" s="164" t="s">
        <v>190</v>
      </c>
      <c r="S907" s="164" t="s">
        <v>191</v>
      </c>
      <c r="T907" s="165">
        <v>155</v>
      </c>
      <c r="U907" s="164" t="s">
        <v>192</v>
      </c>
      <c r="V907" s="164" t="s">
        <v>193</v>
      </c>
      <c r="W907" s="165">
        <v>2</v>
      </c>
      <c r="X907" s="165">
        <v>2</v>
      </c>
      <c r="Y907" s="164" t="s">
        <v>194</v>
      </c>
      <c r="Z907" s="164" t="s">
        <v>195</v>
      </c>
      <c r="AA907" s="164" t="s">
        <v>196</v>
      </c>
      <c r="AB907" s="164" t="s">
        <v>187</v>
      </c>
      <c r="AC907" s="164" t="s">
        <v>187</v>
      </c>
      <c r="AD907" s="165">
        <v>1</v>
      </c>
      <c r="AE907" s="164" t="s">
        <v>187</v>
      </c>
      <c r="AF907" s="165">
        <v>4.3170900000000003</v>
      </c>
      <c r="AG907" s="166">
        <v>114.6207</v>
      </c>
      <c r="AO907" s="121"/>
      <c r="AT907" s="111"/>
      <c r="AX907" s="121"/>
    </row>
    <row r="908" spans="1:50" s="110" customFormat="1" ht="20" customHeight="1">
      <c r="A908" s="125" t="s">
        <v>370</v>
      </c>
      <c r="B908" s="126" t="s">
        <v>58</v>
      </c>
      <c r="C908" s="127">
        <v>12589</v>
      </c>
      <c r="D908" s="145">
        <v>104779</v>
      </c>
      <c r="E908" s="146" t="s">
        <v>2707</v>
      </c>
      <c r="F908" s="146" t="s">
        <v>2707</v>
      </c>
      <c r="G908" s="147">
        <v>2100</v>
      </c>
      <c r="H908" s="147">
        <v>4</v>
      </c>
      <c r="I908" s="146" t="s">
        <v>209</v>
      </c>
      <c r="J908" s="146" t="s">
        <v>2708</v>
      </c>
      <c r="K908" s="146" t="s">
        <v>2707</v>
      </c>
      <c r="L908" s="147">
        <v>1</v>
      </c>
      <c r="M908" s="147">
        <v>4</v>
      </c>
      <c r="N908" s="146" t="s">
        <v>1548</v>
      </c>
      <c r="O908" s="147">
        <v>9</v>
      </c>
      <c r="P908" s="147">
        <v>7</v>
      </c>
      <c r="Q908" s="147">
        <v>17</v>
      </c>
      <c r="R908" s="146" t="s">
        <v>190</v>
      </c>
      <c r="S908" s="146" t="s">
        <v>191</v>
      </c>
      <c r="T908" s="147">
        <v>155</v>
      </c>
      <c r="U908" s="146" t="s">
        <v>192</v>
      </c>
      <c r="V908" s="146" t="s">
        <v>193</v>
      </c>
      <c r="W908" s="147">
        <v>2</v>
      </c>
      <c r="X908" s="147">
        <v>2</v>
      </c>
      <c r="Y908" s="146" t="s">
        <v>194</v>
      </c>
      <c r="Z908" s="146" t="s">
        <v>195</v>
      </c>
      <c r="AA908" s="146" t="s">
        <v>196</v>
      </c>
      <c r="AB908" s="146" t="s">
        <v>187</v>
      </c>
      <c r="AC908" s="146" t="s">
        <v>209</v>
      </c>
      <c r="AD908" s="148"/>
      <c r="AE908" s="146" t="s">
        <v>209</v>
      </c>
      <c r="AF908" s="147">
        <v>4.0777520000000003</v>
      </c>
      <c r="AG908" s="149">
        <v>114.66943999999999</v>
      </c>
      <c r="AO908" s="121"/>
      <c r="AT908" s="111"/>
      <c r="AX908" s="121"/>
    </row>
    <row r="909" spans="1:50" s="110" customFormat="1" ht="20" customHeight="1">
      <c r="A909" s="125" t="s">
        <v>370</v>
      </c>
      <c r="B909" s="126" t="s">
        <v>58</v>
      </c>
      <c r="C909" s="127">
        <v>12167</v>
      </c>
      <c r="D909" s="128">
        <v>103933</v>
      </c>
      <c r="E909" s="129" t="s">
        <v>4016</v>
      </c>
      <c r="F909" s="129" t="s">
        <v>4016</v>
      </c>
      <c r="G909" s="130">
        <v>21000</v>
      </c>
      <c r="H909" s="130">
        <v>5</v>
      </c>
      <c r="I909" s="129" t="s">
        <v>209</v>
      </c>
      <c r="J909" s="129" t="s">
        <v>3689</v>
      </c>
      <c r="K909" s="129" t="s">
        <v>3690</v>
      </c>
      <c r="L909" s="130">
        <v>5</v>
      </c>
      <c r="M909" s="130">
        <v>4</v>
      </c>
      <c r="N909" s="129" t="s">
        <v>1548</v>
      </c>
      <c r="O909" s="130">
        <v>18</v>
      </c>
      <c r="P909" s="130">
        <v>16</v>
      </c>
      <c r="Q909" s="130">
        <v>17</v>
      </c>
      <c r="R909" s="129" t="s">
        <v>190</v>
      </c>
      <c r="S909" s="129" t="s">
        <v>191</v>
      </c>
      <c r="T909" s="130">
        <v>155</v>
      </c>
      <c r="U909" s="129" t="s">
        <v>192</v>
      </c>
      <c r="V909" s="129" t="s">
        <v>193</v>
      </c>
      <c r="W909" s="130">
        <v>3</v>
      </c>
      <c r="X909" s="130">
        <v>2</v>
      </c>
      <c r="Y909" s="129" t="s">
        <v>194</v>
      </c>
      <c r="Z909" s="129" t="s">
        <v>195</v>
      </c>
      <c r="AA909" s="129" t="s">
        <v>196</v>
      </c>
      <c r="AB909" s="129" t="s">
        <v>187</v>
      </c>
      <c r="AC909" s="129" t="s">
        <v>187</v>
      </c>
      <c r="AD909" s="131"/>
      <c r="AE909" s="129" t="s">
        <v>209</v>
      </c>
      <c r="AF909" s="130">
        <v>4.4111399999999996</v>
      </c>
      <c r="AG909" s="132">
        <v>114.73173</v>
      </c>
      <c r="AO909" s="121"/>
      <c r="AT909" s="111"/>
      <c r="AX909" s="121"/>
    </row>
    <row r="910" spans="1:50" s="110" customFormat="1" ht="20" customHeight="1">
      <c r="A910" s="125" t="s">
        <v>185</v>
      </c>
      <c r="B910" s="126" t="s">
        <v>59</v>
      </c>
      <c r="C910" s="127">
        <v>13757</v>
      </c>
      <c r="D910" s="163">
        <v>106698</v>
      </c>
      <c r="E910" s="164" t="s">
        <v>4186</v>
      </c>
      <c r="F910" s="164" t="s">
        <v>4186</v>
      </c>
      <c r="G910" s="165">
        <v>28000</v>
      </c>
      <c r="H910" s="165">
        <v>1</v>
      </c>
      <c r="I910" s="164" t="s">
        <v>187</v>
      </c>
      <c r="J910" s="164" t="s">
        <v>4187</v>
      </c>
      <c r="K910" s="164" t="s">
        <v>4186</v>
      </c>
      <c r="L910" s="165">
        <v>1</v>
      </c>
      <c r="M910" s="165">
        <v>4</v>
      </c>
      <c r="N910" s="164" t="s">
        <v>1548</v>
      </c>
      <c r="O910" s="165">
        <v>5</v>
      </c>
      <c r="P910" s="165">
        <v>2</v>
      </c>
      <c r="Q910" s="165">
        <v>17</v>
      </c>
      <c r="R910" s="164" t="s">
        <v>190</v>
      </c>
      <c r="S910" s="164" t="s">
        <v>191</v>
      </c>
      <c r="T910" s="165">
        <v>155</v>
      </c>
      <c r="U910" s="164" t="s">
        <v>192</v>
      </c>
      <c r="V910" s="164" t="s">
        <v>193</v>
      </c>
      <c r="W910" s="165">
        <v>1</v>
      </c>
      <c r="X910" s="165">
        <v>2</v>
      </c>
      <c r="Y910" s="164" t="s">
        <v>194</v>
      </c>
      <c r="Z910" s="164" t="s">
        <v>195</v>
      </c>
      <c r="AA910" s="164" t="s">
        <v>196</v>
      </c>
      <c r="AB910" s="164" t="s">
        <v>187</v>
      </c>
      <c r="AC910" s="164" t="s">
        <v>187</v>
      </c>
      <c r="AD910" s="165">
        <v>1</v>
      </c>
      <c r="AE910" s="164" t="s">
        <v>209</v>
      </c>
      <c r="AF910" s="165">
        <v>1.1124099999999999</v>
      </c>
      <c r="AG910" s="166">
        <v>117.12144000000001</v>
      </c>
      <c r="AO910" s="121"/>
      <c r="AT910" s="111"/>
      <c r="AX910" s="121"/>
    </row>
    <row r="911" spans="1:50" s="110" customFormat="1" ht="20" customHeight="1">
      <c r="A911" s="125" t="s">
        <v>185</v>
      </c>
      <c r="B911" s="126" t="s">
        <v>59</v>
      </c>
      <c r="C911" s="127">
        <v>14363</v>
      </c>
      <c r="D911" s="163">
        <v>107975</v>
      </c>
      <c r="E911" s="164" t="s">
        <v>3127</v>
      </c>
      <c r="F911" s="164" t="s">
        <v>3128</v>
      </c>
      <c r="G911" s="165">
        <v>4700</v>
      </c>
      <c r="H911" s="165">
        <v>1</v>
      </c>
      <c r="I911" s="164" t="s">
        <v>187</v>
      </c>
      <c r="J911" s="164" t="s">
        <v>3129</v>
      </c>
      <c r="K911" s="164" t="s">
        <v>3130</v>
      </c>
      <c r="L911" s="165">
        <v>1</v>
      </c>
      <c r="M911" s="165">
        <v>4</v>
      </c>
      <c r="N911" s="164" t="s">
        <v>1548</v>
      </c>
      <c r="O911" s="165">
        <v>3</v>
      </c>
      <c r="P911" s="165">
        <v>0.5</v>
      </c>
      <c r="Q911" s="165">
        <v>17</v>
      </c>
      <c r="R911" s="164" t="s">
        <v>190</v>
      </c>
      <c r="S911" s="164" t="s">
        <v>191</v>
      </c>
      <c r="T911" s="165">
        <v>155</v>
      </c>
      <c r="U911" s="164" t="s">
        <v>192</v>
      </c>
      <c r="V911" s="164" t="s">
        <v>193</v>
      </c>
      <c r="W911" s="165">
        <v>1</v>
      </c>
      <c r="X911" s="165">
        <v>2</v>
      </c>
      <c r="Y911" s="164" t="s">
        <v>194</v>
      </c>
      <c r="Z911" s="164" t="s">
        <v>195</v>
      </c>
      <c r="AA911" s="164" t="s">
        <v>196</v>
      </c>
      <c r="AB911" s="164" t="s">
        <v>187</v>
      </c>
      <c r="AC911" s="164" t="s">
        <v>187</v>
      </c>
      <c r="AD911" s="165">
        <v>1</v>
      </c>
      <c r="AE911" s="164" t="s">
        <v>209</v>
      </c>
      <c r="AF911" s="165">
        <v>0.93984999999999996</v>
      </c>
      <c r="AG911" s="166">
        <v>114.15354000000001</v>
      </c>
      <c r="AO911" s="121"/>
      <c r="AT911" s="111"/>
      <c r="AX911" s="121"/>
    </row>
    <row r="912" spans="1:50" s="110" customFormat="1" ht="20" customHeight="1">
      <c r="A912" s="125" t="s">
        <v>185</v>
      </c>
      <c r="B912" s="126" t="s">
        <v>59</v>
      </c>
      <c r="C912" s="127">
        <v>14481</v>
      </c>
      <c r="D912" s="163">
        <v>108179</v>
      </c>
      <c r="E912" s="164" t="s">
        <v>2999</v>
      </c>
      <c r="F912" s="164" t="s">
        <v>2999</v>
      </c>
      <c r="G912" s="165">
        <v>3700</v>
      </c>
      <c r="H912" s="165">
        <v>1</v>
      </c>
      <c r="I912" s="164" t="s">
        <v>187</v>
      </c>
      <c r="J912" s="164" t="s">
        <v>3000</v>
      </c>
      <c r="K912" s="164" t="s">
        <v>2999</v>
      </c>
      <c r="L912" s="165">
        <v>2</v>
      </c>
      <c r="M912" s="165">
        <v>4</v>
      </c>
      <c r="N912" s="164" t="s">
        <v>1548</v>
      </c>
      <c r="O912" s="165">
        <v>4</v>
      </c>
      <c r="P912" s="165">
        <v>1.5</v>
      </c>
      <c r="Q912" s="165">
        <v>17</v>
      </c>
      <c r="R912" s="164" t="s">
        <v>190</v>
      </c>
      <c r="S912" s="164" t="s">
        <v>191</v>
      </c>
      <c r="T912" s="165">
        <v>155</v>
      </c>
      <c r="U912" s="164" t="s">
        <v>192</v>
      </c>
      <c r="V912" s="164" t="s">
        <v>193</v>
      </c>
      <c r="W912" s="165">
        <v>1</v>
      </c>
      <c r="X912" s="165">
        <v>2</v>
      </c>
      <c r="Y912" s="164" t="s">
        <v>194</v>
      </c>
      <c r="Z912" s="164" t="s">
        <v>195</v>
      </c>
      <c r="AA912" s="164" t="s">
        <v>196</v>
      </c>
      <c r="AB912" s="164" t="s">
        <v>187</v>
      </c>
      <c r="AC912" s="164" t="s">
        <v>187</v>
      </c>
      <c r="AD912" s="165">
        <v>1</v>
      </c>
      <c r="AE912" s="164" t="s">
        <v>209</v>
      </c>
      <c r="AF912" s="165">
        <v>3.26328</v>
      </c>
      <c r="AG912" s="166">
        <v>116.21026000000001</v>
      </c>
      <c r="AO912" s="121"/>
      <c r="AT912" s="111"/>
      <c r="AX912" s="121"/>
    </row>
    <row r="913" spans="1:50" s="110" customFormat="1" ht="20" customHeight="1">
      <c r="A913" s="125" t="s">
        <v>185</v>
      </c>
      <c r="B913" s="126" t="s">
        <v>59</v>
      </c>
      <c r="C913" s="127">
        <v>18955</v>
      </c>
      <c r="D913" s="163">
        <v>115433</v>
      </c>
      <c r="E913" s="164" t="s">
        <v>3001</v>
      </c>
      <c r="F913" s="164" t="s">
        <v>3001</v>
      </c>
      <c r="G913" s="165">
        <v>3700</v>
      </c>
      <c r="H913" s="165">
        <v>1</v>
      </c>
      <c r="I913" s="164" t="s">
        <v>187</v>
      </c>
      <c r="J913" s="164" t="s">
        <v>3002</v>
      </c>
      <c r="K913" s="164" t="s">
        <v>3003</v>
      </c>
      <c r="L913" s="165">
        <v>1</v>
      </c>
      <c r="M913" s="165">
        <v>4</v>
      </c>
      <c r="N913" s="164" t="s">
        <v>1548</v>
      </c>
      <c r="O913" s="165">
        <v>0</v>
      </c>
      <c r="P913" s="165">
        <v>0</v>
      </c>
      <c r="Q913" s="165">
        <v>17</v>
      </c>
      <c r="R913" s="164" t="s">
        <v>190</v>
      </c>
      <c r="S913" s="164" t="s">
        <v>191</v>
      </c>
      <c r="T913" s="165">
        <v>155</v>
      </c>
      <c r="U913" s="164" t="s">
        <v>192</v>
      </c>
      <c r="V913" s="164" t="s">
        <v>193</v>
      </c>
      <c r="W913" s="165">
        <v>1</v>
      </c>
      <c r="X913" s="165">
        <v>2</v>
      </c>
      <c r="Y913" s="164" t="s">
        <v>194</v>
      </c>
      <c r="Z913" s="164" t="s">
        <v>195</v>
      </c>
      <c r="AA913" s="164" t="s">
        <v>196</v>
      </c>
      <c r="AB913" s="164" t="s">
        <v>187</v>
      </c>
      <c r="AC913" s="164" t="s">
        <v>187</v>
      </c>
      <c r="AD913" s="165">
        <v>1</v>
      </c>
      <c r="AE913" s="164" t="s">
        <v>187</v>
      </c>
      <c r="AF913" s="165">
        <v>2.9589799999999999</v>
      </c>
      <c r="AG913" s="166">
        <v>117.16407</v>
      </c>
      <c r="AO913" s="121"/>
      <c r="AT913" s="111"/>
      <c r="AX913" s="121"/>
    </row>
    <row r="914" spans="1:50" s="110" customFormat="1" ht="20" customHeight="1">
      <c r="A914" s="125" t="s">
        <v>185</v>
      </c>
      <c r="B914" s="126" t="s">
        <v>59</v>
      </c>
      <c r="C914" s="127">
        <v>12591</v>
      </c>
      <c r="D914" s="163">
        <v>104780</v>
      </c>
      <c r="E914" s="164" t="s">
        <v>2975</v>
      </c>
      <c r="F914" s="164" t="s">
        <v>2975</v>
      </c>
      <c r="G914" s="165">
        <v>3600</v>
      </c>
      <c r="H914" s="165">
        <v>1</v>
      </c>
      <c r="I914" s="164" t="s">
        <v>187</v>
      </c>
      <c r="J914" s="164" t="s">
        <v>2976</v>
      </c>
      <c r="K914" s="164" t="s">
        <v>2975</v>
      </c>
      <c r="L914" s="165">
        <v>1</v>
      </c>
      <c r="M914" s="165">
        <v>4</v>
      </c>
      <c r="N914" s="164" t="s">
        <v>1548</v>
      </c>
      <c r="O914" s="165">
        <v>2</v>
      </c>
      <c r="P914" s="165">
        <v>0</v>
      </c>
      <c r="Q914" s="165">
        <v>17</v>
      </c>
      <c r="R914" s="164" t="s">
        <v>190</v>
      </c>
      <c r="S914" s="164" t="s">
        <v>191</v>
      </c>
      <c r="T914" s="165">
        <v>155</v>
      </c>
      <c r="U914" s="164" t="s">
        <v>192</v>
      </c>
      <c r="V914" s="164" t="s">
        <v>193</v>
      </c>
      <c r="W914" s="165">
        <v>1</v>
      </c>
      <c r="X914" s="165">
        <v>2</v>
      </c>
      <c r="Y914" s="164" t="s">
        <v>194</v>
      </c>
      <c r="Z914" s="164" t="s">
        <v>195</v>
      </c>
      <c r="AA914" s="164" t="s">
        <v>196</v>
      </c>
      <c r="AB914" s="164" t="s">
        <v>187</v>
      </c>
      <c r="AC914" s="164" t="s">
        <v>187</v>
      </c>
      <c r="AD914" s="165">
        <v>1</v>
      </c>
      <c r="AE914" s="164" t="s">
        <v>209</v>
      </c>
      <c r="AF914" s="165">
        <v>1.94085</v>
      </c>
      <c r="AG914" s="166">
        <v>115.87521</v>
      </c>
      <c r="AO914" s="121"/>
      <c r="AT914" s="111"/>
      <c r="AX914" s="121"/>
    </row>
    <row r="915" spans="1:50" s="110" customFormat="1" ht="20" customHeight="1">
      <c r="A915" s="125" t="s">
        <v>185</v>
      </c>
      <c r="B915" s="126" t="s">
        <v>59</v>
      </c>
      <c r="C915" s="127">
        <v>12592</v>
      </c>
      <c r="D915" s="163">
        <v>104781</v>
      </c>
      <c r="E915" s="164" t="s">
        <v>2836</v>
      </c>
      <c r="F915" s="164" t="s">
        <v>2836</v>
      </c>
      <c r="G915" s="165">
        <v>2700</v>
      </c>
      <c r="H915" s="165">
        <v>1</v>
      </c>
      <c r="I915" s="164" t="s">
        <v>187</v>
      </c>
      <c r="J915" s="164" t="s">
        <v>2837</v>
      </c>
      <c r="K915" s="164" t="s">
        <v>2836</v>
      </c>
      <c r="L915" s="165">
        <v>1</v>
      </c>
      <c r="M915" s="165">
        <v>4</v>
      </c>
      <c r="N915" s="164" t="s">
        <v>1548</v>
      </c>
      <c r="O915" s="165">
        <v>4</v>
      </c>
      <c r="P915" s="165">
        <v>1</v>
      </c>
      <c r="Q915" s="165">
        <v>17</v>
      </c>
      <c r="R915" s="164" t="s">
        <v>190</v>
      </c>
      <c r="S915" s="164" t="s">
        <v>191</v>
      </c>
      <c r="T915" s="165">
        <v>155</v>
      </c>
      <c r="U915" s="164" t="s">
        <v>192</v>
      </c>
      <c r="V915" s="164" t="s">
        <v>193</v>
      </c>
      <c r="W915" s="165">
        <v>1</v>
      </c>
      <c r="X915" s="165">
        <v>2</v>
      </c>
      <c r="Y915" s="164" t="s">
        <v>194</v>
      </c>
      <c r="Z915" s="164" t="s">
        <v>195</v>
      </c>
      <c r="AA915" s="164" t="s">
        <v>196</v>
      </c>
      <c r="AB915" s="164" t="s">
        <v>187</v>
      </c>
      <c r="AC915" s="164" t="s">
        <v>187</v>
      </c>
      <c r="AD915" s="165">
        <v>1</v>
      </c>
      <c r="AE915" s="164" t="s">
        <v>209</v>
      </c>
      <c r="AF915" s="165">
        <v>1.0161500000000001</v>
      </c>
      <c r="AG915" s="166">
        <v>113.18409</v>
      </c>
      <c r="AO915" s="121"/>
      <c r="AT915" s="111"/>
      <c r="AX915" s="121"/>
    </row>
    <row r="916" spans="1:50" s="110" customFormat="1" ht="20" customHeight="1">
      <c r="A916" s="125" t="s">
        <v>185</v>
      </c>
      <c r="B916" s="126" t="s">
        <v>59</v>
      </c>
      <c r="C916" s="127">
        <v>12590</v>
      </c>
      <c r="D916" s="163">
        <v>104778</v>
      </c>
      <c r="E916" s="164" t="s">
        <v>2713</v>
      </c>
      <c r="F916" s="164" t="s">
        <v>2713</v>
      </c>
      <c r="G916" s="165">
        <v>2100</v>
      </c>
      <c r="H916" s="165">
        <v>1</v>
      </c>
      <c r="I916" s="164" t="s">
        <v>187</v>
      </c>
      <c r="J916" s="164" t="s">
        <v>2714</v>
      </c>
      <c r="K916" s="164" t="s">
        <v>2715</v>
      </c>
      <c r="L916" s="165">
        <v>1</v>
      </c>
      <c r="M916" s="165">
        <v>4</v>
      </c>
      <c r="N916" s="164" t="s">
        <v>1548</v>
      </c>
      <c r="O916" s="165">
        <v>5</v>
      </c>
      <c r="P916" s="165">
        <v>2</v>
      </c>
      <c r="Q916" s="165">
        <v>17</v>
      </c>
      <c r="R916" s="164" t="s">
        <v>190</v>
      </c>
      <c r="S916" s="164" t="s">
        <v>191</v>
      </c>
      <c r="T916" s="165">
        <v>155</v>
      </c>
      <c r="U916" s="164" t="s">
        <v>192</v>
      </c>
      <c r="V916" s="164" t="s">
        <v>193</v>
      </c>
      <c r="W916" s="165">
        <v>1</v>
      </c>
      <c r="X916" s="165">
        <v>2</v>
      </c>
      <c r="Y916" s="164" t="s">
        <v>194</v>
      </c>
      <c r="Z916" s="164" t="s">
        <v>195</v>
      </c>
      <c r="AA916" s="164" t="s">
        <v>196</v>
      </c>
      <c r="AB916" s="164" t="s">
        <v>187</v>
      </c>
      <c r="AC916" s="164" t="s">
        <v>187</v>
      </c>
      <c r="AD916" s="165">
        <v>1</v>
      </c>
      <c r="AE916" s="164" t="s">
        <v>209</v>
      </c>
      <c r="AF916" s="165">
        <v>0.81608999999999998</v>
      </c>
      <c r="AG916" s="166">
        <v>114.54004999999999</v>
      </c>
      <c r="AO916" s="121"/>
      <c r="AT916" s="111"/>
      <c r="AX916" s="121"/>
    </row>
    <row r="917" spans="1:50" s="110" customFormat="1" ht="20" customHeight="1">
      <c r="A917" s="125" t="s">
        <v>185</v>
      </c>
      <c r="B917" s="126" t="s">
        <v>59</v>
      </c>
      <c r="C917" s="127">
        <v>14477</v>
      </c>
      <c r="D917" s="163">
        <v>108175</v>
      </c>
      <c r="E917" s="164" t="s">
        <v>2569</v>
      </c>
      <c r="F917" s="164" t="s">
        <v>2570</v>
      </c>
      <c r="G917" s="165">
        <v>1600</v>
      </c>
      <c r="H917" s="165">
        <v>1</v>
      </c>
      <c r="I917" s="164" t="s">
        <v>187</v>
      </c>
      <c r="J917" s="164" t="s">
        <v>2571</v>
      </c>
      <c r="K917" s="164" t="s">
        <v>2572</v>
      </c>
      <c r="L917" s="165">
        <v>3</v>
      </c>
      <c r="M917" s="165">
        <v>4</v>
      </c>
      <c r="N917" s="164" t="s">
        <v>1548</v>
      </c>
      <c r="O917" s="165">
        <v>5</v>
      </c>
      <c r="P917" s="165">
        <v>1</v>
      </c>
      <c r="Q917" s="165">
        <v>17</v>
      </c>
      <c r="R917" s="164" t="s">
        <v>190</v>
      </c>
      <c r="S917" s="164" t="s">
        <v>191</v>
      </c>
      <c r="T917" s="165">
        <v>155</v>
      </c>
      <c r="U917" s="164" t="s">
        <v>192</v>
      </c>
      <c r="V917" s="164" t="s">
        <v>193</v>
      </c>
      <c r="W917" s="165">
        <v>1</v>
      </c>
      <c r="X917" s="165">
        <v>2</v>
      </c>
      <c r="Y917" s="164" t="s">
        <v>194</v>
      </c>
      <c r="Z917" s="164" t="s">
        <v>195</v>
      </c>
      <c r="AA917" s="164" t="s">
        <v>196</v>
      </c>
      <c r="AB917" s="164" t="s">
        <v>187</v>
      </c>
      <c r="AC917" s="164" t="s">
        <v>187</v>
      </c>
      <c r="AD917" s="165">
        <v>1</v>
      </c>
      <c r="AE917" s="164" t="s">
        <v>209</v>
      </c>
      <c r="AF917" s="165">
        <v>0.97094000000000003</v>
      </c>
      <c r="AG917" s="166">
        <v>113.66301</v>
      </c>
      <c r="AO917" s="121"/>
      <c r="AT917" s="111"/>
      <c r="AX917" s="121"/>
    </row>
    <row r="918" spans="1:50" s="110" customFormat="1" ht="20" customHeight="1">
      <c r="A918" s="125" t="s">
        <v>185</v>
      </c>
      <c r="B918" s="126" t="s">
        <v>59</v>
      </c>
      <c r="C918" s="127">
        <v>10994</v>
      </c>
      <c r="D918" s="163">
        <v>101716</v>
      </c>
      <c r="E918" s="164" t="s">
        <v>2089</v>
      </c>
      <c r="F918" s="164" t="s">
        <v>2089</v>
      </c>
      <c r="G918" s="165">
        <v>700</v>
      </c>
      <c r="H918" s="165">
        <v>1</v>
      </c>
      <c r="I918" s="164" t="s">
        <v>187</v>
      </c>
      <c r="J918" s="164" t="s">
        <v>2090</v>
      </c>
      <c r="K918" s="164" t="s">
        <v>2089</v>
      </c>
      <c r="L918" s="165">
        <v>1</v>
      </c>
      <c r="M918" s="165">
        <v>4</v>
      </c>
      <c r="N918" s="164" t="s">
        <v>1548</v>
      </c>
      <c r="O918" s="165">
        <v>4</v>
      </c>
      <c r="P918" s="165">
        <v>0.6</v>
      </c>
      <c r="Q918" s="165">
        <v>17</v>
      </c>
      <c r="R918" s="164" t="s">
        <v>190</v>
      </c>
      <c r="S918" s="164" t="s">
        <v>191</v>
      </c>
      <c r="T918" s="165">
        <v>155</v>
      </c>
      <c r="U918" s="164" t="s">
        <v>192</v>
      </c>
      <c r="V918" s="164" t="s">
        <v>193</v>
      </c>
      <c r="W918" s="165">
        <v>1</v>
      </c>
      <c r="X918" s="165">
        <v>2</v>
      </c>
      <c r="Y918" s="164" t="s">
        <v>194</v>
      </c>
      <c r="Z918" s="164" t="s">
        <v>195</v>
      </c>
      <c r="AA918" s="164" t="s">
        <v>196</v>
      </c>
      <c r="AB918" s="164" t="s">
        <v>187</v>
      </c>
      <c r="AC918" s="164" t="s">
        <v>187</v>
      </c>
      <c r="AD918" s="165">
        <v>1</v>
      </c>
      <c r="AE918" s="164" t="s">
        <v>209</v>
      </c>
      <c r="AF918" s="165">
        <v>1.24868</v>
      </c>
      <c r="AG918" s="166">
        <v>113.15692</v>
      </c>
      <c r="AO918" s="121"/>
      <c r="AT918" s="111"/>
      <c r="AX918" s="121"/>
    </row>
    <row r="919" spans="1:50" s="110" customFormat="1" ht="20" customHeight="1">
      <c r="A919" s="125" t="s">
        <v>185</v>
      </c>
      <c r="B919" s="126" t="s">
        <v>59</v>
      </c>
      <c r="C919" s="127">
        <v>14475</v>
      </c>
      <c r="D919" s="163">
        <v>108173</v>
      </c>
      <c r="E919" s="164" t="s">
        <v>2105</v>
      </c>
      <c r="F919" s="164" t="s">
        <v>2105</v>
      </c>
      <c r="G919" s="165">
        <v>700</v>
      </c>
      <c r="H919" s="165">
        <v>1</v>
      </c>
      <c r="I919" s="164" t="s">
        <v>187</v>
      </c>
      <c r="J919" s="164" t="s">
        <v>2106</v>
      </c>
      <c r="K919" s="164" t="s">
        <v>2105</v>
      </c>
      <c r="L919" s="165">
        <v>1</v>
      </c>
      <c r="M919" s="165">
        <v>4</v>
      </c>
      <c r="N919" s="164" t="s">
        <v>1548</v>
      </c>
      <c r="O919" s="165">
        <v>2</v>
      </c>
      <c r="P919" s="165">
        <v>0.5</v>
      </c>
      <c r="Q919" s="165">
        <v>17</v>
      </c>
      <c r="R919" s="164" t="s">
        <v>190</v>
      </c>
      <c r="S919" s="164" t="s">
        <v>191</v>
      </c>
      <c r="T919" s="165">
        <v>155</v>
      </c>
      <c r="U919" s="164" t="s">
        <v>192</v>
      </c>
      <c r="V919" s="164" t="s">
        <v>193</v>
      </c>
      <c r="W919" s="165">
        <v>1</v>
      </c>
      <c r="X919" s="165">
        <v>2</v>
      </c>
      <c r="Y919" s="164" t="s">
        <v>194</v>
      </c>
      <c r="Z919" s="164" t="s">
        <v>195</v>
      </c>
      <c r="AA919" s="164" t="s">
        <v>196</v>
      </c>
      <c r="AB919" s="164" t="s">
        <v>187</v>
      </c>
      <c r="AC919" s="164" t="s">
        <v>187</v>
      </c>
      <c r="AD919" s="165">
        <v>1</v>
      </c>
      <c r="AE919" s="164" t="s">
        <v>209</v>
      </c>
      <c r="AF919" s="165">
        <v>1.4189400000000001</v>
      </c>
      <c r="AG919" s="166">
        <v>116.10056</v>
      </c>
      <c r="AO919" s="121"/>
      <c r="AT919" s="111"/>
      <c r="AX919" s="121"/>
    </row>
    <row r="920" spans="1:50" s="110" customFormat="1" ht="20" customHeight="1">
      <c r="A920" s="125" t="s">
        <v>185</v>
      </c>
      <c r="B920" s="126" t="s">
        <v>59</v>
      </c>
      <c r="C920" s="127">
        <v>14478</v>
      </c>
      <c r="D920" s="163">
        <v>108176</v>
      </c>
      <c r="E920" s="164" t="s">
        <v>2027</v>
      </c>
      <c r="F920" s="164" t="s">
        <v>2028</v>
      </c>
      <c r="G920" s="165">
        <v>600</v>
      </c>
      <c r="H920" s="165">
        <v>1</v>
      </c>
      <c r="I920" s="164" t="s">
        <v>187</v>
      </c>
      <c r="J920" s="164" t="s">
        <v>2029</v>
      </c>
      <c r="K920" s="164" t="s">
        <v>2030</v>
      </c>
      <c r="L920" s="165">
        <v>1</v>
      </c>
      <c r="M920" s="165">
        <v>4</v>
      </c>
      <c r="N920" s="164" t="s">
        <v>1548</v>
      </c>
      <c r="O920" s="165">
        <v>2</v>
      </c>
      <c r="P920" s="165">
        <v>0.5</v>
      </c>
      <c r="Q920" s="165">
        <v>17</v>
      </c>
      <c r="R920" s="164" t="s">
        <v>190</v>
      </c>
      <c r="S920" s="164" t="s">
        <v>191</v>
      </c>
      <c r="T920" s="165">
        <v>155</v>
      </c>
      <c r="U920" s="164" t="s">
        <v>192</v>
      </c>
      <c r="V920" s="164" t="s">
        <v>193</v>
      </c>
      <c r="W920" s="165">
        <v>1</v>
      </c>
      <c r="X920" s="165">
        <v>2</v>
      </c>
      <c r="Y920" s="164" t="s">
        <v>194</v>
      </c>
      <c r="Z920" s="164" t="s">
        <v>195</v>
      </c>
      <c r="AA920" s="164" t="s">
        <v>196</v>
      </c>
      <c r="AB920" s="164" t="s">
        <v>187</v>
      </c>
      <c r="AC920" s="164" t="s">
        <v>187</v>
      </c>
      <c r="AD920" s="165">
        <v>1</v>
      </c>
      <c r="AE920" s="164" t="s">
        <v>209</v>
      </c>
      <c r="AF920" s="165">
        <v>0.40997</v>
      </c>
      <c r="AG920" s="166">
        <v>113.76591999999999</v>
      </c>
      <c r="AO920" s="121"/>
      <c r="AT920" s="111"/>
      <c r="AX920" s="121"/>
    </row>
    <row r="921" spans="1:50" s="110" customFormat="1" ht="20" customHeight="1">
      <c r="A921" s="125" t="s">
        <v>185</v>
      </c>
      <c r="B921" s="126" t="s">
        <v>59</v>
      </c>
      <c r="C921" s="127">
        <v>14480</v>
      </c>
      <c r="D921" s="163">
        <v>108178</v>
      </c>
      <c r="E921" s="164" t="s">
        <v>1767</v>
      </c>
      <c r="F921" s="164" t="s">
        <v>1767</v>
      </c>
      <c r="G921" s="165">
        <v>300</v>
      </c>
      <c r="H921" s="165">
        <v>1</v>
      </c>
      <c r="I921" s="164" t="s">
        <v>187</v>
      </c>
      <c r="J921" s="164" t="s">
        <v>1768</v>
      </c>
      <c r="K921" s="164" t="s">
        <v>1767</v>
      </c>
      <c r="L921" s="165">
        <v>1</v>
      </c>
      <c r="M921" s="165">
        <v>4</v>
      </c>
      <c r="N921" s="164" t="s">
        <v>1548</v>
      </c>
      <c r="O921" s="165">
        <v>2</v>
      </c>
      <c r="P921" s="165">
        <v>0.5</v>
      </c>
      <c r="Q921" s="165">
        <v>17</v>
      </c>
      <c r="R921" s="164" t="s">
        <v>190</v>
      </c>
      <c r="S921" s="164" t="s">
        <v>191</v>
      </c>
      <c r="T921" s="165">
        <v>155</v>
      </c>
      <c r="U921" s="164" t="s">
        <v>192</v>
      </c>
      <c r="V921" s="164" t="s">
        <v>193</v>
      </c>
      <c r="W921" s="165">
        <v>1</v>
      </c>
      <c r="X921" s="165">
        <v>2</v>
      </c>
      <c r="Y921" s="164" t="s">
        <v>194</v>
      </c>
      <c r="Z921" s="164" t="s">
        <v>195</v>
      </c>
      <c r="AA921" s="164" t="s">
        <v>196</v>
      </c>
      <c r="AB921" s="164" t="s">
        <v>187</v>
      </c>
      <c r="AC921" s="164" t="s">
        <v>187</v>
      </c>
      <c r="AD921" s="165">
        <v>1</v>
      </c>
      <c r="AE921" s="164" t="s">
        <v>209</v>
      </c>
      <c r="AF921" s="165">
        <v>3.1005600000000002</v>
      </c>
      <c r="AG921" s="166">
        <v>116.26443999999999</v>
      </c>
      <c r="AO921" s="121"/>
      <c r="AT921" s="111"/>
      <c r="AX921" s="121"/>
    </row>
    <row r="922" spans="1:50" s="110" customFormat="1" ht="20" customHeight="1">
      <c r="A922" s="125" t="s">
        <v>185</v>
      </c>
      <c r="B922" s="126" t="s">
        <v>59</v>
      </c>
      <c r="C922" s="127">
        <v>14479</v>
      </c>
      <c r="D922" s="163">
        <v>108177</v>
      </c>
      <c r="E922" s="164" t="s">
        <v>1682</v>
      </c>
      <c r="F922" s="164" t="s">
        <v>1682</v>
      </c>
      <c r="G922" s="165">
        <v>200</v>
      </c>
      <c r="H922" s="165">
        <v>1</v>
      </c>
      <c r="I922" s="164" t="s">
        <v>187</v>
      </c>
      <c r="J922" s="164" t="s">
        <v>1683</v>
      </c>
      <c r="K922" s="164" t="s">
        <v>1682</v>
      </c>
      <c r="L922" s="165">
        <v>1</v>
      </c>
      <c r="M922" s="165">
        <v>4</v>
      </c>
      <c r="N922" s="164" t="s">
        <v>1548</v>
      </c>
      <c r="O922" s="165">
        <v>4</v>
      </c>
      <c r="P922" s="165">
        <v>0.5</v>
      </c>
      <c r="Q922" s="165">
        <v>17</v>
      </c>
      <c r="R922" s="164" t="s">
        <v>190</v>
      </c>
      <c r="S922" s="164" t="s">
        <v>191</v>
      </c>
      <c r="T922" s="165">
        <v>155</v>
      </c>
      <c r="U922" s="164" t="s">
        <v>192</v>
      </c>
      <c r="V922" s="164" t="s">
        <v>193</v>
      </c>
      <c r="W922" s="165">
        <v>1</v>
      </c>
      <c r="X922" s="165">
        <v>2</v>
      </c>
      <c r="Y922" s="164" t="s">
        <v>194</v>
      </c>
      <c r="Z922" s="164" t="s">
        <v>195</v>
      </c>
      <c r="AA922" s="164" t="s">
        <v>196</v>
      </c>
      <c r="AB922" s="164" t="s">
        <v>187</v>
      </c>
      <c r="AC922" s="164" t="s">
        <v>187</v>
      </c>
      <c r="AD922" s="165">
        <v>1</v>
      </c>
      <c r="AE922" s="164" t="s">
        <v>209</v>
      </c>
      <c r="AF922" s="165">
        <v>0.50556000000000001</v>
      </c>
      <c r="AG922" s="166">
        <v>115.59086000000001</v>
      </c>
      <c r="AO922" s="121"/>
      <c r="AT922" s="111"/>
      <c r="AX922" s="121"/>
    </row>
    <row r="923" spans="1:50" s="110" customFormat="1" ht="20" customHeight="1">
      <c r="A923" s="125" t="s">
        <v>185</v>
      </c>
      <c r="B923" s="126" t="s">
        <v>59</v>
      </c>
      <c r="C923" s="127">
        <v>10796</v>
      </c>
      <c r="D923" s="157">
        <v>101264</v>
      </c>
      <c r="E923" s="158" t="s">
        <v>4479</v>
      </c>
      <c r="F923" s="158" t="s">
        <v>4479</v>
      </c>
      <c r="G923" s="159">
        <v>63000</v>
      </c>
      <c r="H923" s="159">
        <v>2</v>
      </c>
      <c r="I923" s="158" t="s">
        <v>209</v>
      </c>
      <c r="J923" s="158" t="s">
        <v>4480</v>
      </c>
      <c r="K923" s="158" t="s">
        <v>4481</v>
      </c>
      <c r="L923" s="159">
        <v>3</v>
      </c>
      <c r="M923" s="159">
        <v>4</v>
      </c>
      <c r="N923" s="158" t="s">
        <v>1548</v>
      </c>
      <c r="O923" s="159">
        <v>20</v>
      </c>
      <c r="P923" s="159">
        <v>2</v>
      </c>
      <c r="Q923" s="159">
        <v>17</v>
      </c>
      <c r="R923" s="158" t="s">
        <v>190</v>
      </c>
      <c r="S923" s="158" t="s">
        <v>191</v>
      </c>
      <c r="T923" s="159">
        <v>155</v>
      </c>
      <c r="U923" s="158" t="s">
        <v>192</v>
      </c>
      <c r="V923" s="158" t="s">
        <v>193</v>
      </c>
      <c r="W923" s="159">
        <v>1</v>
      </c>
      <c r="X923" s="159">
        <v>2</v>
      </c>
      <c r="Y923" s="158" t="s">
        <v>194</v>
      </c>
      <c r="Z923" s="158" t="s">
        <v>195</v>
      </c>
      <c r="AA923" s="158" t="s">
        <v>196</v>
      </c>
      <c r="AB923" s="158" t="s">
        <v>187</v>
      </c>
      <c r="AC923" s="158" t="s">
        <v>187</v>
      </c>
      <c r="AD923" s="160"/>
      <c r="AE923" s="158" t="s">
        <v>209</v>
      </c>
      <c r="AF923" s="159">
        <v>1.0343100000000001</v>
      </c>
      <c r="AG923" s="161">
        <v>109.7555</v>
      </c>
      <c r="AO923" s="121"/>
      <c r="AT923" s="111"/>
      <c r="AX923" s="121"/>
    </row>
    <row r="924" spans="1:50" s="110" customFormat="1" ht="20" customHeight="1">
      <c r="A924" s="125" t="s">
        <v>185</v>
      </c>
      <c r="B924" s="126" t="s">
        <v>59</v>
      </c>
      <c r="C924" s="127">
        <v>14806</v>
      </c>
      <c r="D924" s="157">
        <v>108781</v>
      </c>
      <c r="E924" s="158" t="s">
        <v>4382</v>
      </c>
      <c r="F924" s="158" t="s">
        <v>4382</v>
      </c>
      <c r="G924" s="159">
        <v>43000</v>
      </c>
      <c r="H924" s="159">
        <v>2</v>
      </c>
      <c r="I924" s="158" t="s">
        <v>209</v>
      </c>
      <c r="J924" s="158" t="s">
        <v>4383</v>
      </c>
      <c r="K924" s="158" t="s">
        <v>4382</v>
      </c>
      <c r="L924" s="159">
        <v>1</v>
      </c>
      <c r="M924" s="159">
        <v>4</v>
      </c>
      <c r="N924" s="158" t="s">
        <v>1548</v>
      </c>
      <c r="O924" s="159">
        <v>10</v>
      </c>
      <c r="P924" s="159">
        <v>1</v>
      </c>
      <c r="Q924" s="159">
        <v>17</v>
      </c>
      <c r="R924" s="158" t="s">
        <v>190</v>
      </c>
      <c r="S924" s="158" t="s">
        <v>191</v>
      </c>
      <c r="T924" s="159">
        <v>155</v>
      </c>
      <c r="U924" s="158" t="s">
        <v>192</v>
      </c>
      <c r="V924" s="158" t="s">
        <v>193</v>
      </c>
      <c r="W924" s="159">
        <v>1</v>
      </c>
      <c r="X924" s="159">
        <v>2</v>
      </c>
      <c r="Y924" s="158" t="s">
        <v>194</v>
      </c>
      <c r="Z924" s="158" t="s">
        <v>195</v>
      </c>
      <c r="AA924" s="158" t="s">
        <v>196</v>
      </c>
      <c r="AB924" s="158" t="s">
        <v>187</v>
      </c>
      <c r="AC924" s="158" t="s">
        <v>187</v>
      </c>
      <c r="AD924" s="160"/>
      <c r="AE924" s="158" t="s">
        <v>209</v>
      </c>
      <c r="AF924" s="159">
        <v>0.23841000000000001</v>
      </c>
      <c r="AG924" s="161">
        <v>111.73891</v>
      </c>
      <c r="AO924" s="121"/>
      <c r="AT924" s="111"/>
      <c r="AX924" s="121"/>
    </row>
    <row r="925" spans="1:50" s="110" customFormat="1" ht="20" customHeight="1">
      <c r="A925" s="125" t="s">
        <v>185</v>
      </c>
      <c r="B925" s="126" t="s">
        <v>59</v>
      </c>
      <c r="C925" s="127">
        <v>18944</v>
      </c>
      <c r="D925" s="157">
        <v>115074</v>
      </c>
      <c r="E925" s="158" t="s">
        <v>4288</v>
      </c>
      <c r="F925" s="158" t="s">
        <v>4288</v>
      </c>
      <c r="G925" s="159">
        <v>35000</v>
      </c>
      <c r="H925" s="159">
        <v>2</v>
      </c>
      <c r="I925" s="158" t="s">
        <v>209</v>
      </c>
      <c r="J925" s="158" t="s">
        <v>4289</v>
      </c>
      <c r="K925" s="158" t="s">
        <v>4290</v>
      </c>
      <c r="L925" s="159">
        <v>1</v>
      </c>
      <c r="M925" s="159">
        <v>4</v>
      </c>
      <c r="N925" s="158" t="s">
        <v>1548</v>
      </c>
      <c r="O925" s="159">
        <v>10</v>
      </c>
      <c r="P925" s="159">
        <v>1</v>
      </c>
      <c r="Q925" s="159">
        <v>17</v>
      </c>
      <c r="R925" s="158" t="s">
        <v>190</v>
      </c>
      <c r="S925" s="158" t="s">
        <v>191</v>
      </c>
      <c r="T925" s="159">
        <v>155</v>
      </c>
      <c r="U925" s="158" t="s">
        <v>192</v>
      </c>
      <c r="V925" s="158" t="s">
        <v>193</v>
      </c>
      <c r="W925" s="159">
        <v>1</v>
      </c>
      <c r="X925" s="159">
        <v>2</v>
      </c>
      <c r="Y925" s="158" t="s">
        <v>194</v>
      </c>
      <c r="Z925" s="158" t="s">
        <v>195</v>
      </c>
      <c r="AA925" s="158" t="s">
        <v>196</v>
      </c>
      <c r="AB925" s="158" t="s">
        <v>187</v>
      </c>
      <c r="AC925" s="158" t="s">
        <v>187</v>
      </c>
      <c r="AD925" s="160"/>
      <c r="AE925" s="158" t="s">
        <v>209</v>
      </c>
      <c r="AF925" s="159">
        <v>1.0744199999999999</v>
      </c>
      <c r="AG925" s="161">
        <v>113.02593</v>
      </c>
      <c r="AO925" s="121"/>
      <c r="AT925" s="111"/>
      <c r="AX925" s="121"/>
    </row>
    <row r="926" spans="1:50" s="110" customFormat="1" ht="20" customHeight="1">
      <c r="A926" s="125" t="s">
        <v>185</v>
      </c>
      <c r="B926" s="126" t="s">
        <v>59</v>
      </c>
      <c r="C926" s="127">
        <v>12994</v>
      </c>
      <c r="D926" s="157">
        <v>105648</v>
      </c>
      <c r="E926" s="158" t="s">
        <v>3882</v>
      </c>
      <c r="F926" s="158" t="s">
        <v>3882</v>
      </c>
      <c r="G926" s="159">
        <v>15000</v>
      </c>
      <c r="H926" s="159">
        <v>2</v>
      </c>
      <c r="I926" s="158" t="s">
        <v>209</v>
      </c>
      <c r="J926" s="158" t="s">
        <v>3883</v>
      </c>
      <c r="K926" s="158" t="s">
        <v>3884</v>
      </c>
      <c r="L926" s="159">
        <v>3</v>
      </c>
      <c r="M926" s="159">
        <v>4</v>
      </c>
      <c r="N926" s="158" t="s">
        <v>1548</v>
      </c>
      <c r="O926" s="159">
        <v>10</v>
      </c>
      <c r="P926" s="159">
        <v>2</v>
      </c>
      <c r="Q926" s="159">
        <v>17</v>
      </c>
      <c r="R926" s="158" t="s">
        <v>190</v>
      </c>
      <c r="S926" s="158" t="s">
        <v>191</v>
      </c>
      <c r="T926" s="159">
        <v>155</v>
      </c>
      <c r="U926" s="158" t="s">
        <v>192</v>
      </c>
      <c r="V926" s="158" t="s">
        <v>193</v>
      </c>
      <c r="W926" s="159">
        <v>2</v>
      </c>
      <c r="X926" s="159">
        <v>2</v>
      </c>
      <c r="Y926" s="158" t="s">
        <v>194</v>
      </c>
      <c r="Z926" s="158" t="s">
        <v>195</v>
      </c>
      <c r="AA926" s="158" t="s">
        <v>196</v>
      </c>
      <c r="AB926" s="158" t="s">
        <v>187</v>
      </c>
      <c r="AC926" s="158" t="s">
        <v>187</v>
      </c>
      <c r="AD926" s="160"/>
      <c r="AE926" s="158" t="s">
        <v>209</v>
      </c>
      <c r="AF926" s="159">
        <v>1.2572700000000001</v>
      </c>
      <c r="AG926" s="161">
        <v>109.86461</v>
      </c>
      <c r="AO926" s="121"/>
      <c r="AT926" s="111"/>
      <c r="AX926" s="121"/>
    </row>
    <row r="927" spans="1:50" s="110" customFormat="1" ht="20" customHeight="1">
      <c r="A927" s="125" t="s">
        <v>185</v>
      </c>
      <c r="B927" s="126" t="s">
        <v>59</v>
      </c>
      <c r="C927" s="127">
        <v>10993</v>
      </c>
      <c r="D927" s="157">
        <v>101715</v>
      </c>
      <c r="E927" s="158" t="s">
        <v>3655</v>
      </c>
      <c r="F927" s="158" t="s">
        <v>3656</v>
      </c>
      <c r="G927" s="159">
        <v>11000</v>
      </c>
      <c r="H927" s="159">
        <v>2</v>
      </c>
      <c r="I927" s="158" t="s">
        <v>209</v>
      </c>
      <c r="J927" s="158" t="s">
        <v>3657</v>
      </c>
      <c r="K927" s="158" t="s">
        <v>3658</v>
      </c>
      <c r="L927" s="159">
        <v>2</v>
      </c>
      <c r="M927" s="159">
        <v>4</v>
      </c>
      <c r="N927" s="158" t="s">
        <v>1548</v>
      </c>
      <c r="O927" s="159">
        <v>15</v>
      </c>
      <c r="P927" s="159">
        <v>1</v>
      </c>
      <c r="Q927" s="159">
        <v>17</v>
      </c>
      <c r="R927" s="158" t="s">
        <v>190</v>
      </c>
      <c r="S927" s="158" t="s">
        <v>191</v>
      </c>
      <c r="T927" s="159">
        <v>155</v>
      </c>
      <c r="U927" s="158" t="s">
        <v>192</v>
      </c>
      <c r="V927" s="158" t="s">
        <v>193</v>
      </c>
      <c r="W927" s="159">
        <v>2</v>
      </c>
      <c r="X927" s="159">
        <v>2</v>
      </c>
      <c r="Y927" s="158" t="s">
        <v>194</v>
      </c>
      <c r="Z927" s="158" t="s">
        <v>195</v>
      </c>
      <c r="AA927" s="158" t="s">
        <v>196</v>
      </c>
      <c r="AB927" s="158" t="s">
        <v>187</v>
      </c>
      <c r="AC927" s="158" t="s">
        <v>187</v>
      </c>
      <c r="AD927" s="160"/>
      <c r="AE927" s="158" t="s">
        <v>209</v>
      </c>
      <c r="AF927" s="159">
        <v>0.86939999999999995</v>
      </c>
      <c r="AG927" s="161">
        <v>110.70412</v>
      </c>
      <c r="AO927" s="121"/>
      <c r="AT927" s="111"/>
      <c r="AX927" s="121"/>
    </row>
    <row r="928" spans="1:50" s="110" customFormat="1" ht="20" customHeight="1">
      <c r="A928" s="125" t="s">
        <v>185</v>
      </c>
      <c r="B928" s="126" t="s">
        <v>59</v>
      </c>
      <c r="C928" s="127">
        <v>10830</v>
      </c>
      <c r="D928" s="157">
        <v>101411</v>
      </c>
      <c r="E928" s="158" t="s">
        <v>3662</v>
      </c>
      <c r="F928" s="158" t="s">
        <v>3662</v>
      </c>
      <c r="G928" s="159">
        <v>11000</v>
      </c>
      <c r="H928" s="159">
        <v>2</v>
      </c>
      <c r="I928" s="158" t="s">
        <v>209</v>
      </c>
      <c r="J928" s="158" t="s">
        <v>3663</v>
      </c>
      <c r="K928" s="158" t="s">
        <v>3664</v>
      </c>
      <c r="L928" s="159">
        <v>5</v>
      </c>
      <c r="M928" s="159">
        <v>4</v>
      </c>
      <c r="N928" s="158" t="s">
        <v>1548</v>
      </c>
      <c r="O928" s="159">
        <v>12</v>
      </c>
      <c r="P928" s="159">
        <v>2</v>
      </c>
      <c r="Q928" s="159">
        <v>17</v>
      </c>
      <c r="R928" s="158" t="s">
        <v>190</v>
      </c>
      <c r="S928" s="158" t="s">
        <v>191</v>
      </c>
      <c r="T928" s="159">
        <v>155</v>
      </c>
      <c r="U928" s="158" t="s">
        <v>192</v>
      </c>
      <c r="V928" s="158" t="s">
        <v>193</v>
      </c>
      <c r="W928" s="159">
        <v>2</v>
      </c>
      <c r="X928" s="159">
        <v>2</v>
      </c>
      <c r="Y928" s="158" t="s">
        <v>194</v>
      </c>
      <c r="Z928" s="158" t="s">
        <v>195</v>
      </c>
      <c r="AA928" s="158" t="s">
        <v>196</v>
      </c>
      <c r="AB928" s="158" t="s">
        <v>187</v>
      </c>
      <c r="AC928" s="158" t="s">
        <v>187</v>
      </c>
      <c r="AD928" s="160"/>
      <c r="AE928" s="158" t="s">
        <v>209</v>
      </c>
      <c r="AF928" s="159">
        <v>1.07087</v>
      </c>
      <c r="AG928" s="161">
        <v>110.1931</v>
      </c>
      <c r="AO928" s="121"/>
      <c r="AT928" s="111"/>
      <c r="AX928" s="121"/>
    </row>
    <row r="929" spans="1:50" s="110" customFormat="1" ht="20" customHeight="1">
      <c r="A929" s="125" t="s">
        <v>185</v>
      </c>
      <c r="B929" s="126" t="s">
        <v>59</v>
      </c>
      <c r="C929" s="127">
        <v>14488</v>
      </c>
      <c r="D929" s="157">
        <v>108206</v>
      </c>
      <c r="E929" s="158" t="s">
        <v>3676</v>
      </c>
      <c r="F929" s="158" t="s">
        <v>3676</v>
      </c>
      <c r="G929" s="159">
        <v>11000</v>
      </c>
      <c r="H929" s="159">
        <v>2</v>
      </c>
      <c r="I929" s="158" t="s">
        <v>209</v>
      </c>
      <c r="J929" s="158" t="s">
        <v>3677</v>
      </c>
      <c r="K929" s="158" t="s">
        <v>3676</v>
      </c>
      <c r="L929" s="159">
        <v>1</v>
      </c>
      <c r="M929" s="159">
        <v>4</v>
      </c>
      <c r="N929" s="158" t="s">
        <v>1548</v>
      </c>
      <c r="O929" s="159">
        <v>10</v>
      </c>
      <c r="P929" s="159">
        <v>1</v>
      </c>
      <c r="Q929" s="159">
        <v>17</v>
      </c>
      <c r="R929" s="158" t="s">
        <v>190</v>
      </c>
      <c r="S929" s="158" t="s">
        <v>191</v>
      </c>
      <c r="T929" s="159">
        <v>155</v>
      </c>
      <c r="U929" s="158" t="s">
        <v>192</v>
      </c>
      <c r="V929" s="158" t="s">
        <v>193</v>
      </c>
      <c r="W929" s="159">
        <v>1</v>
      </c>
      <c r="X929" s="159">
        <v>2</v>
      </c>
      <c r="Y929" s="158" t="s">
        <v>194</v>
      </c>
      <c r="Z929" s="158" t="s">
        <v>195</v>
      </c>
      <c r="AA929" s="158" t="s">
        <v>196</v>
      </c>
      <c r="AB929" s="158" t="s">
        <v>187</v>
      </c>
      <c r="AC929" s="158" t="s">
        <v>187</v>
      </c>
      <c r="AD929" s="160"/>
      <c r="AE929" s="158" t="s">
        <v>209</v>
      </c>
      <c r="AF929" s="159">
        <v>3.7974399999999999</v>
      </c>
      <c r="AG929" s="161">
        <v>116.38521</v>
      </c>
      <c r="AO929" s="121"/>
      <c r="AT929" s="111"/>
      <c r="AX929" s="121"/>
    </row>
    <row r="930" spans="1:50" s="110" customFormat="1" ht="20" customHeight="1">
      <c r="A930" s="125" t="s">
        <v>185</v>
      </c>
      <c r="B930" s="126" t="s">
        <v>59</v>
      </c>
      <c r="C930" s="127">
        <v>14647</v>
      </c>
      <c r="D930" s="157">
        <v>108528</v>
      </c>
      <c r="E930" s="158" t="s">
        <v>3678</v>
      </c>
      <c r="F930" s="158" t="s">
        <v>3678</v>
      </c>
      <c r="G930" s="159">
        <v>11000</v>
      </c>
      <c r="H930" s="159">
        <v>2</v>
      </c>
      <c r="I930" s="158" t="s">
        <v>209</v>
      </c>
      <c r="J930" s="158" t="s">
        <v>3679</v>
      </c>
      <c r="K930" s="158" t="s">
        <v>3678</v>
      </c>
      <c r="L930" s="159">
        <v>1</v>
      </c>
      <c r="M930" s="159">
        <v>4</v>
      </c>
      <c r="N930" s="158" t="s">
        <v>1548</v>
      </c>
      <c r="O930" s="159">
        <v>25</v>
      </c>
      <c r="P930" s="159">
        <v>2</v>
      </c>
      <c r="Q930" s="159">
        <v>17</v>
      </c>
      <c r="R930" s="158" t="s">
        <v>190</v>
      </c>
      <c r="S930" s="158" t="s">
        <v>191</v>
      </c>
      <c r="T930" s="159">
        <v>155</v>
      </c>
      <c r="U930" s="158" t="s">
        <v>192</v>
      </c>
      <c r="V930" s="158" t="s">
        <v>193</v>
      </c>
      <c r="W930" s="159">
        <v>1</v>
      </c>
      <c r="X930" s="159">
        <v>2</v>
      </c>
      <c r="Y930" s="158" t="s">
        <v>194</v>
      </c>
      <c r="Z930" s="158" t="s">
        <v>195</v>
      </c>
      <c r="AA930" s="158" t="s">
        <v>196</v>
      </c>
      <c r="AB930" s="158" t="s">
        <v>187</v>
      </c>
      <c r="AC930" s="158" t="s">
        <v>187</v>
      </c>
      <c r="AD930" s="160"/>
      <c r="AE930" s="158" t="s">
        <v>209</v>
      </c>
      <c r="AF930" s="159">
        <v>2.27278</v>
      </c>
      <c r="AG930" s="161">
        <v>117.35654</v>
      </c>
      <c r="AO930" s="121"/>
      <c r="AT930" s="111"/>
      <c r="AX930" s="121"/>
    </row>
    <row r="931" spans="1:50" s="110" customFormat="1" ht="20" customHeight="1">
      <c r="A931" s="125" t="s">
        <v>185</v>
      </c>
      <c r="B931" s="126" t="s">
        <v>59</v>
      </c>
      <c r="C931" s="127">
        <v>10767</v>
      </c>
      <c r="D931" s="157">
        <v>101212</v>
      </c>
      <c r="E931" s="158" t="s">
        <v>3350</v>
      </c>
      <c r="F931" s="158" t="s">
        <v>3350</v>
      </c>
      <c r="G931" s="159">
        <v>6400</v>
      </c>
      <c r="H931" s="159">
        <v>2</v>
      </c>
      <c r="I931" s="158" t="s">
        <v>209</v>
      </c>
      <c r="J931" s="158" t="s">
        <v>3351</v>
      </c>
      <c r="K931" s="158" t="s">
        <v>3352</v>
      </c>
      <c r="L931" s="159">
        <v>3</v>
      </c>
      <c r="M931" s="159">
        <v>4</v>
      </c>
      <c r="N931" s="158" t="s">
        <v>1548</v>
      </c>
      <c r="O931" s="159">
        <v>18</v>
      </c>
      <c r="P931" s="159">
        <v>1</v>
      </c>
      <c r="Q931" s="159">
        <v>17</v>
      </c>
      <c r="R931" s="158" t="s">
        <v>190</v>
      </c>
      <c r="S931" s="158" t="s">
        <v>191</v>
      </c>
      <c r="T931" s="159">
        <v>155</v>
      </c>
      <c r="U931" s="158" t="s">
        <v>192</v>
      </c>
      <c r="V931" s="158" t="s">
        <v>193</v>
      </c>
      <c r="W931" s="159">
        <v>1</v>
      </c>
      <c r="X931" s="159">
        <v>2</v>
      </c>
      <c r="Y931" s="158" t="s">
        <v>194</v>
      </c>
      <c r="Z931" s="158" t="s">
        <v>195</v>
      </c>
      <c r="AA931" s="158" t="s">
        <v>196</v>
      </c>
      <c r="AB931" s="158" t="s">
        <v>187</v>
      </c>
      <c r="AC931" s="158" t="s">
        <v>187</v>
      </c>
      <c r="AD931" s="160"/>
      <c r="AE931" s="158" t="s">
        <v>209</v>
      </c>
      <c r="AF931" s="159">
        <v>1.01515</v>
      </c>
      <c r="AG931" s="161">
        <v>109.34544</v>
      </c>
      <c r="AO931" s="121"/>
      <c r="AT931" s="111"/>
      <c r="AX931" s="121"/>
    </row>
    <row r="932" spans="1:50" s="110" customFormat="1" ht="20" customHeight="1">
      <c r="A932" s="125" t="s">
        <v>185</v>
      </c>
      <c r="B932" s="126" t="s">
        <v>59</v>
      </c>
      <c r="C932" s="127">
        <v>12589</v>
      </c>
      <c r="D932" s="157">
        <v>104779</v>
      </c>
      <c r="E932" s="158" t="s">
        <v>2707</v>
      </c>
      <c r="F932" s="158" t="s">
        <v>3245</v>
      </c>
      <c r="G932" s="159">
        <v>5400</v>
      </c>
      <c r="H932" s="159">
        <v>2</v>
      </c>
      <c r="I932" s="158" t="s">
        <v>209</v>
      </c>
      <c r="J932" s="158" t="s">
        <v>2708</v>
      </c>
      <c r="K932" s="158" t="s">
        <v>2707</v>
      </c>
      <c r="L932" s="159">
        <v>1</v>
      </c>
      <c r="M932" s="159">
        <v>4</v>
      </c>
      <c r="N932" s="158" t="s">
        <v>1548</v>
      </c>
      <c r="O932" s="159">
        <v>12</v>
      </c>
      <c r="P932" s="159">
        <v>2</v>
      </c>
      <c r="Q932" s="159">
        <v>17</v>
      </c>
      <c r="R932" s="158" t="s">
        <v>190</v>
      </c>
      <c r="S932" s="158" t="s">
        <v>191</v>
      </c>
      <c r="T932" s="159">
        <v>155</v>
      </c>
      <c r="U932" s="158" t="s">
        <v>192</v>
      </c>
      <c r="V932" s="158" t="s">
        <v>193</v>
      </c>
      <c r="W932" s="159">
        <v>2</v>
      </c>
      <c r="X932" s="159">
        <v>2</v>
      </c>
      <c r="Y932" s="158" t="s">
        <v>194</v>
      </c>
      <c r="Z932" s="158" t="s">
        <v>195</v>
      </c>
      <c r="AA932" s="158" t="s">
        <v>196</v>
      </c>
      <c r="AB932" s="158" t="s">
        <v>187</v>
      </c>
      <c r="AC932" s="158" t="s">
        <v>187</v>
      </c>
      <c r="AD932" s="160"/>
      <c r="AE932" s="158" t="s">
        <v>209</v>
      </c>
      <c r="AF932" s="159">
        <v>0.69311</v>
      </c>
      <c r="AG932" s="161">
        <v>115.33593999999999</v>
      </c>
      <c r="AO932" s="121"/>
      <c r="AT932" s="111"/>
      <c r="AX932" s="121"/>
    </row>
    <row r="933" spans="1:50" s="110" customFormat="1" ht="20" customHeight="1">
      <c r="A933" s="125" t="s">
        <v>185</v>
      </c>
      <c r="B933" s="126" t="s">
        <v>59</v>
      </c>
      <c r="C933" s="127">
        <v>11036</v>
      </c>
      <c r="D933" s="157">
        <v>101789</v>
      </c>
      <c r="E933" s="158" t="s">
        <v>3232</v>
      </c>
      <c r="F933" s="158" t="s">
        <v>3232</v>
      </c>
      <c r="G933" s="159">
        <v>5300</v>
      </c>
      <c r="H933" s="159">
        <v>2</v>
      </c>
      <c r="I933" s="158" t="s">
        <v>209</v>
      </c>
      <c r="J933" s="158" t="s">
        <v>3233</v>
      </c>
      <c r="K933" s="158" t="s">
        <v>3232</v>
      </c>
      <c r="L933" s="159">
        <v>2</v>
      </c>
      <c r="M933" s="159">
        <v>4</v>
      </c>
      <c r="N933" s="158" t="s">
        <v>1548</v>
      </c>
      <c r="O933" s="159">
        <v>30</v>
      </c>
      <c r="P933" s="159">
        <v>1</v>
      </c>
      <c r="Q933" s="159">
        <v>17</v>
      </c>
      <c r="R933" s="158" t="s">
        <v>190</v>
      </c>
      <c r="S933" s="158" t="s">
        <v>191</v>
      </c>
      <c r="T933" s="159">
        <v>155</v>
      </c>
      <c r="U933" s="158" t="s">
        <v>192</v>
      </c>
      <c r="V933" s="158" t="s">
        <v>193</v>
      </c>
      <c r="W933" s="159">
        <v>1</v>
      </c>
      <c r="X933" s="159">
        <v>2</v>
      </c>
      <c r="Y933" s="158" t="s">
        <v>194</v>
      </c>
      <c r="Z933" s="158" t="s">
        <v>195</v>
      </c>
      <c r="AA933" s="158" t="s">
        <v>196</v>
      </c>
      <c r="AB933" s="158" t="s">
        <v>187</v>
      </c>
      <c r="AC933" s="158" t="s">
        <v>187</v>
      </c>
      <c r="AD933" s="160"/>
      <c r="AE933" s="158" t="s">
        <v>209</v>
      </c>
      <c r="AF933" s="159">
        <v>3.31487</v>
      </c>
      <c r="AG933" s="161">
        <v>117.00218</v>
      </c>
      <c r="AO933" s="121"/>
      <c r="AT933" s="111"/>
      <c r="AX933" s="121"/>
    </row>
    <row r="934" spans="1:50" s="110" customFormat="1" ht="20" customHeight="1">
      <c r="A934" s="125" t="s">
        <v>185</v>
      </c>
      <c r="B934" s="126" t="s">
        <v>59</v>
      </c>
      <c r="C934" s="127">
        <v>13176</v>
      </c>
      <c r="D934" s="145">
        <v>105955</v>
      </c>
      <c r="E934" s="146" t="s">
        <v>4719</v>
      </c>
      <c r="F934" s="146" t="s">
        <v>4719</v>
      </c>
      <c r="G934" s="147">
        <v>189000</v>
      </c>
      <c r="H934" s="147">
        <v>4</v>
      </c>
      <c r="I934" s="146" t="s">
        <v>209</v>
      </c>
      <c r="J934" s="146" t="s">
        <v>4720</v>
      </c>
      <c r="K934" s="146" t="s">
        <v>4721</v>
      </c>
      <c r="L934" s="147">
        <v>4</v>
      </c>
      <c r="M934" s="147">
        <v>4</v>
      </c>
      <c r="N934" s="146" t="s">
        <v>1548</v>
      </c>
      <c r="O934" s="147">
        <v>25</v>
      </c>
      <c r="P934" s="147">
        <v>3</v>
      </c>
      <c r="Q934" s="147">
        <v>17</v>
      </c>
      <c r="R934" s="146" t="s">
        <v>190</v>
      </c>
      <c r="S934" s="146" t="s">
        <v>191</v>
      </c>
      <c r="T934" s="147">
        <v>155</v>
      </c>
      <c r="U934" s="146" t="s">
        <v>192</v>
      </c>
      <c r="V934" s="146" t="s">
        <v>193</v>
      </c>
      <c r="W934" s="147">
        <v>1</v>
      </c>
      <c r="X934" s="147">
        <v>2</v>
      </c>
      <c r="Y934" s="146" t="s">
        <v>194</v>
      </c>
      <c r="Z934" s="146" t="s">
        <v>195</v>
      </c>
      <c r="AA934" s="146" t="s">
        <v>196</v>
      </c>
      <c r="AB934" s="146" t="s">
        <v>187</v>
      </c>
      <c r="AC934" s="146" t="s">
        <v>187</v>
      </c>
      <c r="AD934" s="148"/>
      <c r="AE934" s="146" t="s">
        <v>209</v>
      </c>
      <c r="AF934" s="147">
        <v>-2.0992000000000002</v>
      </c>
      <c r="AG934" s="149">
        <v>115.14368</v>
      </c>
      <c r="AO934" s="121"/>
      <c r="AT934" s="111"/>
      <c r="AX934" s="121"/>
    </row>
    <row r="935" spans="1:50" s="110" customFormat="1" ht="20" customHeight="1">
      <c r="A935" s="125" t="s">
        <v>185</v>
      </c>
      <c r="B935" s="126" t="s">
        <v>59</v>
      </c>
      <c r="C935" s="127">
        <v>15643</v>
      </c>
      <c r="D935" s="145">
        <v>110288</v>
      </c>
      <c r="E935" s="146" t="s">
        <v>4451</v>
      </c>
      <c r="F935" s="146" t="s">
        <v>4451</v>
      </c>
      <c r="G935" s="147">
        <v>58000</v>
      </c>
      <c r="H935" s="147">
        <v>4</v>
      </c>
      <c r="I935" s="146" t="s">
        <v>209</v>
      </c>
      <c r="J935" s="146" t="s">
        <v>4452</v>
      </c>
      <c r="K935" s="146" t="s">
        <v>4453</v>
      </c>
      <c r="L935" s="147">
        <v>3</v>
      </c>
      <c r="M935" s="147">
        <v>4</v>
      </c>
      <c r="N935" s="146" t="s">
        <v>1548</v>
      </c>
      <c r="O935" s="147">
        <v>20</v>
      </c>
      <c r="P935" s="147">
        <v>3</v>
      </c>
      <c r="Q935" s="147">
        <v>17</v>
      </c>
      <c r="R935" s="146" t="s">
        <v>190</v>
      </c>
      <c r="S935" s="146" t="s">
        <v>191</v>
      </c>
      <c r="T935" s="147">
        <v>155</v>
      </c>
      <c r="U935" s="146" t="s">
        <v>192</v>
      </c>
      <c r="V935" s="146" t="s">
        <v>193</v>
      </c>
      <c r="W935" s="147">
        <v>1</v>
      </c>
      <c r="X935" s="147">
        <v>2</v>
      </c>
      <c r="Y935" s="146" t="s">
        <v>194</v>
      </c>
      <c r="Z935" s="146" t="s">
        <v>195</v>
      </c>
      <c r="AA935" s="146" t="s">
        <v>196</v>
      </c>
      <c r="AB935" s="146" t="s">
        <v>187</v>
      </c>
      <c r="AC935" s="146" t="s">
        <v>187</v>
      </c>
      <c r="AD935" s="148"/>
      <c r="AE935" s="146" t="s">
        <v>209</v>
      </c>
      <c r="AF935" s="147">
        <v>-0.98</v>
      </c>
      <c r="AG935" s="149">
        <v>115.84987</v>
      </c>
      <c r="AO935" s="121"/>
      <c r="AT935" s="111"/>
      <c r="AX935" s="121"/>
    </row>
    <row r="936" spans="1:50" s="110" customFormat="1" ht="20" customHeight="1">
      <c r="A936" s="125" t="s">
        <v>185</v>
      </c>
      <c r="B936" s="126" t="s">
        <v>59</v>
      </c>
      <c r="C936" s="127">
        <v>12495</v>
      </c>
      <c r="D936" s="145">
        <v>104581</v>
      </c>
      <c r="E936" s="146" t="s">
        <v>4362</v>
      </c>
      <c r="F936" s="146" t="s">
        <v>4362</v>
      </c>
      <c r="G936" s="147">
        <v>39000</v>
      </c>
      <c r="H936" s="147">
        <v>4</v>
      </c>
      <c r="I936" s="146" t="s">
        <v>209</v>
      </c>
      <c r="J936" s="146" t="s">
        <v>4363</v>
      </c>
      <c r="K936" s="146" t="s">
        <v>4364</v>
      </c>
      <c r="L936" s="147">
        <v>2</v>
      </c>
      <c r="M936" s="147">
        <v>4</v>
      </c>
      <c r="N936" s="146" t="s">
        <v>1548</v>
      </c>
      <c r="O936" s="147">
        <v>44</v>
      </c>
      <c r="P936" s="147">
        <v>3</v>
      </c>
      <c r="Q936" s="147">
        <v>17</v>
      </c>
      <c r="R936" s="146" t="s">
        <v>190</v>
      </c>
      <c r="S936" s="146" t="s">
        <v>191</v>
      </c>
      <c r="T936" s="147">
        <v>155</v>
      </c>
      <c r="U936" s="146" t="s">
        <v>192</v>
      </c>
      <c r="V936" s="146" t="s">
        <v>193</v>
      </c>
      <c r="W936" s="147">
        <v>1</v>
      </c>
      <c r="X936" s="147">
        <v>2</v>
      </c>
      <c r="Y936" s="146" t="s">
        <v>194</v>
      </c>
      <c r="Z936" s="146" t="s">
        <v>195</v>
      </c>
      <c r="AA936" s="146" t="s">
        <v>196</v>
      </c>
      <c r="AB936" s="146" t="s">
        <v>187</v>
      </c>
      <c r="AC936" s="146" t="s">
        <v>187</v>
      </c>
      <c r="AD936" s="148"/>
      <c r="AE936" s="146" t="s">
        <v>209</v>
      </c>
      <c r="AF936" s="147">
        <v>-0.51785000000000003</v>
      </c>
      <c r="AG936" s="149">
        <v>111.61136999999999</v>
      </c>
      <c r="AO936" s="121"/>
      <c r="AT936" s="111"/>
      <c r="AX936" s="121"/>
    </row>
    <row r="937" spans="1:50" s="110" customFormat="1" ht="20" customHeight="1">
      <c r="A937" s="125" t="s">
        <v>185</v>
      </c>
      <c r="B937" s="126" t="s">
        <v>59</v>
      </c>
      <c r="C937" s="127">
        <v>10567</v>
      </c>
      <c r="D937" s="145">
        <v>100764</v>
      </c>
      <c r="E937" s="146" t="s">
        <v>4107</v>
      </c>
      <c r="F937" s="146" t="s">
        <v>4107</v>
      </c>
      <c r="G937" s="147">
        <v>23000</v>
      </c>
      <c r="H937" s="147">
        <v>4</v>
      </c>
      <c r="I937" s="146" t="s">
        <v>209</v>
      </c>
      <c r="J937" s="146" t="s">
        <v>4108</v>
      </c>
      <c r="K937" s="146" t="s">
        <v>4107</v>
      </c>
      <c r="L937" s="147">
        <v>1</v>
      </c>
      <c r="M937" s="147">
        <v>4</v>
      </c>
      <c r="N937" s="146" t="s">
        <v>1548</v>
      </c>
      <c r="O937" s="147">
        <v>10</v>
      </c>
      <c r="P937" s="147">
        <v>3</v>
      </c>
      <c r="Q937" s="147">
        <v>17</v>
      </c>
      <c r="R937" s="146" t="s">
        <v>190</v>
      </c>
      <c r="S937" s="146" t="s">
        <v>191</v>
      </c>
      <c r="T937" s="147">
        <v>155</v>
      </c>
      <c r="U937" s="146" t="s">
        <v>192</v>
      </c>
      <c r="V937" s="146" t="s">
        <v>193</v>
      </c>
      <c r="W937" s="147">
        <v>1</v>
      </c>
      <c r="X937" s="147">
        <v>2</v>
      </c>
      <c r="Y937" s="146" t="s">
        <v>194</v>
      </c>
      <c r="Z937" s="146" t="s">
        <v>195</v>
      </c>
      <c r="AA937" s="146" t="s">
        <v>196</v>
      </c>
      <c r="AB937" s="146" t="s">
        <v>187</v>
      </c>
      <c r="AC937" s="146" t="s">
        <v>187</v>
      </c>
      <c r="AD937" s="148"/>
      <c r="AE937" s="146" t="s">
        <v>209</v>
      </c>
      <c r="AF937" s="147">
        <v>0.30359000000000003</v>
      </c>
      <c r="AG937" s="149">
        <v>115.32472</v>
      </c>
      <c r="AO937" s="121"/>
      <c r="AT937" s="111"/>
      <c r="AX937" s="121"/>
    </row>
    <row r="938" spans="1:50" s="110" customFormat="1" ht="20" customHeight="1">
      <c r="A938" s="125" t="s">
        <v>185</v>
      </c>
      <c r="B938" s="126" t="s">
        <v>59</v>
      </c>
      <c r="C938" s="127">
        <v>10701</v>
      </c>
      <c r="D938" s="145">
        <v>101093</v>
      </c>
      <c r="E938" s="146" t="s">
        <v>3977</v>
      </c>
      <c r="F938" s="146" t="s">
        <v>3977</v>
      </c>
      <c r="G938" s="147">
        <v>18000</v>
      </c>
      <c r="H938" s="147">
        <v>4</v>
      </c>
      <c r="I938" s="146" t="s">
        <v>209</v>
      </c>
      <c r="J938" s="146" t="s">
        <v>3978</v>
      </c>
      <c r="K938" s="146" t="s">
        <v>3977</v>
      </c>
      <c r="L938" s="147">
        <v>1</v>
      </c>
      <c r="M938" s="147">
        <v>4</v>
      </c>
      <c r="N938" s="146" t="s">
        <v>1548</v>
      </c>
      <c r="O938" s="147">
        <v>35</v>
      </c>
      <c r="P938" s="147">
        <v>3</v>
      </c>
      <c r="Q938" s="147">
        <v>17</v>
      </c>
      <c r="R938" s="146" t="s">
        <v>190</v>
      </c>
      <c r="S938" s="146" t="s">
        <v>191</v>
      </c>
      <c r="T938" s="147">
        <v>155</v>
      </c>
      <c r="U938" s="146" t="s">
        <v>192</v>
      </c>
      <c r="V938" s="146" t="s">
        <v>193</v>
      </c>
      <c r="W938" s="147">
        <v>1</v>
      </c>
      <c r="X938" s="147">
        <v>2</v>
      </c>
      <c r="Y938" s="146" t="s">
        <v>194</v>
      </c>
      <c r="Z938" s="146" t="s">
        <v>195</v>
      </c>
      <c r="AA938" s="146" t="s">
        <v>196</v>
      </c>
      <c r="AB938" s="146" t="s">
        <v>187</v>
      </c>
      <c r="AC938" s="146" t="s">
        <v>187</v>
      </c>
      <c r="AD938" s="148"/>
      <c r="AE938" s="146" t="s">
        <v>209</v>
      </c>
      <c r="AF938" s="147">
        <v>1.0428299999999999</v>
      </c>
      <c r="AG938" s="149">
        <v>117.6511</v>
      </c>
      <c r="AO938" s="121"/>
      <c r="AT938" s="111"/>
      <c r="AX938" s="121"/>
    </row>
    <row r="939" spans="1:50" s="110" customFormat="1" ht="20" customHeight="1">
      <c r="A939" s="125" t="s">
        <v>185</v>
      </c>
      <c r="B939" s="126" t="s">
        <v>59</v>
      </c>
      <c r="C939" s="127">
        <v>11749</v>
      </c>
      <c r="D939" s="145">
        <v>102910</v>
      </c>
      <c r="E939" s="146" t="s">
        <v>3880</v>
      </c>
      <c r="F939" s="146" t="s">
        <v>3880</v>
      </c>
      <c r="G939" s="147">
        <v>15000</v>
      </c>
      <c r="H939" s="147">
        <v>4</v>
      </c>
      <c r="I939" s="146" t="s">
        <v>209</v>
      </c>
      <c r="J939" s="146" t="s">
        <v>3881</v>
      </c>
      <c r="K939" s="146" t="s">
        <v>3880</v>
      </c>
      <c r="L939" s="147">
        <v>4</v>
      </c>
      <c r="M939" s="147">
        <v>4</v>
      </c>
      <c r="N939" s="146" t="s">
        <v>1548</v>
      </c>
      <c r="O939" s="147">
        <v>10</v>
      </c>
      <c r="P939" s="147">
        <v>4</v>
      </c>
      <c r="Q939" s="147">
        <v>17</v>
      </c>
      <c r="R939" s="146" t="s">
        <v>190</v>
      </c>
      <c r="S939" s="146" t="s">
        <v>191</v>
      </c>
      <c r="T939" s="147">
        <v>155</v>
      </c>
      <c r="U939" s="146" t="s">
        <v>192</v>
      </c>
      <c r="V939" s="146" t="s">
        <v>193</v>
      </c>
      <c r="W939" s="147">
        <v>1</v>
      </c>
      <c r="X939" s="147">
        <v>2</v>
      </c>
      <c r="Y939" s="146" t="s">
        <v>194</v>
      </c>
      <c r="Z939" s="146" t="s">
        <v>195</v>
      </c>
      <c r="AA939" s="146" t="s">
        <v>196</v>
      </c>
      <c r="AB939" s="146" t="s">
        <v>187</v>
      </c>
      <c r="AC939" s="146" t="s">
        <v>187</v>
      </c>
      <c r="AD939" s="148"/>
      <c r="AE939" s="146" t="s">
        <v>209</v>
      </c>
      <c r="AF939" s="147">
        <v>0.99495</v>
      </c>
      <c r="AG939" s="149">
        <v>112.65859</v>
      </c>
      <c r="AO939" s="121"/>
      <c r="AT939" s="111"/>
      <c r="AX939" s="121"/>
    </row>
    <row r="940" spans="1:50" s="110" customFormat="1" ht="20" customHeight="1">
      <c r="A940" s="125" t="s">
        <v>185</v>
      </c>
      <c r="B940" s="126" t="s">
        <v>59</v>
      </c>
      <c r="C940" s="127">
        <v>12616</v>
      </c>
      <c r="D940" s="145">
        <v>104820</v>
      </c>
      <c r="E940" s="146" t="s">
        <v>3799</v>
      </c>
      <c r="F940" s="146" t="s">
        <v>3799</v>
      </c>
      <c r="G940" s="147">
        <v>13000</v>
      </c>
      <c r="H940" s="147">
        <v>4</v>
      </c>
      <c r="I940" s="146" t="s">
        <v>209</v>
      </c>
      <c r="J940" s="146" t="s">
        <v>3800</v>
      </c>
      <c r="K940" s="146" t="s">
        <v>3801</v>
      </c>
      <c r="L940" s="147">
        <v>1</v>
      </c>
      <c r="M940" s="147">
        <v>4</v>
      </c>
      <c r="N940" s="146" t="s">
        <v>1548</v>
      </c>
      <c r="O940" s="147">
        <v>40</v>
      </c>
      <c r="P940" s="147">
        <v>3</v>
      </c>
      <c r="Q940" s="147">
        <v>17</v>
      </c>
      <c r="R940" s="146" t="s">
        <v>190</v>
      </c>
      <c r="S940" s="146" t="s">
        <v>191</v>
      </c>
      <c r="T940" s="147">
        <v>155</v>
      </c>
      <c r="U940" s="146" t="s">
        <v>192</v>
      </c>
      <c r="V940" s="146" t="s">
        <v>193</v>
      </c>
      <c r="W940" s="147">
        <v>1</v>
      </c>
      <c r="X940" s="147">
        <v>2</v>
      </c>
      <c r="Y940" s="146" t="s">
        <v>194</v>
      </c>
      <c r="Z940" s="146" t="s">
        <v>195</v>
      </c>
      <c r="AA940" s="146" t="s">
        <v>196</v>
      </c>
      <c r="AB940" s="146" t="s">
        <v>187</v>
      </c>
      <c r="AC940" s="146" t="s">
        <v>187</v>
      </c>
      <c r="AD940" s="148"/>
      <c r="AE940" s="146" t="s">
        <v>209</v>
      </c>
      <c r="AF940" s="147">
        <v>0.69542000000000004</v>
      </c>
      <c r="AG940" s="149">
        <v>110.52011</v>
      </c>
      <c r="AO940" s="121"/>
      <c r="AT940" s="111"/>
      <c r="AX940" s="121"/>
    </row>
    <row r="941" spans="1:50" s="110" customFormat="1" ht="20" customHeight="1">
      <c r="A941" s="125" t="s">
        <v>185</v>
      </c>
      <c r="B941" s="126" t="s">
        <v>59</v>
      </c>
      <c r="C941" s="127">
        <v>12927</v>
      </c>
      <c r="D941" s="145">
        <v>105542</v>
      </c>
      <c r="E941" s="146" t="s">
        <v>3617</v>
      </c>
      <c r="F941" s="146" t="s">
        <v>3618</v>
      </c>
      <c r="G941" s="147">
        <v>10000</v>
      </c>
      <c r="H941" s="147">
        <v>4</v>
      </c>
      <c r="I941" s="146" t="s">
        <v>209</v>
      </c>
      <c r="J941" s="146" t="s">
        <v>3619</v>
      </c>
      <c r="K941" s="146" t="s">
        <v>3620</v>
      </c>
      <c r="L941" s="147">
        <v>1</v>
      </c>
      <c r="M941" s="147">
        <v>4</v>
      </c>
      <c r="N941" s="146" t="s">
        <v>1548</v>
      </c>
      <c r="O941" s="147">
        <v>20</v>
      </c>
      <c r="P941" s="147">
        <v>4</v>
      </c>
      <c r="Q941" s="147">
        <v>17</v>
      </c>
      <c r="R941" s="146" t="s">
        <v>190</v>
      </c>
      <c r="S941" s="146" t="s">
        <v>191</v>
      </c>
      <c r="T941" s="147">
        <v>155</v>
      </c>
      <c r="U941" s="146" t="s">
        <v>192</v>
      </c>
      <c r="V941" s="146" t="s">
        <v>193</v>
      </c>
      <c r="W941" s="147">
        <v>2</v>
      </c>
      <c r="X941" s="147">
        <v>2</v>
      </c>
      <c r="Y941" s="146" t="s">
        <v>194</v>
      </c>
      <c r="Z941" s="146" t="s">
        <v>195</v>
      </c>
      <c r="AA941" s="146" t="s">
        <v>196</v>
      </c>
      <c r="AB941" s="146" t="s">
        <v>187</v>
      </c>
      <c r="AC941" s="146" t="s">
        <v>187</v>
      </c>
      <c r="AD941" s="148"/>
      <c r="AE941" s="146" t="s">
        <v>209</v>
      </c>
      <c r="AF941" s="147">
        <v>2.4452509999999998</v>
      </c>
      <c r="AG941" s="149">
        <v>117.716852</v>
      </c>
      <c r="AO941" s="121"/>
      <c r="AT941" s="111"/>
      <c r="AX941" s="121"/>
    </row>
    <row r="942" spans="1:50" s="110" customFormat="1" ht="20" customHeight="1">
      <c r="A942" s="125" t="s">
        <v>185</v>
      </c>
      <c r="B942" s="126" t="s">
        <v>59</v>
      </c>
      <c r="C942" s="127">
        <v>14759</v>
      </c>
      <c r="D942" s="145">
        <v>108707</v>
      </c>
      <c r="E942" s="146" t="s">
        <v>3187</v>
      </c>
      <c r="F942" s="146" t="s">
        <v>3187</v>
      </c>
      <c r="G942" s="147">
        <v>5000</v>
      </c>
      <c r="H942" s="147">
        <v>4</v>
      </c>
      <c r="I942" s="146" t="s">
        <v>209</v>
      </c>
      <c r="J942" s="146" t="s">
        <v>3188</v>
      </c>
      <c r="K942" s="146" t="s">
        <v>3189</v>
      </c>
      <c r="L942" s="147">
        <v>3</v>
      </c>
      <c r="M942" s="147">
        <v>4</v>
      </c>
      <c r="N942" s="146" t="s">
        <v>1548</v>
      </c>
      <c r="O942" s="147">
        <v>30</v>
      </c>
      <c r="P942" s="147">
        <v>6</v>
      </c>
      <c r="Q942" s="147">
        <v>17</v>
      </c>
      <c r="R942" s="146" t="s">
        <v>190</v>
      </c>
      <c r="S942" s="146" t="s">
        <v>191</v>
      </c>
      <c r="T942" s="147">
        <v>155</v>
      </c>
      <c r="U942" s="146" t="s">
        <v>192</v>
      </c>
      <c r="V942" s="146" t="s">
        <v>193</v>
      </c>
      <c r="W942" s="147">
        <v>1</v>
      </c>
      <c r="X942" s="147">
        <v>2</v>
      </c>
      <c r="Y942" s="146" t="s">
        <v>194</v>
      </c>
      <c r="Z942" s="146" t="s">
        <v>195</v>
      </c>
      <c r="AA942" s="146" t="s">
        <v>196</v>
      </c>
      <c r="AB942" s="146" t="s">
        <v>187</v>
      </c>
      <c r="AC942" s="146" t="s">
        <v>187</v>
      </c>
      <c r="AD942" s="148"/>
      <c r="AE942" s="146" t="s">
        <v>209</v>
      </c>
      <c r="AF942" s="147">
        <v>1.2116</v>
      </c>
      <c r="AG942" s="149">
        <v>109.54604</v>
      </c>
      <c r="AO942" s="121"/>
      <c r="AT942" s="111"/>
      <c r="AX942" s="121"/>
    </row>
    <row r="943" spans="1:50" s="110" customFormat="1" ht="20" customHeight="1">
      <c r="A943" s="125" t="s">
        <v>185</v>
      </c>
      <c r="B943" s="126" t="s">
        <v>59</v>
      </c>
      <c r="C943" s="127">
        <v>12754</v>
      </c>
      <c r="D943" s="145">
        <v>105134</v>
      </c>
      <c r="E943" s="146" t="s">
        <v>2773</v>
      </c>
      <c r="F943" s="146" t="s">
        <v>2773</v>
      </c>
      <c r="G943" s="147">
        <v>4400</v>
      </c>
      <c r="H943" s="147">
        <v>4</v>
      </c>
      <c r="I943" s="146" t="s">
        <v>209</v>
      </c>
      <c r="J943" s="146" t="s">
        <v>2774</v>
      </c>
      <c r="K943" s="146" t="s">
        <v>2775</v>
      </c>
      <c r="L943" s="147">
        <v>3</v>
      </c>
      <c r="M943" s="147">
        <v>4</v>
      </c>
      <c r="N943" s="146" t="s">
        <v>1548</v>
      </c>
      <c r="O943" s="147">
        <v>40</v>
      </c>
      <c r="P943" s="147">
        <v>7</v>
      </c>
      <c r="Q943" s="147">
        <v>17</v>
      </c>
      <c r="R943" s="146" t="s">
        <v>190</v>
      </c>
      <c r="S943" s="146" t="s">
        <v>191</v>
      </c>
      <c r="T943" s="147">
        <v>155</v>
      </c>
      <c r="U943" s="146" t="s">
        <v>192</v>
      </c>
      <c r="V943" s="146" t="s">
        <v>193</v>
      </c>
      <c r="W943" s="147">
        <v>2</v>
      </c>
      <c r="X943" s="147">
        <v>2</v>
      </c>
      <c r="Y943" s="146" t="s">
        <v>194</v>
      </c>
      <c r="Z943" s="146" t="s">
        <v>195</v>
      </c>
      <c r="AA943" s="146" t="s">
        <v>196</v>
      </c>
      <c r="AB943" s="146" t="s">
        <v>187</v>
      </c>
      <c r="AC943" s="146" t="s">
        <v>187</v>
      </c>
      <c r="AD943" s="148"/>
      <c r="AE943" s="146" t="s">
        <v>209</v>
      </c>
      <c r="AF943" s="147">
        <v>4.1836200000000003</v>
      </c>
      <c r="AG943" s="149">
        <v>115.9495</v>
      </c>
      <c r="AO943" s="121"/>
      <c r="AT943" s="111"/>
      <c r="AX943" s="121"/>
    </row>
    <row r="944" spans="1:50" s="110" customFormat="1" ht="20" customHeight="1">
      <c r="A944" s="125" t="s">
        <v>185</v>
      </c>
      <c r="B944" s="126" t="s">
        <v>59</v>
      </c>
      <c r="C944" s="127">
        <v>14841</v>
      </c>
      <c r="D944" s="145">
        <v>108823</v>
      </c>
      <c r="E944" s="146" t="s">
        <v>2866</v>
      </c>
      <c r="F944" s="146" t="s">
        <v>2866</v>
      </c>
      <c r="G944" s="147">
        <v>4200</v>
      </c>
      <c r="H944" s="147">
        <v>4</v>
      </c>
      <c r="I944" s="146" t="s">
        <v>209</v>
      </c>
      <c r="J944" s="146" t="s">
        <v>2867</v>
      </c>
      <c r="K944" s="146" t="s">
        <v>2866</v>
      </c>
      <c r="L944" s="147">
        <v>2</v>
      </c>
      <c r="M944" s="147">
        <v>4</v>
      </c>
      <c r="N944" s="146" t="s">
        <v>1548</v>
      </c>
      <c r="O944" s="147">
        <v>20</v>
      </c>
      <c r="P944" s="147">
        <v>5</v>
      </c>
      <c r="Q944" s="147">
        <v>17</v>
      </c>
      <c r="R944" s="146" t="s">
        <v>190</v>
      </c>
      <c r="S944" s="146" t="s">
        <v>191</v>
      </c>
      <c r="T944" s="147">
        <v>155</v>
      </c>
      <c r="U944" s="146" t="s">
        <v>192</v>
      </c>
      <c r="V944" s="146" t="s">
        <v>193</v>
      </c>
      <c r="W944" s="147">
        <v>2</v>
      </c>
      <c r="X944" s="147">
        <v>2</v>
      </c>
      <c r="Y944" s="146" t="s">
        <v>194</v>
      </c>
      <c r="Z944" s="146" t="s">
        <v>195</v>
      </c>
      <c r="AA944" s="146" t="s">
        <v>196</v>
      </c>
      <c r="AB944" s="146" t="s">
        <v>187</v>
      </c>
      <c r="AC944" s="146" t="s">
        <v>187</v>
      </c>
      <c r="AD944" s="148"/>
      <c r="AE944" s="146" t="s">
        <v>209</v>
      </c>
      <c r="AF944" s="147">
        <v>4.1022699999999999</v>
      </c>
      <c r="AG944" s="149">
        <v>116.96371000000001</v>
      </c>
      <c r="AO944" s="121"/>
      <c r="AT944" s="111"/>
      <c r="AX944" s="121"/>
    </row>
    <row r="945" spans="1:50" s="110" customFormat="1" ht="20" customHeight="1">
      <c r="A945" s="125" t="s">
        <v>185</v>
      </c>
      <c r="B945" s="126" t="s">
        <v>59</v>
      </c>
      <c r="C945" s="127">
        <v>14815</v>
      </c>
      <c r="D945" s="145">
        <v>108790</v>
      </c>
      <c r="E945" s="146" t="s">
        <v>2979</v>
      </c>
      <c r="F945" s="146" t="s">
        <v>2979</v>
      </c>
      <c r="G945" s="147">
        <v>3600</v>
      </c>
      <c r="H945" s="147">
        <v>4</v>
      </c>
      <c r="I945" s="146" t="s">
        <v>209</v>
      </c>
      <c r="J945" s="146" t="s">
        <v>2980</v>
      </c>
      <c r="K945" s="146" t="s">
        <v>2979</v>
      </c>
      <c r="L945" s="147">
        <v>1</v>
      </c>
      <c r="M945" s="147">
        <v>4</v>
      </c>
      <c r="N945" s="146" t="s">
        <v>1548</v>
      </c>
      <c r="O945" s="147">
        <v>5</v>
      </c>
      <c r="P945" s="147">
        <v>3</v>
      </c>
      <c r="Q945" s="147">
        <v>17</v>
      </c>
      <c r="R945" s="146" t="s">
        <v>190</v>
      </c>
      <c r="S945" s="146" t="s">
        <v>191</v>
      </c>
      <c r="T945" s="147">
        <v>155</v>
      </c>
      <c r="U945" s="146" t="s">
        <v>192</v>
      </c>
      <c r="V945" s="146" t="s">
        <v>193</v>
      </c>
      <c r="W945" s="147">
        <v>1</v>
      </c>
      <c r="X945" s="147">
        <v>2</v>
      </c>
      <c r="Y945" s="146" t="s">
        <v>194</v>
      </c>
      <c r="Z945" s="146" t="s">
        <v>195</v>
      </c>
      <c r="AA945" s="146" t="s">
        <v>196</v>
      </c>
      <c r="AB945" s="146" t="s">
        <v>187</v>
      </c>
      <c r="AC945" s="146" t="s">
        <v>187</v>
      </c>
      <c r="AD945" s="148"/>
      <c r="AE945" s="146" t="s">
        <v>209</v>
      </c>
      <c r="AF945" s="147">
        <v>1.9212100000000001</v>
      </c>
      <c r="AG945" s="149">
        <v>116.94756</v>
      </c>
      <c r="AO945" s="121"/>
      <c r="AT945" s="111"/>
      <c r="AX945" s="121"/>
    </row>
    <row r="946" spans="1:50" s="110" customFormat="1" ht="20" customHeight="1">
      <c r="A946" s="125" t="s">
        <v>185</v>
      </c>
      <c r="B946" s="126" t="s">
        <v>59</v>
      </c>
      <c r="C946" s="127">
        <v>11517</v>
      </c>
      <c r="D946" s="145">
        <v>102482</v>
      </c>
      <c r="E946" s="146" t="s">
        <v>2855</v>
      </c>
      <c r="F946" s="146" t="s">
        <v>2855</v>
      </c>
      <c r="G946" s="147">
        <v>2800</v>
      </c>
      <c r="H946" s="147">
        <v>4</v>
      </c>
      <c r="I946" s="146" t="s">
        <v>209</v>
      </c>
      <c r="J946" s="146" t="s">
        <v>634</v>
      </c>
      <c r="K946" s="146" t="s">
        <v>635</v>
      </c>
      <c r="L946" s="147">
        <v>0</v>
      </c>
      <c r="M946" s="147">
        <v>4</v>
      </c>
      <c r="N946" s="146" t="s">
        <v>1548</v>
      </c>
      <c r="O946" s="147">
        <v>10</v>
      </c>
      <c r="P946" s="147">
        <v>6</v>
      </c>
      <c r="Q946" s="147">
        <v>17</v>
      </c>
      <c r="R946" s="146" t="s">
        <v>190</v>
      </c>
      <c r="S946" s="146" t="s">
        <v>191</v>
      </c>
      <c r="T946" s="147">
        <v>155</v>
      </c>
      <c r="U946" s="146" t="s">
        <v>192</v>
      </c>
      <c r="V946" s="146" t="s">
        <v>193</v>
      </c>
      <c r="W946" s="147">
        <v>1</v>
      </c>
      <c r="X946" s="147">
        <v>2</v>
      </c>
      <c r="Y946" s="146" t="s">
        <v>194</v>
      </c>
      <c r="Z946" s="146" t="s">
        <v>195</v>
      </c>
      <c r="AA946" s="146" t="s">
        <v>196</v>
      </c>
      <c r="AB946" s="146" t="s">
        <v>187</v>
      </c>
      <c r="AC946" s="146" t="s">
        <v>187</v>
      </c>
      <c r="AD946" s="148"/>
      <c r="AE946" s="146" t="s">
        <v>209</v>
      </c>
      <c r="AF946" s="147">
        <v>3.354654</v>
      </c>
      <c r="AG946" s="149">
        <v>117.596559</v>
      </c>
      <c r="AO946" s="121"/>
      <c r="AT946" s="111"/>
      <c r="AX946" s="121"/>
    </row>
    <row r="947" spans="1:50" s="110" customFormat="1" ht="20" customHeight="1">
      <c r="A947" s="125" t="s">
        <v>185</v>
      </c>
      <c r="B947" s="126" t="s">
        <v>59</v>
      </c>
      <c r="C947" s="127">
        <v>15174</v>
      </c>
      <c r="D947" s="145">
        <v>109691</v>
      </c>
      <c r="E947" s="146" t="s">
        <v>2716</v>
      </c>
      <c r="F947" s="146" t="s">
        <v>2716</v>
      </c>
      <c r="G947" s="147">
        <v>2100</v>
      </c>
      <c r="H947" s="147">
        <v>4</v>
      </c>
      <c r="I947" s="146" t="s">
        <v>209</v>
      </c>
      <c r="J947" s="146" t="s">
        <v>2717</v>
      </c>
      <c r="K947" s="146" t="s">
        <v>2718</v>
      </c>
      <c r="L947" s="147">
        <v>5</v>
      </c>
      <c r="M947" s="147">
        <v>4</v>
      </c>
      <c r="N947" s="146" t="s">
        <v>1548</v>
      </c>
      <c r="O947" s="147">
        <v>20</v>
      </c>
      <c r="P947" s="147">
        <v>6</v>
      </c>
      <c r="Q947" s="147">
        <v>17</v>
      </c>
      <c r="R947" s="146" t="s">
        <v>190</v>
      </c>
      <c r="S947" s="146" t="s">
        <v>191</v>
      </c>
      <c r="T947" s="147">
        <v>155</v>
      </c>
      <c r="U947" s="146" t="s">
        <v>192</v>
      </c>
      <c r="V947" s="146" t="s">
        <v>193</v>
      </c>
      <c r="W947" s="147">
        <v>2</v>
      </c>
      <c r="X947" s="147">
        <v>2</v>
      </c>
      <c r="Y947" s="146" t="s">
        <v>194</v>
      </c>
      <c r="Z947" s="146" t="s">
        <v>195</v>
      </c>
      <c r="AA947" s="146" t="s">
        <v>196</v>
      </c>
      <c r="AB947" s="146" t="s">
        <v>187</v>
      </c>
      <c r="AC947" s="146" t="s">
        <v>187</v>
      </c>
      <c r="AD947" s="148"/>
      <c r="AE947" s="146" t="s">
        <v>209</v>
      </c>
      <c r="AF947" s="147">
        <v>4.2755700000000001</v>
      </c>
      <c r="AG947" s="149">
        <v>116.22821</v>
      </c>
      <c r="AO947" s="121"/>
      <c r="AT947" s="111"/>
      <c r="AX947" s="121"/>
    </row>
    <row r="948" spans="1:50" s="110" customFormat="1" ht="20" customHeight="1">
      <c r="A948" s="125" t="s">
        <v>185</v>
      </c>
      <c r="B948" s="126" t="s">
        <v>59</v>
      </c>
      <c r="C948" s="127">
        <v>21840</v>
      </c>
      <c r="D948" s="150"/>
      <c r="E948" s="146" t="s">
        <v>2695</v>
      </c>
      <c r="F948" s="146" t="s">
        <v>2695</v>
      </c>
      <c r="G948" s="147">
        <v>2000</v>
      </c>
      <c r="H948" s="147">
        <v>4</v>
      </c>
      <c r="I948" s="146" t="s">
        <v>209</v>
      </c>
      <c r="J948" s="146" t="s">
        <v>2696</v>
      </c>
      <c r="K948" s="146" t="s">
        <v>2695</v>
      </c>
      <c r="L948" s="147">
        <v>0</v>
      </c>
      <c r="M948" s="147">
        <v>4</v>
      </c>
      <c r="N948" s="146" t="s">
        <v>1548</v>
      </c>
      <c r="O948" s="147">
        <v>25</v>
      </c>
      <c r="P948" s="147">
        <v>10</v>
      </c>
      <c r="Q948" s="147">
        <v>17</v>
      </c>
      <c r="R948" s="146" t="s">
        <v>190</v>
      </c>
      <c r="S948" s="146" t="s">
        <v>191</v>
      </c>
      <c r="T948" s="147">
        <v>155</v>
      </c>
      <c r="U948" s="146" t="s">
        <v>192</v>
      </c>
      <c r="V948" s="146" t="s">
        <v>193</v>
      </c>
      <c r="W948" s="147">
        <v>1</v>
      </c>
      <c r="X948" s="147">
        <v>2</v>
      </c>
      <c r="Y948" s="146" t="s">
        <v>194</v>
      </c>
      <c r="Z948" s="146" t="s">
        <v>195</v>
      </c>
      <c r="AA948" s="146" t="s">
        <v>196</v>
      </c>
      <c r="AB948" s="146" t="s">
        <v>187</v>
      </c>
      <c r="AC948" s="146" t="s">
        <v>187</v>
      </c>
      <c r="AD948" s="148"/>
      <c r="AE948" s="146" t="s">
        <v>209</v>
      </c>
      <c r="AF948" s="147">
        <v>-0.98399999999999999</v>
      </c>
      <c r="AG948" s="149">
        <v>110.2</v>
      </c>
      <c r="AO948" s="121"/>
      <c r="AT948" s="111"/>
      <c r="AX948" s="121"/>
    </row>
    <row r="949" spans="1:50" s="110" customFormat="1" ht="20" customHeight="1">
      <c r="A949" s="125" t="s">
        <v>185</v>
      </c>
      <c r="B949" s="126" t="s">
        <v>59</v>
      </c>
      <c r="C949" s="127">
        <v>12593</v>
      </c>
      <c r="D949" s="145">
        <v>104782</v>
      </c>
      <c r="E949" s="146" t="s">
        <v>2253</v>
      </c>
      <c r="F949" s="146" t="s">
        <v>2253</v>
      </c>
      <c r="G949" s="147">
        <v>900</v>
      </c>
      <c r="H949" s="147">
        <v>4</v>
      </c>
      <c r="I949" s="146" t="s">
        <v>209</v>
      </c>
      <c r="J949" s="146" t="s">
        <v>2254</v>
      </c>
      <c r="K949" s="146" t="s">
        <v>2253</v>
      </c>
      <c r="L949" s="147">
        <v>1</v>
      </c>
      <c r="M949" s="147">
        <v>4</v>
      </c>
      <c r="N949" s="146" t="s">
        <v>1548</v>
      </c>
      <c r="O949" s="147">
        <v>5</v>
      </c>
      <c r="P949" s="147">
        <v>3</v>
      </c>
      <c r="Q949" s="147">
        <v>17</v>
      </c>
      <c r="R949" s="146" t="s">
        <v>190</v>
      </c>
      <c r="S949" s="146" t="s">
        <v>191</v>
      </c>
      <c r="T949" s="147">
        <v>155</v>
      </c>
      <c r="U949" s="146" t="s">
        <v>192</v>
      </c>
      <c r="V949" s="146" t="s">
        <v>193</v>
      </c>
      <c r="W949" s="147">
        <v>1</v>
      </c>
      <c r="X949" s="147">
        <v>2</v>
      </c>
      <c r="Y949" s="146" t="s">
        <v>194</v>
      </c>
      <c r="Z949" s="146" t="s">
        <v>195</v>
      </c>
      <c r="AA949" s="146" t="s">
        <v>196</v>
      </c>
      <c r="AB949" s="146" t="s">
        <v>187</v>
      </c>
      <c r="AC949" s="146" t="s">
        <v>187</v>
      </c>
      <c r="AD949" s="148"/>
      <c r="AE949" s="146" t="s">
        <v>209</v>
      </c>
      <c r="AF949" s="147">
        <v>1.4176800000000001</v>
      </c>
      <c r="AG949" s="149">
        <v>116.62194</v>
      </c>
      <c r="AO949" s="121"/>
      <c r="AT949" s="111"/>
      <c r="AX949" s="121"/>
    </row>
    <row r="950" spans="1:50" s="110" customFormat="1" ht="20" customHeight="1">
      <c r="A950" s="125" t="s">
        <v>185</v>
      </c>
      <c r="B950" s="126" t="s">
        <v>59</v>
      </c>
      <c r="C950" s="127">
        <v>14835</v>
      </c>
      <c r="D950" s="145">
        <v>108815</v>
      </c>
      <c r="E950" s="146" t="s">
        <v>2260</v>
      </c>
      <c r="F950" s="146" t="s">
        <v>2260</v>
      </c>
      <c r="G950" s="147">
        <v>900</v>
      </c>
      <c r="H950" s="147">
        <v>4</v>
      </c>
      <c r="I950" s="146" t="s">
        <v>209</v>
      </c>
      <c r="J950" s="146" t="s">
        <v>2261</v>
      </c>
      <c r="K950" s="146" t="s">
        <v>2260</v>
      </c>
      <c r="L950" s="147">
        <v>1</v>
      </c>
      <c r="M950" s="147">
        <v>4</v>
      </c>
      <c r="N950" s="146" t="s">
        <v>1548</v>
      </c>
      <c r="O950" s="147">
        <v>20</v>
      </c>
      <c r="P950" s="147">
        <v>9</v>
      </c>
      <c r="Q950" s="147">
        <v>17</v>
      </c>
      <c r="R950" s="146" t="s">
        <v>190</v>
      </c>
      <c r="S950" s="146" t="s">
        <v>191</v>
      </c>
      <c r="T950" s="147">
        <v>155</v>
      </c>
      <c r="U950" s="146" t="s">
        <v>192</v>
      </c>
      <c r="V950" s="146" t="s">
        <v>193</v>
      </c>
      <c r="W950" s="147">
        <v>2</v>
      </c>
      <c r="X950" s="147">
        <v>2</v>
      </c>
      <c r="Y950" s="146" t="s">
        <v>194</v>
      </c>
      <c r="Z950" s="146" t="s">
        <v>195</v>
      </c>
      <c r="AA950" s="146" t="s">
        <v>196</v>
      </c>
      <c r="AB950" s="146" t="s">
        <v>187</v>
      </c>
      <c r="AC950" s="146" t="s">
        <v>187</v>
      </c>
      <c r="AD950" s="148"/>
      <c r="AE950" s="146" t="s">
        <v>209</v>
      </c>
      <c r="AF950" s="147">
        <v>4.2635699999999996</v>
      </c>
      <c r="AG950" s="149">
        <v>116.48087</v>
      </c>
      <c r="AO950" s="121"/>
      <c r="AT950" s="111"/>
      <c r="AX950" s="121"/>
    </row>
    <row r="951" spans="1:50" s="110" customFormat="1" ht="20" customHeight="1">
      <c r="A951" s="125" t="s">
        <v>185</v>
      </c>
      <c r="B951" s="126" t="s">
        <v>59</v>
      </c>
      <c r="C951" s="127">
        <v>14829</v>
      </c>
      <c r="D951" s="128">
        <v>108806</v>
      </c>
      <c r="E951" s="129" t="s">
        <v>3894</v>
      </c>
      <c r="F951" s="129" t="s">
        <v>3894</v>
      </c>
      <c r="G951" s="130">
        <v>377000</v>
      </c>
      <c r="H951" s="130">
        <v>5</v>
      </c>
      <c r="I951" s="129" t="s">
        <v>209</v>
      </c>
      <c r="J951" s="129" t="s">
        <v>3895</v>
      </c>
      <c r="K951" s="129" t="s">
        <v>3896</v>
      </c>
      <c r="L951" s="130">
        <v>3</v>
      </c>
      <c r="M951" s="130">
        <v>4</v>
      </c>
      <c r="N951" s="129" t="s">
        <v>1548</v>
      </c>
      <c r="O951" s="130">
        <v>45</v>
      </c>
      <c r="P951" s="130">
        <v>12</v>
      </c>
      <c r="Q951" s="130">
        <v>17</v>
      </c>
      <c r="R951" s="129" t="s">
        <v>190</v>
      </c>
      <c r="S951" s="129" t="s">
        <v>191</v>
      </c>
      <c r="T951" s="130">
        <v>155</v>
      </c>
      <c r="U951" s="129" t="s">
        <v>192</v>
      </c>
      <c r="V951" s="129" t="s">
        <v>193</v>
      </c>
      <c r="W951" s="130">
        <v>2</v>
      </c>
      <c r="X951" s="130">
        <v>2</v>
      </c>
      <c r="Y951" s="129" t="s">
        <v>194</v>
      </c>
      <c r="Z951" s="129" t="s">
        <v>195</v>
      </c>
      <c r="AA951" s="129" t="s">
        <v>196</v>
      </c>
      <c r="AB951" s="129" t="s">
        <v>187</v>
      </c>
      <c r="AC951" s="129" t="s">
        <v>187</v>
      </c>
      <c r="AD951" s="131"/>
      <c r="AE951" s="129" t="s">
        <v>209</v>
      </c>
      <c r="AF951" s="130">
        <v>0.34495999999999999</v>
      </c>
      <c r="AG951" s="132">
        <v>109.53511</v>
      </c>
      <c r="AO951" s="121"/>
      <c r="AT951" s="111"/>
      <c r="AX951" s="121"/>
    </row>
    <row r="952" spans="1:50" s="110" customFormat="1" ht="20" customHeight="1">
      <c r="A952" s="125" t="s">
        <v>185</v>
      </c>
      <c r="B952" s="126" t="s">
        <v>59</v>
      </c>
      <c r="C952" s="127">
        <v>14838</v>
      </c>
      <c r="D952" s="128">
        <v>108819</v>
      </c>
      <c r="E952" s="129" t="s">
        <v>4598</v>
      </c>
      <c r="F952" s="129" t="s">
        <v>4598</v>
      </c>
      <c r="G952" s="130">
        <v>100000</v>
      </c>
      <c r="H952" s="130">
        <v>5</v>
      </c>
      <c r="I952" s="129" t="s">
        <v>209</v>
      </c>
      <c r="J952" s="129" t="s">
        <v>4599</v>
      </c>
      <c r="K952" s="129" t="s">
        <v>4598</v>
      </c>
      <c r="L952" s="130">
        <v>0</v>
      </c>
      <c r="M952" s="130">
        <v>4</v>
      </c>
      <c r="N952" s="129" t="s">
        <v>1548</v>
      </c>
      <c r="O952" s="130">
        <v>30</v>
      </c>
      <c r="P952" s="130">
        <v>12</v>
      </c>
      <c r="Q952" s="130">
        <v>17</v>
      </c>
      <c r="R952" s="129" t="s">
        <v>190</v>
      </c>
      <c r="S952" s="129" t="s">
        <v>191</v>
      </c>
      <c r="T952" s="130">
        <v>155</v>
      </c>
      <c r="U952" s="129" t="s">
        <v>192</v>
      </c>
      <c r="V952" s="129" t="s">
        <v>193</v>
      </c>
      <c r="W952" s="130">
        <v>1</v>
      </c>
      <c r="X952" s="130">
        <v>2</v>
      </c>
      <c r="Y952" s="129" t="s">
        <v>194</v>
      </c>
      <c r="Z952" s="129" t="s">
        <v>195</v>
      </c>
      <c r="AA952" s="129" t="s">
        <v>196</v>
      </c>
      <c r="AB952" s="129" t="s">
        <v>187</v>
      </c>
      <c r="AC952" s="129" t="s">
        <v>187</v>
      </c>
      <c r="AD952" s="131"/>
      <c r="AE952" s="129" t="s">
        <v>209</v>
      </c>
      <c r="AF952" s="130">
        <v>-0.60392000000000001</v>
      </c>
      <c r="AG952" s="132">
        <v>110.33716</v>
      </c>
      <c r="AO952" s="121"/>
      <c r="AT952" s="111"/>
      <c r="AX952" s="121"/>
    </row>
    <row r="953" spans="1:50" s="110" customFormat="1" ht="20" customHeight="1">
      <c r="A953" s="125" t="s">
        <v>185</v>
      </c>
      <c r="B953" s="126" t="s">
        <v>59</v>
      </c>
      <c r="C953" s="127">
        <v>21841</v>
      </c>
      <c r="D953" s="138"/>
      <c r="E953" s="129" t="s">
        <v>3434</v>
      </c>
      <c r="F953" s="129" t="s">
        <v>3434</v>
      </c>
      <c r="G953" s="130">
        <v>7500</v>
      </c>
      <c r="H953" s="130">
        <v>5</v>
      </c>
      <c r="I953" s="129" t="s">
        <v>209</v>
      </c>
      <c r="J953" s="129" t="s">
        <v>3435</v>
      </c>
      <c r="K953" s="129" t="s">
        <v>3434</v>
      </c>
      <c r="L953" s="130">
        <v>0</v>
      </c>
      <c r="M953" s="130">
        <v>4</v>
      </c>
      <c r="N953" s="129" t="s">
        <v>1548</v>
      </c>
      <c r="O953" s="130">
        <v>35</v>
      </c>
      <c r="P953" s="130">
        <v>14</v>
      </c>
      <c r="Q953" s="130">
        <v>17</v>
      </c>
      <c r="R953" s="129" t="s">
        <v>190</v>
      </c>
      <c r="S953" s="129" t="s">
        <v>191</v>
      </c>
      <c r="T953" s="130">
        <v>155</v>
      </c>
      <c r="U953" s="129" t="s">
        <v>192</v>
      </c>
      <c r="V953" s="129" t="s">
        <v>193</v>
      </c>
      <c r="W953" s="130">
        <v>1</v>
      </c>
      <c r="X953" s="130">
        <v>2</v>
      </c>
      <c r="Y953" s="129" t="s">
        <v>194</v>
      </c>
      <c r="Z953" s="129" t="s">
        <v>195</v>
      </c>
      <c r="AA953" s="129" t="s">
        <v>196</v>
      </c>
      <c r="AB953" s="129" t="s">
        <v>187</v>
      </c>
      <c r="AC953" s="129" t="s">
        <v>187</v>
      </c>
      <c r="AD953" s="131"/>
      <c r="AE953" s="129" t="s">
        <v>209</v>
      </c>
      <c r="AF953" s="130">
        <v>-1.498</v>
      </c>
      <c r="AG953" s="132">
        <v>110.61</v>
      </c>
      <c r="AO953" s="121"/>
      <c r="AT953" s="111"/>
      <c r="AX953" s="121"/>
    </row>
    <row r="954" spans="1:50" s="110" customFormat="1" ht="20" customHeight="1">
      <c r="A954" s="125" t="s">
        <v>237</v>
      </c>
      <c r="B954" s="126" t="s">
        <v>60</v>
      </c>
      <c r="C954" s="127">
        <v>14357</v>
      </c>
      <c r="D954" s="163">
        <v>107968</v>
      </c>
      <c r="E954" s="164" t="s">
        <v>1545</v>
      </c>
      <c r="F954" s="164" t="s">
        <v>1545</v>
      </c>
      <c r="G954" s="165">
        <v>11000</v>
      </c>
      <c r="H954" s="165">
        <v>1</v>
      </c>
      <c r="I954" s="164" t="s">
        <v>187</v>
      </c>
      <c r="J954" s="164" t="s">
        <v>1546</v>
      </c>
      <c r="K954" s="164" t="s">
        <v>1547</v>
      </c>
      <c r="L954" s="165">
        <v>4</v>
      </c>
      <c r="M954" s="165">
        <v>4</v>
      </c>
      <c r="N954" s="164" t="s">
        <v>1548</v>
      </c>
      <c r="O954" s="165">
        <v>5</v>
      </c>
      <c r="P954" s="165">
        <v>0.3</v>
      </c>
      <c r="Q954" s="165">
        <v>17</v>
      </c>
      <c r="R954" s="164" t="s">
        <v>190</v>
      </c>
      <c r="S954" s="164" t="s">
        <v>191</v>
      </c>
      <c r="T954" s="165">
        <v>155</v>
      </c>
      <c r="U954" s="164" t="s">
        <v>192</v>
      </c>
      <c r="V954" s="164" t="s">
        <v>193</v>
      </c>
      <c r="W954" s="165">
        <v>2</v>
      </c>
      <c r="X954" s="165">
        <v>2</v>
      </c>
      <c r="Y954" s="164" t="s">
        <v>194</v>
      </c>
      <c r="Z954" s="164" t="s">
        <v>195</v>
      </c>
      <c r="AA954" s="164" t="s">
        <v>196</v>
      </c>
      <c r="AB954" s="164" t="s">
        <v>187</v>
      </c>
      <c r="AC954" s="164" t="s">
        <v>187</v>
      </c>
      <c r="AD954" s="165">
        <v>1</v>
      </c>
      <c r="AE954" s="164" t="s">
        <v>209</v>
      </c>
      <c r="AF954" s="165">
        <v>3.64635</v>
      </c>
      <c r="AG954" s="166">
        <v>114.96147000000001</v>
      </c>
      <c r="AO954" s="121"/>
      <c r="AT954" s="111"/>
      <c r="AX954" s="121"/>
    </row>
    <row r="955" spans="1:50" s="110" customFormat="1" ht="20" customHeight="1">
      <c r="A955" s="125" t="s">
        <v>237</v>
      </c>
      <c r="B955" s="126" t="s">
        <v>60</v>
      </c>
      <c r="C955" s="127">
        <v>14998</v>
      </c>
      <c r="D955" s="163">
        <v>109418</v>
      </c>
      <c r="E955" s="164" t="s">
        <v>3165</v>
      </c>
      <c r="F955" s="164" t="s">
        <v>3165</v>
      </c>
      <c r="G955" s="165">
        <v>4800</v>
      </c>
      <c r="H955" s="165">
        <v>1</v>
      </c>
      <c r="I955" s="164" t="s">
        <v>187</v>
      </c>
      <c r="J955" s="164" t="s">
        <v>3166</v>
      </c>
      <c r="K955" s="164" t="s">
        <v>3167</v>
      </c>
      <c r="L955" s="165">
        <v>4</v>
      </c>
      <c r="M955" s="165">
        <v>4</v>
      </c>
      <c r="N955" s="164" t="s">
        <v>1548</v>
      </c>
      <c r="O955" s="165">
        <v>5</v>
      </c>
      <c r="P955" s="165">
        <v>0.5</v>
      </c>
      <c r="Q955" s="165">
        <v>17</v>
      </c>
      <c r="R955" s="164" t="s">
        <v>190</v>
      </c>
      <c r="S955" s="164" t="s">
        <v>191</v>
      </c>
      <c r="T955" s="165">
        <v>155</v>
      </c>
      <c r="U955" s="164" t="s">
        <v>192</v>
      </c>
      <c r="V955" s="164" t="s">
        <v>193</v>
      </c>
      <c r="W955" s="165">
        <v>1</v>
      </c>
      <c r="X955" s="165">
        <v>2</v>
      </c>
      <c r="Y955" s="164" t="s">
        <v>194</v>
      </c>
      <c r="Z955" s="164" t="s">
        <v>195</v>
      </c>
      <c r="AA955" s="164" t="s">
        <v>196</v>
      </c>
      <c r="AB955" s="164" t="s">
        <v>187</v>
      </c>
      <c r="AC955" s="164" t="s">
        <v>187</v>
      </c>
      <c r="AD955" s="165">
        <v>1</v>
      </c>
      <c r="AE955" s="164" t="s">
        <v>209</v>
      </c>
      <c r="AF955" s="165">
        <v>6.5391955975987299</v>
      </c>
      <c r="AG955" s="166">
        <v>116.85269850793</v>
      </c>
      <c r="AO955" s="121"/>
      <c r="AT955" s="111"/>
      <c r="AX955" s="121"/>
    </row>
    <row r="956" spans="1:50" s="110" customFormat="1" ht="20" customHeight="1">
      <c r="A956" s="125" t="s">
        <v>237</v>
      </c>
      <c r="B956" s="126" t="s">
        <v>60</v>
      </c>
      <c r="C956" s="127">
        <v>14482</v>
      </c>
      <c r="D956" s="163">
        <v>108180</v>
      </c>
      <c r="E956" s="164" t="s">
        <v>3055</v>
      </c>
      <c r="F956" s="164" t="s">
        <v>3055</v>
      </c>
      <c r="G956" s="165">
        <v>4100</v>
      </c>
      <c r="H956" s="165">
        <v>1</v>
      </c>
      <c r="I956" s="164" t="s">
        <v>187</v>
      </c>
      <c r="J956" s="164" t="s">
        <v>3056</v>
      </c>
      <c r="K956" s="164" t="s">
        <v>3057</v>
      </c>
      <c r="L956" s="165">
        <v>4</v>
      </c>
      <c r="M956" s="165">
        <v>4</v>
      </c>
      <c r="N956" s="164" t="s">
        <v>1548</v>
      </c>
      <c r="O956" s="165">
        <v>0</v>
      </c>
      <c r="P956" s="165">
        <v>0</v>
      </c>
      <c r="Q956" s="165">
        <v>17</v>
      </c>
      <c r="R956" s="164" t="s">
        <v>190</v>
      </c>
      <c r="S956" s="164" t="s">
        <v>191</v>
      </c>
      <c r="T956" s="165">
        <v>155</v>
      </c>
      <c r="U956" s="164" t="s">
        <v>192</v>
      </c>
      <c r="V956" s="164" t="s">
        <v>193</v>
      </c>
      <c r="W956" s="165">
        <v>1</v>
      </c>
      <c r="X956" s="165">
        <v>2</v>
      </c>
      <c r="Y956" s="164" t="s">
        <v>194</v>
      </c>
      <c r="Z956" s="164" t="s">
        <v>195</v>
      </c>
      <c r="AA956" s="164" t="s">
        <v>196</v>
      </c>
      <c r="AB956" s="164" t="s">
        <v>187</v>
      </c>
      <c r="AC956" s="164" t="s">
        <v>187</v>
      </c>
      <c r="AD956" s="165">
        <v>1</v>
      </c>
      <c r="AE956" s="164" t="s">
        <v>187</v>
      </c>
      <c r="AF956" s="165">
        <v>2.82735</v>
      </c>
      <c r="AG956" s="166">
        <v>114.27717</v>
      </c>
      <c r="AO956" s="121"/>
      <c r="AT956" s="111"/>
      <c r="AX956" s="121"/>
    </row>
    <row r="957" spans="1:50" s="110" customFormat="1" ht="20" customHeight="1">
      <c r="A957" s="125" t="s">
        <v>237</v>
      </c>
      <c r="B957" s="126" t="s">
        <v>60</v>
      </c>
      <c r="C957" s="127">
        <v>13884</v>
      </c>
      <c r="D957" s="163">
        <v>106923</v>
      </c>
      <c r="E957" s="164" t="s">
        <v>2883</v>
      </c>
      <c r="F957" s="164" t="s">
        <v>2883</v>
      </c>
      <c r="G957" s="165">
        <v>3000</v>
      </c>
      <c r="H957" s="165">
        <v>1</v>
      </c>
      <c r="I957" s="164" t="s">
        <v>187</v>
      </c>
      <c r="J957" s="164" t="s">
        <v>2884</v>
      </c>
      <c r="K957" s="164" t="s">
        <v>2885</v>
      </c>
      <c r="L957" s="165">
        <v>0</v>
      </c>
      <c r="M957" s="165">
        <v>4</v>
      </c>
      <c r="N957" s="164" t="s">
        <v>1548</v>
      </c>
      <c r="O957" s="165">
        <v>4</v>
      </c>
      <c r="P957" s="165">
        <v>0.8</v>
      </c>
      <c r="Q957" s="165">
        <v>17</v>
      </c>
      <c r="R957" s="164" t="s">
        <v>190</v>
      </c>
      <c r="S957" s="164" t="s">
        <v>191</v>
      </c>
      <c r="T957" s="165">
        <v>155</v>
      </c>
      <c r="U957" s="164" t="s">
        <v>192</v>
      </c>
      <c r="V957" s="164" t="s">
        <v>193</v>
      </c>
      <c r="W957" s="165">
        <v>1</v>
      </c>
      <c r="X957" s="165">
        <v>2</v>
      </c>
      <c r="Y957" s="164" t="s">
        <v>194</v>
      </c>
      <c r="Z957" s="164" t="s">
        <v>195</v>
      </c>
      <c r="AA957" s="164" t="s">
        <v>196</v>
      </c>
      <c r="AB957" s="164" t="s">
        <v>187</v>
      </c>
      <c r="AC957" s="164" t="s">
        <v>187</v>
      </c>
      <c r="AD957" s="165">
        <v>1</v>
      </c>
      <c r="AE957" s="164" t="s">
        <v>209</v>
      </c>
      <c r="AF957" s="165">
        <v>3.6076700000000002</v>
      </c>
      <c r="AG957" s="166">
        <v>114.39978000000001</v>
      </c>
      <c r="AO957" s="121"/>
      <c r="AT957" s="111"/>
      <c r="AX957" s="121"/>
    </row>
    <row r="958" spans="1:50" s="110" customFormat="1" ht="20" customHeight="1">
      <c r="A958" s="125" t="s">
        <v>237</v>
      </c>
      <c r="B958" s="126" t="s">
        <v>60</v>
      </c>
      <c r="C958" s="127">
        <v>19812</v>
      </c>
      <c r="D958" s="163">
        <v>115049</v>
      </c>
      <c r="E958" s="164" t="s">
        <v>2627</v>
      </c>
      <c r="F958" s="164" t="s">
        <v>2627</v>
      </c>
      <c r="G958" s="165">
        <v>1700</v>
      </c>
      <c r="H958" s="165">
        <v>1</v>
      </c>
      <c r="I958" s="164" t="s">
        <v>187</v>
      </c>
      <c r="J958" s="164" t="s">
        <v>2628</v>
      </c>
      <c r="K958" s="164" t="s">
        <v>2627</v>
      </c>
      <c r="L958" s="165">
        <v>0</v>
      </c>
      <c r="M958" s="165">
        <v>4</v>
      </c>
      <c r="N958" s="164" t="s">
        <v>1548</v>
      </c>
      <c r="O958" s="165">
        <v>5</v>
      </c>
      <c r="P958" s="165">
        <v>0.5</v>
      </c>
      <c r="Q958" s="165">
        <v>17</v>
      </c>
      <c r="R958" s="164" t="s">
        <v>190</v>
      </c>
      <c r="S958" s="164" t="s">
        <v>191</v>
      </c>
      <c r="T958" s="165">
        <v>155</v>
      </c>
      <c r="U958" s="164" t="s">
        <v>192</v>
      </c>
      <c r="V958" s="164" t="s">
        <v>193</v>
      </c>
      <c r="W958" s="165">
        <v>1</v>
      </c>
      <c r="X958" s="165">
        <v>2</v>
      </c>
      <c r="Y958" s="164" t="s">
        <v>194</v>
      </c>
      <c r="Z958" s="164" t="s">
        <v>195</v>
      </c>
      <c r="AA958" s="164" t="s">
        <v>196</v>
      </c>
      <c r="AB958" s="164" t="s">
        <v>187</v>
      </c>
      <c r="AC958" s="164" t="s">
        <v>187</v>
      </c>
      <c r="AD958" s="165">
        <v>1</v>
      </c>
      <c r="AE958" s="164" t="s">
        <v>209</v>
      </c>
      <c r="AF958" s="165">
        <v>3.9487100000000002</v>
      </c>
      <c r="AG958" s="166">
        <v>114.55121</v>
      </c>
      <c r="AO958" s="121"/>
      <c r="AT958" s="111"/>
      <c r="AX958" s="121"/>
    </row>
    <row r="959" spans="1:50" s="110" customFormat="1" ht="20" customHeight="1">
      <c r="A959" s="125" t="s">
        <v>237</v>
      </c>
      <c r="B959" s="126" t="s">
        <v>60</v>
      </c>
      <c r="C959" s="127">
        <v>10800</v>
      </c>
      <c r="D959" s="163">
        <v>115051</v>
      </c>
      <c r="E959" s="164" t="s">
        <v>2367</v>
      </c>
      <c r="F959" s="164" t="s">
        <v>2367</v>
      </c>
      <c r="G959" s="165">
        <v>1100</v>
      </c>
      <c r="H959" s="165">
        <v>1</v>
      </c>
      <c r="I959" s="164" t="s">
        <v>187</v>
      </c>
      <c r="J959" s="164" t="s">
        <v>2368</v>
      </c>
      <c r="K959" s="164" t="s">
        <v>2367</v>
      </c>
      <c r="L959" s="165">
        <v>3</v>
      </c>
      <c r="M959" s="165">
        <v>4</v>
      </c>
      <c r="N959" s="164" t="s">
        <v>1548</v>
      </c>
      <c r="O959" s="165">
        <v>3</v>
      </c>
      <c r="P959" s="165">
        <v>0</v>
      </c>
      <c r="Q959" s="165">
        <v>17</v>
      </c>
      <c r="R959" s="164" t="s">
        <v>190</v>
      </c>
      <c r="S959" s="164" t="s">
        <v>191</v>
      </c>
      <c r="T959" s="165">
        <v>155</v>
      </c>
      <c r="U959" s="164" t="s">
        <v>192</v>
      </c>
      <c r="V959" s="164" t="s">
        <v>193</v>
      </c>
      <c r="W959" s="165">
        <v>1</v>
      </c>
      <c r="X959" s="165">
        <v>2</v>
      </c>
      <c r="Y959" s="164" t="s">
        <v>194</v>
      </c>
      <c r="Z959" s="164" t="s">
        <v>195</v>
      </c>
      <c r="AA959" s="164" t="s">
        <v>196</v>
      </c>
      <c r="AB959" s="164" t="s">
        <v>187</v>
      </c>
      <c r="AC959" s="164" t="s">
        <v>187</v>
      </c>
      <c r="AD959" s="165">
        <v>1</v>
      </c>
      <c r="AE959" s="164" t="s">
        <v>209</v>
      </c>
      <c r="AF959" s="165">
        <v>3.9701249215836998</v>
      </c>
      <c r="AG959" s="166">
        <v>114.65007673773</v>
      </c>
      <c r="AO959" s="121"/>
      <c r="AT959" s="111"/>
      <c r="AX959" s="121"/>
    </row>
    <row r="960" spans="1:50" s="110" customFormat="1" ht="20" customHeight="1">
      <c r="A960" s="125" t="s">
        <v>237</v>
      </c>
      <c r="B960" s="126" t="s">
        <v>60</v>
      </c>
      <c r="C960" s="127">
        <v>12588</v>
      </c>
      <c r="D960" s="163">
        <v>104776</v>
      </c>
      <c r="E960" s="164" t="s">
        <v>2369</v>
      </c>
      <c r="F960" s="164" t="s">
        <v>2369</v>
      </c>
      <c r="G960" s="165">
        <v>1100</v>
      </c>
      <c r="H960" s="165">
        <v>1</v>
      </c>
      <c r="I960" s="164" t="s">
        <v>187</v>
      </c>
      <c r="J960" s="164" t="s">
        <v>2370</v>
      </c>
      <c r="K960" s="164" t="s">
        <v>2371</v>
      </c>
      <c r="L960" s="165">
        <v>0</v>
      </c>
      <c r="M960" s="165">
        <v>4</v>
      </c>
      <c r="N960" s="164" t="s">
        <v>1548</v>
      </c>
      <c r="O960" s="165">
        <v>4</v>
      </c>
      <c r="P960" s="165">
        <v>0.5</v>
      </c>
      <c r="Q960" s="165">
        <v>17</v>
      </c>
      <c r="R960" s="164" t="s">
        <v>190</v>
      </c>
      <c r="S960" s="164" t="s">
        <v>191</v>
      </c>
      <c r="T960" s="165">
        <v>155</v>
      </c>
      <c r="U960" s="164" t="s">
        <v>192</v>
      </c>
      <c r="V960" s="164" t="s">
        <v>193</v>
      </c>
      <c r="W960" s="165">
        <v>1</v>
      </c>
      <c r="X960" s="165">
        <v>2</v>
      </c>
      <c r="Y960" s="164" t="s">
        <v>194</v>
      </c>
      <c r="Z960" s="164" t="s">
        <v>195</v>
      </c>
      <c r="AA960" s="164" t="s">
        <v>196</v>
      </c>
      <c r="AB960" s="164" t="s">
        <v>187</v>
      </c>
      <c r="AC960" s="164" t="s">
        <v>187</v>
      </c>
      <c r="AD960" s="165">
        <v>1</v>
      </c>
      <c r="AE960" s="164" t="s">
        <v>209</v>
      </c>
      <c r="AF960" s="165">
        <v>2.74152</v>
      </c>
      <c r="AG960" s="166">
        <v>113.90197000000001</v>
      </c>
      <c r="AO960" s="121"/>
      <c r="AT960" s="111"/>
      <c r="AX960" s="121"/>
    </row>
    <row r="961" spans="1:50" s="110" customFormat="1" ht="20" customHeight="1">
      <c r="A961" s="125" t="s">
        <v>237</v>
      </c>
      <c r="B961" s="126" t="s">
        <v>60</v>
      </c>
      <c r="C961" s="127">
        <v>12500</v>
      </c>
      <c r="D961" s="163">
        <v>104590</v>
      </c>
      <c r="E961" s="164" t="s">
        <v>1961</v>
      </c>
      <c r="F961" s="164" t="s">
        <v>1961</v>
      </c>
      <c r="G961" s="165">
        <v>500</v>
      </c>
      <c r="H961" s="165">
        <v>1</v>
      </c>
      <c r="I961" s="164" t="s">
        <v>187</v>
      </c>
      <c r="J961" s="164" t="s">
        <v>1962</v>
      </c>
      <c r="K961" s="164" t="s">
        <v>1963</v>
      </c>
      <c r="L961" s="165">
        <v>1</v>
      </c>
      <c r="M961" s="165">
        <v>4</v>
      </c>
      <c r="N961" s="164" t="s">
        <v>1548</v>
      </c>
      <c r="O961" s="165">
        <v>2</v>
      </c>
      <c r="P961" s="165">
        <v>0</v>
      </c>
      <c r="Q961" s="165">
        <v>17</v>
      </c>
      <c r="R961" s="164" t="s">
        <v>190</v>
      </c>
      <c r="S961" s="164" t="s">
        <v>191</v>
      </c>
      <c r="T961" s="165">
        <v>155</v>
      </c>
      <c r="U961" s="164" t="s">
        <v>192</v>
      </c>
      <c r="V961" s="164" t="s">
        <v>193</v>
      </c>
      <c r="W961" s="165">
        <v>1</v>
      </c>
      <c r="X961" s="165">
        <v>2</v>
      </c>
      <c r="Y961" s="164" t="s">
        <v>194</v>
      </c>
      <c r="Z961" s="164" t="s">
        <v>195</v>
      </c>
      <c r="AA961" s="164" t="s">
        <v>196</v>
      </c>
      <c r="AB961" s="164" t="s">
        <v>187</v>
      </c>
      <c r="AC961" s="164" t="s">
        <v>187</v>
      </c>
      <c r="AD961" s="165">
        <v>1</v>
      </c>
      <c r="AE961" s="164" t="s">
        <v>209</v>
      </c>
      <c r="AF961" s="165">
        <v>2.0795200002477801</v>
      </c>
      <c r="AG961" s="166">
        <v>112.204659999759</v>
      </c>
      <c r="AO961" s="121"/>
      <c r="AT961" s="111"/>
      <c r="AX961" s="121"/>
    </row>
    <row r="962" spans="1:50" s="110" customFormat="1" ht="20" customHeight="1">
      <c r="A962" s="125" t="s">
        <v>237</v>
      </c>
      <c r="B962" s="126" t="s">
        <v>60</v>
      </c>
      <c r="C962" s="127">
        <v>15694</v>
      </c>
      <c r="D962" s="163">
        <v>110374</v>
      </c>
      <c r="E962" s="164" t="s">
        <v>1806</v>
      </c>
      <c r="F962" s="164" t="s">
        <v>1806</v>
      </c>
      <c r="G962" s="165">
        <v>300</v>
      </c>
      <c r="H962" s="165">
        <v>1</v>
      </c>
      <c r="I962" s="164" t="s">
        <v>187</v>
      </c>
      <c r="J962" s="164" t="s">
        <v>1807</v>
      </c>
      <c r="K962" s="164" t="s">
        <v>1806</v>
      </c>
      <c r="L962" s="165">
        <v>1</v>
      </c>
      <c r="M962" s="165">
        <v>4</v>
      </c>
      <c r="N962" s="164" t="s">
        <v>1548</v>
      </c>
      <c r="O962" s="165">
        <v>3</v>
      </c>
      <c r="P962" s="165">
        <v>0.4</v>
      </c>
      <c r="Q962" s="165">
        <v>17</v>
      </c>
      <c r="R962" s="164" t="s">
        <v>190</v>
      </c>
      <c r="S962" s="164" t="s">
        <v>191</v>
      </c>
      <c r="T962" s="165">
        <v>155</v>
      </c>
      <c r="U962" s="164" t="s">
        <v>192</v>
      </c>
      <c r="V962" s="164" t="s">
        <v>193</v>
      </c>
      <c r="W962" s="165">
        <v>1</v>
      </c>
      <c r="X962" s="165">
        <v>2</v>
      </c>
      <c r="Y962" s="164" t="s">
        <v>194</v>
      </c>
      <c r="Z962" s="164" t="s">
        <v>195</v>
      </c>
      <c r="AA962" s="164" t="s">
        <v>196</v>
      </c>
      <c r="AB962" s="164" t="s">
        <v>187</v>
      </c>
      <c r="AC962" s="164" t="s">
        <v>187</v>
      </c>
      <c r="AD962" s="165">
        <v>1</v>
      </c>
      <c r="AE962" s="164" t="s">
        <v>209</v>
      </c>
      <c r="AF962" s="165">
        <v>2.3649200000000001</v>
      </c>
      <c r="AG962" s="166">
        <v>113.89061</v>
      </c>
      <c r="AO962" s="121"/>
      <c r="AT962" s="111"/>
      <c r="AX962" s="121"/>
    </row>
    <row r="963" spans="1:50" s="110" customFormat="1" ht="20" customHeight="1">
      <c r="A963" s="125" t="s">
        <v>237</v>
      </c>
      <c r="B963" s="126" t="s">
        <v>60</v>
      </c>
      <c r="C963" s="127">
        <v>14931</v>
      </c>
      <c r="D963" s="163">
        <v>108979</v>
      </c>
      <c r="E963" s="164" t="s">
        <v>1557</v>
      </c>
      <c r="F963" s="164" t="s">
        <v>1557</v>
      </c>
      <c r="G963" s="165">
        <v>70</v>
      </c>
      <c r="H963" s="165">
        <v>1</v>
      </c>
      <c r="I963" s="164" t="s">
        <v>187</v>
      </c>
      <c r="J963" s="164" t="s">
        <v>1558</v>
      </c>
      <c r="K963" s="164" t="s">
        <v>1559</v>
      </c>
      <c r="L963" s="165">
        <v>1</v>
      </c>
      <c r="M963" s="165">
        <v>4</v>
      </c>
      <c r="N963" s="164" t="s">
        <v>1548</v>
      </c>
      <c r="O963" s="165">
        <v>4</v>
      </c>
      <c r="P963" s="165">
        <v>0</v>
      </c>
      <c r="Q963" s="165">
        <v>17</v>
      </c>
      <c r="R963" s="164" t="s">
        <v>190</v>
      </c>
      <c r="S963" s="164" t="s">
        <v>191</v>
      </c>
      <c r="T963" s="165">
        <v>155</v>
      </c>
      <c r="U963" s="164" t="s">
        <v>192</v>
      </c>
      <c r="V963" s="164" t="s">
        <v>193</v>
      </c>
      <c r="W963" s="165">
        <v>1</v>
      </c>
      <c r="X963" s="165">
        <v>2</v>
      </c>
      <c r="Y963" s="164" t="s">
        <v>194</v>
      </c>
      <c r="Z963" s="164" t="s">
        <v>195</v>
      </c>
      <c r="AA963" s="164" t="s">
        <v>196</v>
      </c>
      <c r="AB963" s="164" t="s">
        <v>187</v>
      </c>
      <c r="AC963" s="164" t="s">
        <v>187</v>
      </c>
      <c r="AD963" s="165">
        <v>1</v>
      </c>
      <c r="AE963" s="164" t="s">
        <v>209</v>
      </c>
      <c r="AF963" s="165">
        <v>2.67218</v>
      </c>
      <c r="AG963" s="166">
        <v>113.84845</v>
      </c>
      <c r="AO963" s="121"/>
      <c r="AT963" s="111"/>
      <c r="AX963" s="121"/>
    </row>
    <row r="964" spans="1:50" s="110" customFormat="1" ht="20" customHeight="1">
      <c r="A964" s="125" t="s">
        <v>237</v>
      </c>
      <c r="B964" s="126" t="s">
        <v>60</v>
      </c>
      <c r="C964" s="127">
        <v>15283</v>
      </c>
      <c r="D964" s="157">
        <v>109873</v>
      </c>
      <c r="E964" s="158" t="s">
        <v>4113</v>
      </c>
      <c r="F964" s="158" t="s">
        <v>4113</v>
      </c>
      <c r="G964" s="159">
        <v>23000</v>
      </c>
      <c r="H964" s="159">
        <v>2</v>
      </c>
      <c r="I964" s="158" t="s">
        <v>209</v>
      </c>
      <c r="J964" s="158" t="s">
        <v>4114</v>
      </c>
      <c r="K964" s="158" t="s">
        <v>4113</v>
      </c>
      <c r="L964" s="159">
        <v>3</v>
      </c>
      <c r="M964" s="159">
        <v>4</v>
      </c>
      <c r="N964" s="158" t="s">
        <v>1548</v>
      </c>
      <c r="O964" s="159">
        <v>14</v>
      </c>
      <c r="P964" s="159">
        <v>0.5</v>
      </c>
      <c r="Q964" s="159">
        <v>17</v>
      </c>
      <c r="R964" s="158" t="s">
        <v>190</v>
      </c>
      <c r="S964" s="158" t="s">
        <v>191</v>
      </c>
      <c r="T964" s="159">
        <v>155</v>
      </c>
      <c r="U964" s="158" t="s">
        <v>192</v>
      </c>
      <c r="V964" s="158" t="s">
        <v>193</v>
      </c>
      <c r="W964" s="159">
        <v>1</v>
      </c>
      <c r="X964" s="159">
        <v>2</v>
      </c>
      <c r="Y964" s="158" t="s">
        <v>194</v>
      </c>
      <c r="Z964" s="158" t="s">
        <v>195</v>
      </c>
      <c r="AA964" s="158" t="s">
        <v>196</v>
      </c>
      <c r="AB964" s="158" t="s">
        <v>187</v>
      </c>
      <c r="AC964" s="158" t="s">
        <v>187</v>
      </c>
      <c r="AD964" s="160"/>
      <c r="AE964" s="158" t="s">
        <v>209</v>
      </c>
      <c r="AF964" s="159">
        <v>5.4733499999999999</v>
      </c>
      <c r="AG964" s="161">
        <v>115.52023</v>
      </c>
      <c r="AO964" s="121"/>
      <c r="AT964" s="111"/>
      <c r="AX964" s="121"/>
    </row>
    <row r="965" spans="1:50" s="110" customFormat="1" ht="20" customHeight="1">
      <c r="A965" s="125" t="s">
        <v>237</v>
      </c>
      <c r="B965" s="126" t="s">
        <v>60</v>
      </c>
      <c r="C965" s="127">
        <v>14829</v>
      </c>
      <c r="D965" s="157">
        <v>108806</v>
      </c>
      <c r="E965" s="158" t="s">
        <v>3894</v>
      </c>
      <c r="F965" s="158" t="s">
        <v>3894</v>
      </c>
      <c r="G965" s="159">
        <v>15000</v>
      </c>
      <c r="H965" s="159">
        <v>2</v>
      </c>
      <c r="I965" s="158" t="s">
        <v>209</v>
      </c>
      <c r="J965" s="158" t="s">
        <v>3895</v>
      </c>
      <c r="K965" s="158" t="s">
        <v>3896</v>
      </c>
      <c r="L965" s="159">
        <v>3</v>
      </c>
      <c r="M965" s="159">
        <v>4</v>
      </c>
      <c r="N965" s="158" t="s">
        <v>1548</v>
      </c>
      <c r="O965" s="159">
        <v>8</v>
      </c>
      <c r="P965" s="159">
        <v>0.4</v>
      </c>
      <c r="Q965" s="159">
        <v>17</v>
      </c>
      <c r="R965" s="158" t="s">
        <v>190</v>
      </c>
      <c r="S965" s="158" t="s">
        <v>191</v>
      </c>
      <c r="T965" s="159">
        <v>155</v>
      </c>
      <c r="U965" s="158" t="s">
        <v>192</v>
      </c>
      <c r="V965" s="158" t="s">
        <v>193</v>
      </c>
      <c r="W965" s="159">
        <v>2</v>
      </c>
      <c r="X965" s="159">
        <v>2</v>
      </c>
      <c r="Y965" s="158" t="s">
        <v>194</v>
      </c>
      <c r="Z965" s="158" t="s">
        <v>195</v>
      </c>
      <c r="AA965" s="158" t="s">
        <v>196</v>
      </c>
      <c r="AB965" s="158" t="s">
        <v>187</v>
      </c>
      <c r="AC965" s="158" t="s">
        <v>187</v>
      </c>
      <c r="AD965" s="160"/>
      <c r="AE965" s="158" t="s">
        <v>209</v>
      </c>
      <c r="AF965" s="159">
        <v>1.7778400000000001</v>
      </c>
      <c r="AG965" s="161">
        <v>109.69987</v>
      </c>
      <c r="AO965" s="121"/>
      <c r="AT965" s="111"/>
      <c r="AX965" s="121"/>
    </row>
    <row r="966" spans="1:50" s="110" customFormat="1" ht="20" customHeight="1">
      <c r="A966" s="125" t="s">
        <v>237</v>
      </c>
      <c r="B966" s="126" t="s">
        <v>60</v>
      </c>
      <c r="C966" s="127">
        <v>10865</v>
      </c>
      <c r="D966" s="157">
        <v>101472</v>
      </c>
      <c r="E966" s="158" t="s">
        <v>3691</v>
      </c>
      <c r="F966" s="158" t="s">
        <v>3691</v>
      </c>
      <c r="G966" s="159">
        <v>11000</v>
      </c>
      <c r="H966" s="159">
        <v>2</v>
      </c>
      <c r="I966" s="158" t="s">
        <v>209</v>
      </c>
      <c r="J966" s="158" t="s">
        <v>3692</v>
      </c>
      <c r="K966" s="158" t="s">
        <v>3691</v>
      </c>
      <c r="L966" s="159">
        <v>1</v>
      </c>
      <c r="M966" s="159">
        <v>4</v>
      </c>
      <c r="N966" s="158" t="s">
        <v>1548</v>
      </c>
      <c r="O966" s="159">
        <v>12</v>
      </c>
      <c r="P966" s="159">
        <v>1</v>
      </c>
      <c r="Q966" s="159">
        <v>17</v>
      </c>
      <c r="R966" s="158" t="s">
        <v>190</v>
      </c>
      <c r="S966" s="158" t="s">
        <v>191</v>
      </c>
      <c r="T966" s="159">
        <v>155</v>
      </c>
      <c r="U966" s="158" t="s">
        <v>192</v>
      </c>
      <c r="V966" s="158" t="s">
        <v>193</v>
      </c>
      <c r="W966" s="159">
        <v>1</v>
      </c>
      <c r="X966" s="159">
        <v>2</v>
      </c>
      <c r="Y966" s="158" t="s">
        <v>194</v>
      </c>
      <c r="Z966" s="158" t="s">
        <v>195</v>
      </c>
      <c r="AA966" s="158" t="s">
        <v>196</v>
      </c>
      <c r="AB966" s="158" t="s">
        <v>187</v>
      </c>
      <c r="AC966" s="158" t="s">
        <v>187</v>
      </c>
      <c r="AD966" s="160"/>
      <c r="AE966" s="158" t="s">
        <v>209</v>
      </c>
      <c r="AF966" s="159">
        <v>3.8425799999999999</v>
      </c>
      <c r="AG966" s="161">
        <v>113.60415999999999</v>
      </c>
      <c r="AO966" s="121"/>
      <c r="AT966" s="111"/>
      <c r="AX966" s="121"/>
    </row>
    <row r="967" spans="1:50" s="110" customFormat="1" ht="20" customHeight="1">
      <c r="A967" s="125" t="s">
        <v>237</v>
      </c>
      <c r="B967" s="126" t="s">
        <v>60</v>
      </c>
      <c r="C967" s="127">
        <v>10878</v>
      </c>
      <c r="D967" s="157">
        <v>101493</v>
      </c>
      <c r="E967" s="158" t="s">
        <v>3633</v>
      </c>
      <c r="F967" s="158" t="s">
        <v>3633</v>
      </c>
      <c r="G967" s="159">
        <v>10000</v>
      </c>
      <c r="H967" s="159">
        <v>2</v>
      </c>
      <c r="I967" s="158" t="s">
        <v>209</v>
      </c>
      <c r="J967" s="158" t="s">
        <v>3634</v>
      </c>
      <c r="K967" s="158" t="s">
        <v>3635</v>
      </c>
      <c r="L967" s="159">
        <v>4</v>
      </c>
      <c r="M967" s="159">
        <v>4</v>
      </c>
      <c r="N967" s="158" t="s">
        <v>1548</v>
      </c>
      <c r="O967" s="159">
        <v>8</v>
      </c>
      <c r="P967" s="159">
        <v>0.5</v>
      </c>
      <c r="Q967" s="159">
        <v>17</v>
      </c>
      <c r="R967" s="158" t="s">
        <v>190</v>
      </c>
      <c r="S967" s="158" t="s">
        <v>191</v>
      </c>
      <c r="T967" s="159">
        <v>155</v>
      </c>
      <c r="U967" s="158" t="s">
        <v>192</v>
      </c>
      <c r="V967" s="158" t="s">
        <v>193</v>
      </c>
      <c r="W967" s="159">
        <v>1</v>
      </c>
      <c r="X967" s="159">
        <v>2</v>
      </c>
      <c r="Y967" s="158" t="s">
        <v>194</v>
      </c>
      <c r="Z967" s="158" t="s">
        <v>195</v>
      </c>
      <c r="AA967" s="158" t="s">
        <v>196</v>
      </c>
      <c r="AB967" s="158" t="s">
        <v>187</v>
      </c>
      <c r="AC967" s="158" t="s">
        <v>187</v>
      </c>
      <c r="AD967" s="160"/>
      <c r="AE967" s="158" t="s">
        <v>209</v>
      </c>
      <c r="AF967" s="159">
        <v>1.54467</v>
      </c>
      <c r="AG967" s="161">
        <v>109.98532</v>
      </c>
      <c r="AO967" s="121"/>
      <c r="AT967" s="111"/>
      <c r="AX967" s="121"/>
    </row>
    <row r="968" spans="1:50" s="110" customFormat="1" ht="20" customHeight="1">
      <c r="A968" s="125" t="s">
        <v>237</v>
      </c>
      <c r="B968" s="126" t="s">
        <v>60</v>
      </c>
      <c r="C968" s="127">
        <v>14807</v>
      </c>
      <c r="D968" s="157">
        <v>108782</v>
      </c>
      <c r="E968" s="158" t="s">
        <v>3581</v>
      </c>
      <c r="F968" s="158" t="s">
        <v>3581</v>
      </c>
      <c r="G968" s="159">
        <v>9300</v>
      </c>
      <c r="H968" s="159">
        <v>2</v>
      </c>
      <c r="I968" s="158" t="s">
        <v>209</v>
      </c>
      <c r="J968" s="158" t="s">
        <v>3582</v>
      </c>
      <c r="K968" s="158" t="s">
        <v>3581</v>
      </c>
      <c r="L968" s="159">
        <v>1</v>
      </c>
      <c r="M968" s="159">
        <v>4</v>
      </c>
      <c r="N968" s="158" t="s">
        <v>1548</v>
      </c>
      <c r="O968" s="159">
        <v>6</v>
      </c>
      <c r="P968" s="159">
        <v>0.4</v>
      </c>
      <c r="Q968" s="159">
        <v>17</v>
      </c>
      <c r="R968" s="158" t="s">
        <v>190</v>
      </c>
      <c r="S968" s="158" t="s">
        <v>191</v>
      </c>
      <c r="T968" s="159">
        <v>155</v>
      </c>
      <c r="U968" s="158" t="s">
        <v>192</v>
      </c>
      <c r="V968" s="158" t="s">
        <v>193</v>
      </c>
      <c r="W968" s="159">
        <v>1</v>
      </c>
      <c r="X968" s="159">
        <v>2</v>
      </c>
      <c r="Y968" s="158" t="s">
        <v>194</v>
      </c>
      <c r="Z968" s="158" t="s">
        <v>195</v>
      </c>
      <c r="AA968" s="158" t="s">
        <v>196</v>
      </c>
      <c r="AB968" s="158" t="s">
        <v>187</v>
      </c>
      <c r="AC968" s="158" t="s">
        <v>187</v>
      </c>
      <c r="AD968" s="160"/>
      <c r="AE968" s="158" t="s">
        <v>209</v>
      </c>
      <c r="AF968" s="159">
        <v>1.41978</v>
      </c>
      <c r="AG968" s="161">
        <v>110.50029000000001</v>
      </c>
      <c r="AO968" s="121"/>
      <c r="AT968" s="111"/>
      <c r="AX968" s="121"/>
    </row>
    <row r="969" spans="1:50" s="110" customFormat="1" ht="20" customHeight="1">
      <c r="A969" s="125" t="s">
        <v>237</v>
      </c>
      <c r="B969" s="126" t="s">
        <v>60</v>
      </c>
      <c r="C969" s="127">
        <v>10935</v>
      </c>
      <c r="D969" s="157">
        <v>101596</v>
      </c>
      <c r="E969" s="158" t="s">
        <v>3219</v>
      </c>
      <c r="F969" s="158" t="s">
        <v>3219</v>
      </c>
      <c r="G969" s="159">
        <v>5200</v>
      </c>
      <c r="H969" s="159">
        <v>2</v>
      </c>
      <c r="I969" s="158" t="s">
        <v>209</v>
      </c>
      <c r="J969" s="158" t="s">
        <v>3220</v>
      </c>
      <c r="K969" s="158" t="s">
        <v>3219</v>
      </c>
      <c r="L969" s="159">
        <v>3</v>
      </c>
      <c r="M969" s="159">
        <v>4</v>
      </c>
      <c r="N969" s="158" t="s">
        <v>1548</v>
      </c>
      <c r="O969" s="159">
        <v>18</v>
      </c>
      <c r="P969" s="159">
        <v>1.5</v>
      </c>
      <c r="Q969" s="159">
        <v>17</v>
      </c>
      <c r="R969" s="158" t="s">
        <v>190</v>
      </c>
      <c r="S969" s="158" t="s">
        <v>191</v>
      </c>
      <c r="T969" s="159">
        <v>155</v>
      </c>
      <c r="U969" s="158" t="s">
        <v>192</v>
      </c>
      <c r="V969" s="158" t="s">
        <v>193</v>
      </c>
      <c r="W969" s="159">
        <v>1</v>
      </c>
      <c r="X969" s="159">
        <v>2</v>
      </c>
      <c r="Y969" s="158" t="s">
        <v>194</v>
      </c>
      <c r="Z969" s="158" t="s">
        <v>195</v>
      </c>
      <c r="AA969" s="158" t="s">
        <v>196</v>
      </c>
      <c r="AB969" s="158" t="s">
        <v>187</v>
      </c>
      <c r="AC969" s="158" t="s">
        <v>187</v>
      </c>
      <c r="AD969" s="160"/>
      <c r="AE969" s="158" t="s">
        <v>209</v>
      </c>
      <c r="AF969" s="159">
        <v>7.2519900000000002</v>
      </c>
      <c r="AG969" s="161">
        <v>117.10753</v>
      </c>
      <c r="AO969" s="121"/>
      <c r="AT969" s="111"/>
      <c r="AX969" s="121"/>
    </row>
    <row r="970" spans="1:50" s="110" customFormat="1" ht="20" customHeight="1">
      <c r="A970" s="125" t="s">
        <v>237</v>
      </c>
      <c r="B970" s="126" t="s">
        <v>60</v>
      </c>
      <c r="C970" s="127">
        <v>13721</v>
      </c>
      <c r="D970" s="157">
        <v>106635</v>
      </c>
      <c r="E970" s="158" t="s">
        <v>3133</v>
      </c>
      <c r="F970" s="158" t="s">
        <v>3133</v>
      </c>
      <c r="G970" s="159">
        <v>4700</v>
      </c>
      <c r="H970" s="159">
        <v>2</v>
      </c>
      <c r="I970" s="158" t="s">
        <v>209</v>
      </c>
      <c r="J970" s="158" t="s">
        <v>3134</v>
      </c>
      <c r="K970" s="158" t="s">
        <v>3135</v>
      </c>
      <c r="L970" s="159">
        <v>1</v>
      </c>
      <c r="M970" s="159">
        <v>4</v>
      </c>
      <c r="N970" s="158" t="s">
        <v>1548</v>
      </c>
      <c r="O970" s="159">
        <v>18</v>
      </c>
      <c r="P970" s="159">
        <v>2</v>
      </c>
      <c r="Q970" s="159">
        <v>17</v>
      </c>
      <c r="R970" s="158" t="s">
        <v>190</v>
      </c>
      <c r="S970" s="158" t="s">
        <v>191</v>
      </c>
      <c r="T970" s="159">
        <v>155</v>
      </c>
      <c r="U970" s="158" t="s">
        <v>192</v>
      </c>
      <c r="V970" s="158" t="s">
        <v>193</v>
      </c>
      <c r="W970" s="159">
        <v>1</v>
      </c>
      <c r="X970" s="159">
        <v>2</v>
      </c>
      <c r="Y970" s="158" t="s">
        <v>194</v>
      </c>
      <c r="Z970" s="158" t="s">
        <v>195</v>
      </c>
      <c r="AA970" s="158" t="s">
        <v>196</v>
      </c>
      <c r="AB970" s="158" t="s">
        <v>187</v>
      </c>
      <c r="AC970" s="158" t="s">
        <v>187</v>
      </c>
      <c r="AD970" s="160"/>
      <c r="AE970" s="158" t="s">
        <v>209</v>
      </c>
      <c r="AF970" s="159">
        <v>1.0892200000000001</v>
      </c>
      <c r="AG970" s="161">
        <v>110.67310000000001</v>
      </c>
      <c r="AO970" s="121"/>
      <c r="AT970" s="111"/>
      <c r="AX970" s="121"/>
    </row>
    <row r="971" spans="1:50" s="110" customFormat="1" ht="20" customHeight="1">
      <c r="A971" s="125" t="s">
        <v>237</v>
      </c>
      <c r="B971" s="126" t="s">
        <v>60</v>
      </c>
      <c r="C971" s="127">
        <v>11640</v>
      </c>
      <c r="D971" s="157">
        <v>102765</v>
      </c>
      <c r="E971" s="158" t="s">
        <v>3053</v>
      </c>
      <c r="F971" s="158" t="s">
        <v>3053</v>
      </c>
      <c r="G971" s="159">
        <v>4100</v>
      </c>
      <c r="H971" s="159">
        <v>2</v>
      </c>
      <c r="I971" s="158" t="s">
        <v>209</v>
      </c>
      <c r="J971" s="158" t="s">
        <v>3054</v>
      </c>
      <c r="K971" s="158" t="s">
        <v>3053</v>
      </c>
      <c r="L971" s="159">
        <v>0</v>
      </c>
      <c r="M971" s="159">
        <v>4</v>
      </c>
      <c r="N971" s="158" t="s">
        <v>1548</v>
      </c>
      <c r="O971" s="159">
        <v>6</v>
      </c>
      <c r="P971" s="159">
        <v>0.4</v>
      </c>
      <c r="Q971" s="159">
        <v>17</v>
      </c>
      <c r="R971" s="158" t="s">
        <v>190</v>
      </c>
      <c r="S971" s="158" t="s">
        <v>191</v>
      </c>
      <c r="T971" s="159">
        <v>155</v>
      </c>
      <c r="U971" s="158" t="s">
        <v>192</v>
      </c>
      <c r="V971" s="158" t="s">
        <v>193</v>
      </c>
      <c r="W971" s="159">
        <v>1</v>
      </c>
      <c r="X971" s="159">
        <v>2</v>
      </c>
      <c r="Y971" s="158" t="s">
        <v>194</v>
      </c>
      <c r="Z971" s="158" t="s">
        <v>195</v>
      </c>
      <c r="AA971" s="158" t="s">
        <v>196</v>
      </c>
      <c r="AB971" s="158" t="s">
        <v>187</v>
      </c>
      <c r="AC971" s="158" t="s">
        <v>187</v>
      </c>
      <c r="AD971" s="160"/>
      <c r="AE971" s="158" t="s">
        <v>209</v>
      </c>
      <c r="AF971" s="159">
        <v>5.9628899999999998</v>
      </c>
      <c r="AG971" s="161">
        <v>117.36431</v>
      </c>
      <c r="AO971" s="121"/>
      <c r="AT971" s="111"/>
      <c r="AX971" s="121"/>
    </row>
    <row r="972" spans="1:50" s="110" customFormat="1" ht="20" customHeight="1">
      <c r="A972" s="125" t="s">
        <v>237</v>
      </c>
      <c r="B972" s="126" t="s">
        <v>60</v>
      </c>
      <c r="C972" s="127">
        <v>15237</v>
      </c>
      <c r="D972" s="157">
        <v>109794</v>
      </c>
      <c r="E972" s="158" t="s">
        <v>3058</v>
      </c>
      <c r="F972" s="158" t="s">
        <v>3058</v>
      </c>
      <c r="G972" s="159">
        <v>4100</v>
      </c>
      <c r="H972" s="159">
        <v>2</v>
      </c>
      <c r="I972" s="158" t="s">
        <v>209</v>
      </c>
      <c r="J972" s="158" t="s">
        <v>3059</v>
      </c>
      <c r="K972" s="158" t="s">
        <v>3060</v>
      </c>
      <c r="L972" s="159">
        <v>1</v>
      </c>
      <c r="M972" s="159">
        <v>4</v>
      </c>
      <c r="N972" s="158" t="s">
        <v>1548</v>
      </c>
      <c r="O972" s="159">
        <v>18</v>
      </c>
      <c r="P972" s="159">
        <v>2</v>
      </c>
      <c r="Q972" s="159">
        <v>17</v>
      </c>
      <c r="R972" s="158" t="s">
        <v>190</v>
      </c>
      <c r="S972" s="158" t="s">
        <v>191</v>
      </c>
      <c r="T972" s="159">
        <v>155</v>
      </c>
      <c r="U972" s="158" t="s">
        <v>192</v>
      </c>
      <c r="V972" s="158" t="s">
        <v>193</v>
      </c>
      <c r="W972" s="159">
        <v>1</v>
      </c>
      <c r="X972" s="159">
        <v>2</v>
      </c>
      <c r="Y972" s="158" t="s">
        <v>194</v>
      </c>
      <c r="Z972" s="158" t="s">
        <v>195</v>
      </c>
      <c r="AA972" s="158" t="s">
        <v>196</v>
      </c>
      <c r="AB972" s="158" t="s">
        <v>187</v>
      </c>
      <c r="AC972" s="158" t="s">
        <v>187</v>
      </c>
      <c r="AD972" s="160"/>
      <c r="AE972" s="158" t="s">
        <v>209</v>
      </c>
      <c r="AF972" s="159">
        <v>5.73325</v>
      </c>
      <c r="AG972" s="161">
        <v>116.79998000000001</v>
      </c>
      <c r="AO972" s="121"/>
      <c r="AT972" s="111"/>
      <c r="AX972" s="121"/>
    </row>
    <row r="973" spans="1:50" s="110" customFormat="1" ht="20" customHeight="1">
      <c r="A973" s="125" t="s">
        <v>237</v>
      </c>
      <c r="B973" s="126" t="s">
        <v>60</v>
      </c>
      <c r="C973" s="127">
        <v>12440</v>
      </c>
      <c r="D973" s="157">
        <v>104447</v>
      </c>
      <c r="E973" s="158" t="s">
        <v>2928</v>
      </c>
      <c r="F973" s="158" t="s">
        <v>2928</v>
      </c>
      <c r="G973" s="159">
        <v>3200</v>
      </c>
      <c r="H973" s="159">
        <v>2</v>
      </c>
      <c r="I973" s="158" t="s">
        <v>209</v>
      </c>
      <c r="J973" s="158" t="s">
        <v>2929</v>
      </c>
      <c r="K973" s="158" t="s">
        <v>2928</v>
      </c>
      <c r="L973" s="159">
        <v>0</v>
      </c>
      <c r="M973" s="159">
        <v>4</v>
      </c>
      <c r="N973" s="158" t="s">
        <v>1548</v>
      </c>
      <c r="O973" s="159">
        <v>10</v>
      </c>
      <c r="P973" s="159">
        <v>1</v>
      </c>
      <c r="Q973" s="159">
        <v>17</v>
      </c>
      <c r="R973" s="158" t="s">
        <v>190</v>
      </c>
      <c r="S973" s="158" t="s">
        <v>191</v>
      </c>
      <c r="T973" s="159">
        <v>155</v>
      </c>
      <c r="U973" s="158" t="s">
        <v>192</v>
      </c>
      <c r="V973" s="158" t="s">
        <v>193</v>
      </c>
      <c r="W973" s="159">
        <v>1</v>
      </c>
      <c r="X973" s="159">
        <v>2</v>
      </c>
      <c r="Y973" s="158" t="s">
        <v>194</v>
      </c>
      <c r="Z973" s="158" t="s">
        <v>195</v>
      </c>
      <c r="AA973" s="158" t="s">
        <v>196</v>
      </c>
      <c r="AB973" s="158" t="s">
        <v>187</v>
      </c>
      <c r="AC973" s="158" t="s">
        <v>187</v>
      </c>
      <c r="AD973" s="160"/>
      <c r="AE973" s="158" t="s">
        <v>209</v>
      </c>
      <c r="AF973" s="159">
        <v>4.4259500000000003</v>
      </c>
      <c r="AG973" s="161">
        <v>117.45429</v>
      </c>
      <c r="AO973" s="121"/>
      <c r="AT973" s="111"/>
      <c r="AX973" s="121"/>
    </row>
    <row r="974" spans="1:50" s="110" customFormat="1" ht="20" customHeight="1">
      <c r="A974" s="125" t="s">
        <v>237</v>
      </c>
      <c r="B974" s="126" t="s">
        <v>60</v>
      </c>
      <c r="C974" s="127">
        <v>14293</v>
      </c>
      <c r="D974" s="157">
        <v>107831</v>
      </c>
      <c r="E974" s="158" t="s">
        <v>2651</v>
      </c>
      <c r="F974" s="158" t="s">
        <v>2651</v>
      </c>
      <c r="G974" s="159">
        <v>1800</v>
      </c>
      <c r="H974" s="159">
        <v>2</v>
      </c>
      <c r="I974" s="158" t="s">
        <v>209</v>
      </c>
      <c r="J974" s="158" t="s">
        <v>1148</v>
      </c>
      <c r="K974" s="158" t="s">
        <v>1147</v>
      </c>
      <c r="L974" s="159">
        <v>2</v>
      </c>
      <c r="M974" s="159">
        <v>4</v>
      </c>
      <c r="N974" s="158" t="s">
        <v>1548</v>
      </c>
      <c r="O974" s="159">
        <v>6</v>
      </c>
      <c r="P974" s="159">
        <v>0.6</v>
      </c>
      <c r="Q974" s="159">
        <v>17</v>
      </c>
      <c r="R974" s="158" t="s">
        <v>190</v>
      </c>
      <c r="S974" s="158" t="s">
        <v>191</v>
      </c>
      <c r="T974" s="159">
        <v>155</v>
      </c>
      <c r="U974" s="158" t="s">
        <v>192</v>
      </c>
      <c r="V974" s="158" t="s">
        <v>193</v>
      </c>
      <c r="W974" s="159">
        <v>1</v>
      </c>
      <c r="X974" s="159">
        <v>2</v>
      </c>
      <c r="Y974" s="158" t="s">
        <v>194</v>
      </c>
      <c r="Z974" s="158" t="s">
        <v>195</v>
      </c>
      <c r="AA974" s="158" t="s">
        <v>196</v>
      </c>
      <c r="AB974" s="158" t="s">
        <v>187</v>
      </c>
      <c r="AC974" s="158" t="s">
        <v>187</v>
      </c>
      <c r="AD974" s="160"/>
      <c r="AE974" s="158" t="s">
        <v>209</v>
      </c>
      <c r="AF974" s="159">
        <v>5.1329219972523701</v>
      </c>
      <c r="AG974" s="161">
        <v>116.318053500369</v>
      </c>
      <c r="AO974" s="121"/>
      <c r="AT974" s="111"/>
      <c r="AX974" s="121"/>
    </row>
    <row r="975" spans="1:50" s="110" customFormat="1" ht="20" customHeight="1">
      <c r="A975" s="125" t="s">
        <v>237</v>
      </c>
      <c r="B975" s="126" t="s">
        <v>60</v>
      </c>
      <c r="C975" s="127">
        <v>19811</v>
      </c>
      <c r="D975" s="157">
        <v>115050</v>
      </c>
      <c r="E975" s="158" t="s">
        <v>2426</v>
      </c>
      <c r="F975" s="158" t="s">
        <v>2426</v>
      </c>
      <c r="G975" s="159">
        <v>1200</v>
      </c>
      <c r="H975" s="159">
        <v>2</v>
      </c>
      <c r="I975" s="158" t="s">
        <v>209</v>
      </c>
      <c r="J975" s="158" t="s">
        <v>2427</v>
      </c>
      <c r="K975" s="158" t="s">
        <v>2426</v>
      </c>
      <c r="L975" s="159">
        <v>2</v>
      </c>
      <c r="M975" s="159">
        <v>4</v>
      </c>
      <c r="N975" s="158" t="s">
        <v>1548</v>
      </c>
      <c r="O975" s="159">
        <v>6</v>
      </c>
      <c r="P975" s="159">
        <v>0.8</v>
      </c>
      <c r="Q975" s="159">
        <v>17</v>
      </c>
      <c r="R975" s="158" t="s">
        <v>190</v>
      </c>
      <c r="S975" s="158" t="s">
        <v>191</v>
      </c>
      <c r="T975" s="159">
        <v>155</v>
      </c>
      <c r="U975" s="158" t="s">
        <v>192</v>
      </c>
      <c r="V975" s="158" t="s">
        <v>193</v>
      </c>
      <c r="W975" s="159">
        <v>1</v>
      </c>
      <c r="X975" s="159">
        <v>2</v>
      </c>
      <c r="Y975" s="158" t="s">
        <v>194</v>
      </c>
      <c r="Z975" s="158" t="s">
        <v>195</v>
      </c>
      <c r="AA975" s="158" t="s">
        <v>196</v>
      </c>
      <c r="AB975" s="158" t="s">
        <v>187</v>
      </c>
      <c r="AC975" s="158" t="s">
        <v>187</v>
      </c>
      <c r="AD975" s="160"/>
      <c r="AE975" s="158" t="s">
        <v>209</v>
      </c>
      <c r="AF975" s="159">
        <v>3.6434500000000001</v>
      </c>
      <c r="AG975" s="161">
        <v>114.14997</v>
      </c>
      <c r="AO975" s="121"/>
      <c r="AT975" s="111"/>
      <c r="AX975" s="121"/>
    </row>
    <row r="976" spans="1:50" s="110" customFormat="1" ht="20" customHeight="1">
      <c r="A976" s="125" t="s">
        <v>237</v>
      </c>
      <c r="B976" s="126" t="s">
        <v>60</v>
      </c>
      <c r="C976" s="127">
        <v>14476</v>
      </c>
      <c r="D976" s="157">
        <v>108174</v>
      </c>
      <c r="E976" s="158" t="s">
        <v>2430</v>
      </c>
      <c r="F976" s="158" t="s">
        <v>2430</v>
      </c>
      <c r="G976" s="159">
        <v>1200</v>
      </c>
      <c r="H976" s="159">
        <v>2</v>
      </c>
      <c r="I976" s="158" t="s">
        <v>209</v>
      </c>
      <c r="J976" s="158" t="s">
        <v>2431</v>
      </c>
      <c r="K976" s="158" t="s">
        <v>2432</v>
      </c>
      <c r="L976" s="159">
        <v>1</v>
      </c>
      <c r="M976" s="159">
        <v>4</v>
      </c>
      <c r="N976" s="158" t="s">
        <v>1548</v>
      </c>
      <c r="O976" s="159">
        <v>16</v>
      </c>
      <c r="P976" s="159">
        <v>2</v>
      </c>
      <c r="Q976" s="159">
        <v>17</v>
      </c>
      <c r="R976" s="158" t="s">
        <v>190</v>
      </c>
      <c r="S976" s="158" t="s">
        <v>191</v>
      </c>
      <c r="T976" s="159">
        <v>155</v>
      </c>
      <c r="U976" s="158" t="s">
        <v>192</v>
      </c>
      <c r="V976" s="158" t="s">
        <v>193</v>
      </c>
      <c r="W976" s="159">
        <v>1</v>
      </c>
      <c r="X976" s="159">
        <v>2</v>
      </c>
      <c r="Y976" s="158" t="s">
        <v>194</v>
      </c>
      <c r="Z976" s="158" t="s">
        <v>195</v>
      </c>
      <c r="AA976" s="158" t="s">
        <v>196</v>
      </c>
      <c r="AB976" s="158" t="s">
        <v>187</v>
      </c>
      <c r="AC976" s="158" t="s">
        <v>187</v>
      </c>
      <c r="AD976" s="160"/>
      <c r="AE976" s="158" t="s">
        <v>209</v>
      </c>
      <c r="AF976" s="159">
        <v>2.44625</v>
      </c>
      <c r="AG976" s="161">
        <v>113.44020999999999</v>
      </c>
      <c r="AO976" s="121"/>
      <c r="AT976" s="111"/>
      <c r="AX976" s="121"/>
    </row>
    <row r="977" spans="1:50" s="110" customFormat="1" ht="20" customHeight="1">
      <c r="A977" s="125" t="s">
        <v>237</v>
      </c>
      <c r="B977" s="126" t="s">
        <v>60</v>
      </c>
      <c r="C977" s="127">
        <v>14872</v>
      </c>
      <c r="D977" s="157">
        <v>108871</v>
      </c>
      <c r="E977" s="158" t="s">
        <v>2327</v>
      </c>
      <c r="F977" s="158" t="s">
        <v>2327</v>
      </c>
      <c r="G977" s="159">
        <v>1000</v>
      </c>
      <c r="H977" s="159">
        <v>2</v>
      </c>
      <c r="I977" s="158" t="s">
        <v>209</v>
      </c>
      <c r="J977" s="158" t="s">
        <v>2328</v>
      </c>
      <c r="K977" s="158" t="s">
        <v>2327</v>
      </c>
      <c r="L977" s="159">
        <v>0</v>
      </c>
      <c r="M977" s="159">
        <v>4</v>
      </c>
      <c r="N977" s="158" t="s">
        <v>1548</v>
      </c>
      <c r="O977" s="159">
        <v>8</v>
      </c>
      <c r="P977" s="159">
        <v>1</v>
      </c>
      <c r="Q977" s="159">
        <v>17</v>
      </c>
      <c r="R977" s="158" t="s">
        <v>190</v>
      </c>
      <c r="S977" s="158" t="s">
        <v>191</v>
      </c>
      <c r="T977" s="159">
        <v>155</v>
      </c>
      <c r="U977" s="158" t="s">
        <v>192</v>
      </c>
      <c r="V977" s="158" t="s">
        <v>193</v>
      </c>
      <c r="W977" s="159">
        <v>1</v>
      </c>
      <c r="X977" s="159">
        <v>2</v>
      </c>
      <c r="Y977" s="158" t="s">
        <v>194</v>
      </c>
      <c r="Z977" s="158" t="s">
        <v>195</v>
      </c>
      <c r="AA977" s="158" t="s">
        <v>196</v>
      </c>
      <c r="AB977" s="158" t="s">
        <v>187</v>
      </c>
      <c r="AC977" s="158" t="s">
        <v>187</v>
      </c>
      <c r="AD977" s="160"/>
      <c r="AE977" s="158" t="s">
        <v>209</v>
      </c>
      <c r="AF977" s="159">
        <v>4.4017799999999996</v>
      </c>
      <c r="AG977" s="161">
        <v>118.02043</v>
      </c>
      <c r="AO977" s="121"/>
      <c r="AT977" s="111"/>
      <c r="AX977" s="121"/>
    </row>
    <row r="978" spans="1:50" s="110" customFormat="1" ht="20" customHeight="1">
      <c r="A978" s="125" t="s">
        <v>237</v>
      </c>
      <c r="B978" s="126" t="s">
        <v>60</v>
      </c>
      <c r="C978" s="127">
        <v>11393</v>
      </c>
      <c r="D978" s="145">
        <v>102242</v>
      </c>
      <c r="E978" s="146" t="s">
        <v>669</v>
      </c>
      <c r="F978" s="146" t="s">
        <v>669</v>
      </c>
      <c r="G978" s="147">
        <v>75000</v>
      </c>
      <c r="H978" s="147">
        <v>4</v>
      </c>
      <c r="I978" s="146" t="s">
        <v>209</v>
      </c>
      <c r="J978" s="146" t="s">
        <v>1802</v>
      </c>
      <c r="K978" s="146" t="s">
        <v>1803</v>
      </c>
      <c r="L978" s="147">
        <v>5</v>
      </c>
      <c r="M978" s="147">
        <v>4</v>
      </c>
      <c r="N978" s="146" t="s">
        <v>1548</v>
      </c>
      <c r="O978" s="147">
        <v>27</v>
      </c>
      <c r="P978" s="147">
        <v>6</v>
      </c>
      <c r="Q978" s="147">
        <v>17</v>
      </c>
      <c r="R978" s="146" t="s">
        <v>190</v>
      </c>
      <c r="S978" s="146" t="s">
        <v>191</v>
      </c>
      <c r="T978" s="147">
        <v>155</v>
      </c>
      <c r="U978" s="146" t="s">
        <v>192</v>
      </c>
      <c r="V978" s="146" t="s">
        <v>193</v>
      </c>
      <c r="W978" s="147">
        <v>2</v>
      </c>
      <c r="X978" s="147">
        <v>2</v>
      </c>
      <c r="Y978" s="146" t="s">
        <v>194</v>
      </c>
      <c r="Z978" s="146" t="s">
        <v>195</v>
      </c>
      <c r="AA978" s="146" t="s">
        <v>196</v>
      </c>
      <c r="AB978" s="146" t="s">
        <v>187</v>
      </c>
      <c r="AC978" s="146" t="s">
        <v>187</v>
      </c>
      <c r="AD978" s="148"/>
      <c r="AE978" s="146" t="s">
        <v>209</v>
      </c>
      <c r="AF978" s="147">
        <v>5.7781654048292896</v>
      </c>
      <c r="AG978" s="149">
        <v>116.072379515913</v>
      </c>
      <c r="AO978" s="121"/>
      <c r="AT978" s="111"/>
      <c r="AX978" s="121"/>
    </row>
    <row r="979" spans="1:50" s="110" customFormat="1" ht="20" customHeight="1">
      <c r="A979" s="125" t="s">
        <v>237</v>
      </c>
      <c r="B979" s="126" t="s">
        <v>60</v>
      </c>
      <c r="C979" s="127">
        <v>18990</v>
      </c>
      <c r="D979" s="145">
        <v>115837</v>
      </c>
      <c r="E979" s="146" t="s">
        <v>4260</v>
      </c>
      <c r="F979" s="146" t="s">
        <v>4260</v>
      </c>
      <c r="G979" s="147">
        <v>33000</v>
      </c>
      <c r="H979" s="147">
        <v>4</v>
      </c>
      <c r="I979" s="146" t="s">
        <v>209</v>
      </c>
      <c r="J979" s="146" t="s">
        <v>1802</v>
      </c>
      <c r="K979" s="146" t="s">
        <v>1803</v>
      </c>
      <c r="L979" s="147">
        <v>5</v>
      </c>
      <c r="M979" s="147">
        <v>4</v>
      </c>
      <c r="N979" s="146" t="s">
        <v>1548</v>
      </c>
      <c r="O979" s="147">
        <v>30</v>
      </c>
      <c r="P979" s="147">
        <v>10</v>
      </c>
      <c r="Q979" s="147">
        <v>17</v>
      </c>
      <c r="R979" s="146" t="s">
        <v>190</v>
      </c>
      <c r="S979" s="146" t="s">
        <v>191</v>
      </c>
      <c r="T979" s="147">
        <v>155</v>
      </c>
      <c r="U979" s="146" t="s">
        <v>192</v>
      </c>
      <c r="V979" s="146" t="s">
        <v>193</v>
      </c>
      <c r="W979" s="147">
        <v>1</v>
      </c>
      <c r="X979" s="147">
        <v>2</v>
      </c>
      <c r="Y979" s="146" t="s">
        <v>194</v>
      </c>
      <c r="Z979" s="146" t="s">
        <v>195</v>
      </c>
      <c r="AA979" s="146" t="s">
        <v>196</v>
      </c>
      <c r="AB979" s="146" t="s">
        <v>187</v>
      </c>
      <c r="AC979" s="146" t="s">
        <v>187</v>
      </c>
      <c r="AD979" s="148"/>
      <c r="AE979" s="146" t="s">
        <v>209</v>
      </c>
      <c r="AF979" s="147">
        <v>5.7792359029012497</v>
      </c>
      <c r="AG979" s="149">
        <v>116.072934602537</v>
      </c>
      <c r="AO979" s="121"/>
      <c r="AT979" s="111"/>
      <c r="AX979" s="121"/>
    </row>
    <row r="980" spans="1:50" s="110" customFormat="1" ht="20" customHeight="1">
      <c r="A980" s="125" t="s">
        <v>237</v>
      </c>
      <c r="B980" s="126" t="s">
        <v>60</v>
      </c>
      <c r="C980" s="127">
        <v>14769</v>
      </c>
      <c r="D980" s="145">
        <v>108720</v>
      </c>
      <c r="E980" s="146" t="s">
        <v>4203</v>
      </c>
      <c r="F980" s="146" t="s">
        <v>4203</v>
      </c>
      <c r="G980" s="147">
        <v>29000</v>
      </c>
      <c r="H980" s="147">
        <v>4</v>
      </c>
      <c r="I980" s="146" t="s">
        <v>209</v>
      </c>
      <c r="J980" s="146" t="s">
        <v>3634</v>
      </c>
      <c r="K980" s="146" t="s">
        <v>3635</v>
      </c>
      <c r="L980" s="147">
        <v>4</v>
      </c>
      <c r="M980" s="147">
        <v>4</v>
      </c>
      <c r="N980" s="146" t="s">
        <v>1548</v>
      </c>
      <c r="O980" s="147">
        <v>15</v>
      </c>
      <c r="P980" s="147">
        <v>4.8419999999999996</v>
      </c>
      <c r="Q980" s="147">
        <v>17</v>
      </c>
      <c r="R980" s="146" t="s">
        <v>190</v>
      </c>
      <c r="S980" s="146" t="s">
        <v>191</v>
      </c>
      <c r="T980" s="147">
        <v>155</v>
      </c>
      <c r="U980" s="146" t="s">
        <v>192</v>
      </c>
      <c r="V980" s="146" t="s">
        <v>193</v>
      </c>
      <c r="W980" s="147">
        <v>1</v>
      </c>
      <c r="X980" s="147">
        <v>2</v>
      </c>
      <c r="Y980" s="146" t="s">
        <v>194</v>
      </c>
      <c r="Z980" s="146" t="s">
        <v>195</v>
      </c>
      <c r="AA980" s="146" t="s">
        <v>196</v>
      </c>
      <c r="AB980" s="146" t="s">
        <v>187</v>
      </c>
      <c r="AC980" s="146" t="s">
        <v>187</v>
      </c>
      <c r="AD980" s="148"/>
      <c r="AE980" s="146" t="s">
        <v>209</v>
      </c>
      <c r="AF980" s="147">
        <v>1.54467000032025</v>
      </c>
      <c r="AG980" s="149">
        <v>109.985319999918</v>
      </c>
      <c r="AO980" s="121"/>
      <c r="AT980" s="111"/>
      <c r="AX980" s="121"/>
    </row>
    <row r="981" spans="1:50" s="110" customFormat="1" ht="20" customHeight="1">
      <c r="A981" s="125" t="s">
        <v>237</v>
      </c>
      <c r="B981" s="126" t="s">
        <v>60</v>
      </c>
      <c r="C981" s="127">
        <v>15662</v>
      </c>
      <c r="D981" s="145">
        <v>110324</v>
      </c>
      <c r="E981" s="146" t="s">
        <v>1477</v>
      </c>
      <c r="F981" s="146" t="s">
        <v>1477</v>
      </c>
      <c r="G981" s="147">
        <v>24000</v>
      </c>
      <c r="H981" s="147">
        <v>4</v>
      </c>
      <c r="I981" s="146" t="s">
        <v>209</v>
      </c>
      <c r="J981" s="146" t="s">
        <v>1478</v>
      </c>
      <c r="K981" s="146" t="s">
        <v>1479</v>
      </c>
      <c r="L981" s="147">
        <v>3</v>
      </c>
      <c r="M981" s="147">
        <v>4</v>
      </c>
      <c r="N981" s="146" t="s">
        <v>1548</v>
      </c>
      <c r="O981" s="147">
        <v>20</v>
      </c>
      <c r="P981" s="147">
        <v>6</v>
      </c>
      <c r="Q981" s="147">
        <v>17</v>
      </c>
      <c r="R981" s="146" t="s">
        <v>190</v>
      </c>
      <c r="S981" s="146" t="s">
        <v>191</v>
      </c>
      <c r="T981" s="147">
        <v>155</v>
      </c>
      <c r="U981" s="146" t="s">
        <v>192</v>
      </c>
      <c r="V981" s="146" t="s">
        <v>193</v>
      </c>
      <c r="W981" s="147">
        <v>2</v>
      </c>
      <c r="X981" s="147">
        <v>2</v>
      </c>
      <c r="Y981" s="146" t="s">
        <v>194</v>
      </c>
      <c r="Z981" s="146" t="s">
        <v>195</v>
      </c>
      <c r="AA981" s="146" t="s">
        <v>196</v>
      </c>
      <c r="AB981" s="146" t="s">
        <v>187</v>
      </c>
      <c r="AC981" s="146" t="s">
        <v>187</v>
      </c>
      <c r="AD981" s="148"/>
      <c r="AE981" s="146" t="s">
        <v>209</v>
      </c>
      <c r="AF981" s="147">
        <v>4.5601799999999999</v>
      </c>
      <c r="AG981" s="149">
        <v>114.87559</v>
      </c>
      <c r="AO981" s="121"/>
      <c r="AT981" s="111"/>
      <c r="AX981" s="121"/>
    </row>
    <row r="982" spans="1:50" s="110" customFormat="1" ht="20" customHeight="1">
      <c r="A982" s="125" t="s">
        <v>237</v>
      </c>
      <c r="B982" s="126" t="s">
        <v>60</v>
      </c>
      <c r="C982" s="127">
        <v>15606</v>
      </c>
      <c r="D982" s="145">
        <v>110230</v>
      </c>
      <c r="E982" s="146" t="s">
        <v>4058</v>
      </c>
      <c r="F982" s="146" t="s">
        <v>4058</v>
      </c>
      <c r="G982" s="147">
        <v>21000</v>
      </c>
      <c r="H982" s="147">
        <v>4</v>
      </c>
      <c r="I982" s="146" t="s">
        <v>209</v>
      </c>
      <c r="J982" s="146" t="s">
        <v>4059</v>
      </c>
      <c r="K982" s="146" t="s">
        <v>4060</v>
      </c>
      <c r="L982" s="147">
        <v>3</v>
      </c>
      <c r="M982" s="147">
        <v>4</v>
      </c>
      <c r="N982" s="146" t="s">
        <v>1548</v>
      </c>
      <c r="O982" s="147">
        <v>20</v>
      </c>
      <c r="P982" s="147">
        <v>5</v>
      </c>
      <c r="Q982" s="147">
        <v>17</v>
      </c>
      <c r="R982" s="146" t="s">
        <v>190</v>
      </c>
      <c r="S982" s="146" t="s">
        <v>191</v>
      </c>
      <c r="T982" s="147">
        <v>155</v>
      </c>
      <c r="U982" s="146" t="s">
        <v>192</v>
      </c>
      <c r="V982" s="146" t="s">
        <v>193</v>
      </c>
      <c r="W982" s="147">
        <v>1</v>
      </c>
      <c r="X982" s="147">
        <v>2</v>
      </c>
      <c r="Y982" s="146" t="s">
        <v>194</v>
      </c>
      <c r="Z982" s="146" t="s">
        <v>195</v>
      </c>
      <c r="AA982" s="146" t="s">
        <v>196</v>
      </c>
      <c r="AB982" s="146" t="s">
        <v>187</v>
      </c>
      <c r="AC982" s="146" t="s">
        <v>187</v>
      </c>
      <c r="AD982" s="148"/>
      <c r="AE982" s="146" t="s">
        <v>209</v>
      </c>
      <c r="AF982" s="147">
        <v>6.1663100000000002</v>
      </c>
      <c r="AG982" s="149">
        <v>116.27294999999999</v>
      </c>
      <c r="AO982" s="121"/>
      <c r="AT982" s="111"/>
      <c r="AX982" s="121"/>
    </row>
    <row r="983" spans="1:50" s="110" customFormat="1" ht="20" customHeight="1">
      <c r="A983" s="125" t="s">
        <v>237</v>
      </c>
      <c r="B983" s="126" t="s">
        <v>60</v>
      </c>
      <c r="C983" s="127">
        <v>11656</v>
      </c>
      <c r="D983" s="145">
        <v>102784</v>
      </c>
      <c r="E983" s="146" t="s">
        <v>3989</v>
      </c>
      <c r="F983" s="146" t="s">
        <v>3989</v>
      </c>
      <c r="G983" s="147">
        <v>18000</v>
      </c>
      <c r="H983" s="147">
        <v>4</v>
      </c>
      <c r="I983" s="146" t="s">
        <v>209</v>
      </c>
      <c r="J983" s="146" t="s">
        <v>3990</v>
      </c>
      <c r="K983" s="146" t="s">
        <v>3991</v>
      </c>
      <c r="L983" s="147">
        <v>2</v>
      </c>
      <c r="M983" s="147">
        <v>4</v>
      </c>
      <c r="N983" s="146" t="s">
        <v>1548</v>
      </c>
      <c r="O983" s="147">
        <v>35</v>
      </c>
      <c r="P983" s="147">
        <v>6</v>
      </c>
      <c r="Q983" s="147">
        <v>17</v>
      </c>
      <c r="R983" s="146" t="s">
        <v>190</v>
      </c>
      <c r="S983" s="146" t="s">
        <v>191</v>
      </c>
      <c r="T983" s="147">
        <v>155</v>
      </c>
      <c r="U983" s="146" t="s">
        <v>192</v>
      </c>
      <c r="V983" s="146" t="s">
        <v>193</v>
      </c>
      <c r="W983" s="147">
        <v>1</v>
      </c>
      <c r="X983" s="147">
        <v>2</v>
      </c>
      <c r="Y983" s="146" t="s">
        <v>194</v>
      </c>
      <c r="Z983" s="146" t="s">
        <v>195</v>
      </c>
      <c r="AA983" s="146" t="s">
        <v>196</v>
      </c>
      <c r="AB983" s="146" t="s">
        <v>187</v>
      </c>
      <c r="AC983" s="146" t="s">
        <v>187</v>
      </c>
      <c r="AD983" s="148"/>
      <c r="AE983" s="146" t="s">
        <v>209</v>
      </c>
      <c r="AF983" s="147">
        <v>6.1722999999999999</v>
      </c>
      <c r="AG983" s="149">
        <v>117.08564</v>
      </c>
      <c r="AO983" s="121"/>
      <c r="AT983" s="111"/>
      <c r="AX983" s="121"/>
    </row>
    <row r="984" spans="1:50" s="110" customFormat="1" ht="20" customHeight="1">
      <c r="A984" s="125" t="s">
        <v>237</v>
      </c>
      <c r="B984" s="126" t="s">
        <v>60</v>
      </c>
      <c r="C984" s="127">
        <v>11652</v>
      </c>
      <c r="D984" s="145">
        <v>102780</v>
      </c>
      <c r="E984" s="146" t="s">
        <v>3926</v>
      </c>
      <c r="F984" s="146" t="s">
        <v>3926</v>
      </c>
      <c r="G984" s="147">
        <v>16000</v>
      </c>
      <c r="H984" s="147">
        <v>4</v>
      </c>
      <c r="I984" s="146" t="s">
        <v>209</v>
      </c>
      <c r="J984" s="146" t="s">
        <v>1802</v>
      </c>
      <c r="K984" s="146" t="s">
        <v>1803</v>
      </c>
      <c r="L984" s="147">
        <v>5</v>
      </c>
      <c r="M984" s="147">
        <v>4</v>
      </c>
      <c r="N984" s="146" t="s">
        <v>1548</v>
      </c>
      <c r="O984" s="147">
        <v>25</v>
      </c>
      <c r="P984" s="147">
        <v>7</v>
      </c>
      <c r="Q984" s="147">
        <v>17</v>
      </c>
      <c r="R984" s="146" t="s">
        <v>190</v>
      </c>
      <c r="S984" s="146" t="s">
        <v>191</v>
      </c>
      <c r="T984" s="147">
        <v>155</v>
      </c>
      <c r="U984" s="146" t="s">
        <v>192</v>
      </c>
      <c r="V984" s="146" t="s">
        <v>193</v>
      </c>
      <c r="W984" s="147">
        <v>1</v>
      </c>
      <c r="X984" s="147">
        <v>2</v>
      </c>
      <c r="Y984" s="146" t="s">
        <v>194</v>
      </c>
      <c r="Z984" s="146" t="s">
        <v>195</v>
      </c>
      <c r="AA984" s="146" t="s">
        <v>196</v>
      </c>
      <c r="AB984" s="146" t="s">
        <v>187</v>
      </c>
      <c r="AC984" s="146" t="s">
        <v>187</v>
      </c>
      <c r="AD984" s="148"/>
      <c r="AE984" s="146" t="s">
        <v>209</v>
      </c>
      <c r="AF984" s="147">
        <v>6.3517900000000003</v>
      </c>
      <c r="AG984" s="149">
        <v>116.4618</v>
      </c>
      <c r="AO984" s="121"/>
      <c r="AT984" s="111"/>
      <c r="AX984" s="121"/>
    </row>
    <row r="985" spans="1:50" s="110" customFormat="1" ht="20" customHeight="1">
      <c r="A985" s="125" t="s">
        <v>237</v>
      </c>
      <c r="B985" s="126" t="s">
        <v>60</v>
      </c>
      <c r="C985" s="127">
        <v>12994</v>
      </c>
      <c r="D985" s="145">
        <v>105648</v>
      </c>
      <c r="E985" s="146" t="s">
        <v>3882</v>
      </c>
      <c r="F985" s="146" t="s">
        <v>3882</v>
      </c>
      <c r="G985" s="147">
        <v>16000</v>
      </c>
      <c r="H985" s="147">
        <v>4</v>
      </c>
      <c r="I985" s="146" t="s">
        <v>209</v>
      </c>
      <c r="J985" s="146" t="s">
        <v>3883</v>
      </c>
      <c r="K985" s="146" t="s">
        <v>3884</v>
      </c>
      <c r="L985" s="147">
        <v>3</v>
      </c>
      <c r="M985" s="147">
        <v>4</v>
      </c>
      <c r="N985" s="146" t="s">
        <v>1548</v>
      </c>
      <c r="O985" s="147">
        <v>10</v>
      </c>
      <c r="P985" s="147">
        <v>4.3</v>
      </c>
      <c r="Q985" s="147">
        <v>17</v>
      </c>
      <c r="R985" s="146" t="s">
        <v>190</v>
      </c>
      <c r="S985" s="146" t="s">
        <v>191</v>
      </c>
      <c r="T985" s="147">
        <v>155</v>
      </c>
      <c r="U985" s="146" t="s">
        <v>192</v>
      </c>
      <c r="V985" s="146" t="s">
        <v>193</v>
      </c>
      <c r="W985" s="147">
        <v>2</v>
      </c>
      <c r="X985" s="147">
        <v>2</v>
      </c>
      <c r="Y985" s="146" t="s">
        <v>194</v>
      </c>
      <c r="Z985" s="146" t="s">
        <v>195</v>
      </c>
      <c r="AA985" s="146" t="s">
        <v>196</v>
      </c>
      <c r="AB985" s="146" t="s">
        <v>187</v>
      </c>
      <c r="AC985" s="146" t="s">
        <v>187</v>
      </c>
      <c r="AD985" s="148"/>
      <c r="AE985" s="146" t="s">
        <v>209</v>
      </c>
      <c r="AF985" s="147">
        <v>1.57219</v>
      </c>
      <c r="AG985" s="149">
        <v>109.76962</v>
      </c>
      <c r="AO985" s="121"/>
      <c r="AT985" s="111"/>
      <c r="AX985" s="121"/>
    </row>
    <row r="986" spans="1:50" s="110" customFormat="1" ht="20" customHeight="1">
      <c r="A986" s="125" t="s">
        <v>237</v>
      </c>
      <c r="B986" s="126" t="s">
        <v>60</v>
      </c>
      <c r="C986" s="127">
        <v>12176</v>
      </c>
      <c r="D986" s="145">
        <v>103945</v>
      </c>
      <c r="E986" s="146" t="s">
        <v>3897</v>
      </c>
      <c r="F986" s="146" t="s">
        <v>3897</v>
      </c>
      <c r="G986" s="147">
        <v>15000</v>
      </c>
      <c r="H986" s="147">
        <v>4</v>
      </c>
      <c r="I986" s="146" t="s">
        <v>209</v>
      </c>
      <c r="J986" s="146" t="s">
        <v>3898</v>
      </c>
      <c r="K986" s="146" t="s">
        <v>3899</v>
      </c>
      <c r="L986" s="147">
        <v>3</v>
      </c>
      <c r="M986" s="147">
        <v>4</v>
      </c>
      <c r="N986" s="146" t="s">
        <v>1548</v>
      </c>
      <c r="O986" s="147">
        <v>18</v>
      </c>
      <c r="P986" s="147">
        <v>5</v>
      </c>
      <c r="Q986" s="147">
        <v>17</v>
      </c>
      <c r="R986" s="146" t="s">
        <v>190</v>
      </c>
      <c r="S986" s="146" t="s">
        <v>191</v>
      </c>
      <c r="T986" s="147">
        <v>155</v>
      </c>
      <c r="U986" s="146" t="s">
        <v>192</v>
      </c>
      <c r="V986" s="146" t="s">
        <v>193</v>
      </c>
      <c r="W986" s="147">
        <v>1</v>
      </c>
      <c r="X986" s="147">
        <v>2</v>
      </c>
      <c r="Y986" s="146" t="s">
        <v>194</v>
      </c>
      <c r="Z986" s="146" t="s">
        <v>195</v>
      </c>
      <c r="AA986" s="146" t="s">
        <v>196</v>
      </c>
      <c r="AB986" s="146" t="s">
        <v>187</v>
      </c>
      <c r="AC986" s="146" t="s">
        <v>187</v>
      </c>
      <c r="AD986" s="148"/>
      <c r="AE986" s="146" t="s">
        <v>209</v>
      </c>
      <c r="AF986" s="147">
        <v>5.1465399999999999</v>
      </c>
      <c r="AG986" s="149">
        <v>118.50183</v>
      </c>
      <c r="AO986" s="121"/>
      <c r="AT986" s="111"/>
      <c r="AX986" s="121"/>
    </row>
    <row r="987" spans="1:50" s="110" customFormat="1" ht="20" customHeight="1">
      <c r="A987" s="125" t="s">
        <v>237</v>
      </c>
      <c r="B987" s="126" t="s">
        <v>60</v>
      </c>
      <c r="C987" s="127">
        <v>12927</v>
      </c>
      <c r="D987" s="145">
        <v>105542</v>
      </c>
      <c r="E987" s="146" t="s">
        <v>3617</v>
      </c>
      <c r="F987" s="146" t="s">
        <v>3617</v>
      </c>
      <c r="G987" s="147">
        <v>11000</v>
      </c>
      <c r="H987" s="147">
        <v>4</v>
      </c>
      <c r="I987" s="146" t="s">
        <v>209</v>
      </c>
      <c r="J987" s="146" t="s">
        <v>3619</v>
      </c>
      <c r="K987" s="146" t="s">
        <v>3620</v>
      </c>
      <c r="L987" s="147">
        <v>1</v>
      </c>
      <c r="M987" s="147">
        <v>4</v>
      </c>
      <c r="N987" s="146" t="s">
        <v>1548</v>
      </c>
      <c r="O987" s="147">
        <v>25</v>
      </c>
      <c r="P987" s="147">
        <v>6</v>
      </c>
      <c r="Q987" s="147">
        <v>17</v>
      </c>
      <c r="R987" s="146" t="s">
        <v>190</v>
      </c>
      <c r="S987" s="146" t="s">
        <v>191</v>
      </c>
      <c r="T987" s="147">
        <v>155</v>
      </c>
      <c r="U987" s="146" t="s">
        <v>192</v>
      </c>
      <c r="V987" s="146" t="s">
        <v>193</v>
      </c>
      <c r="W987" s="147">
        <v>2</v>
      </c>
      <c r="X987" s="147">
        <v>2</v>
      </c>
      <c r="Y987" s="146" t="s">
        <v>194</v>
      </c>
      <c r="Z987" s="146" t="s">
        <v>195</v>
      </c>
      <c r="AA987" s="146" t="s">
        <v>196</v>
      </c>
      <c r="AB987" s="146" t="s">
        <v>187</v>
      </c>
      <c r="AC987" s="146" t="s">
        <v>187</v>
      </c>
      <c r="AD987" s="148"/>
      <c r="AE987" s="146" t="s">
        <v>209</v>
      </c>
      <c r="AF987" s="147">
        <v>5.4765600000000001</v>
      </c>
      <c r="AG987" s="149">
        <v>116.27624</v>
      </c>
      <c r="AO987" s="121"/>
      <c r="AT987" s="111"/>
      <c r="AX987" s="121"/>
    </row>
    <row r="988" spans="1:50" s="110" customFormat="1" ht="20" customHeight="1">
      <c r="A988" s="125" t="s">
        <v>237</v>
      </c>
      <c r="B988" s="126" t="s">
        <v>60</v>
      </c>
      <c r="C988" s="127">
        <v>15523</v>
      </c>
      <c r="D988" s="145">
        <v>110116</v>
      </c>
      <c r="E988" s="146" t="s">
        <v>3695</v>
      </c>
      <c r="F988" s="146" t="s">
        <v>3695</v>
      </c>
      <c r="G988" s="147">
        <v>11000</v>
      </c>
      <c r="H988" s="147">
        <v>4</v>
      </c>
      <c r="I988" s="146" t="s">
        <v>209</v>
      </c>
      <c r="J988" s="146" t="s">
        <v>3696</v>
      </c>
      <c r="K988" s="146" t="s">
        <v>3695</v>
      </c>
      <c r="L988" s="147">
        <v>3</v>
      </c>
      <c r="M988" s="147">
        <v>4</v>
      </c>
      <c r="N988" s="146" t="s">
        <v>1548</v>
      </c>
      <c r="O988" s="147">
        <v>40</v>
      </c>
      <c r="P988" s="147">
        <v>6</v>
      </c>
      <c r="Q988" s="147">
        <v>17</v>
      </c>
      <c r="R988" s="146" t="s">
        <v>190</v>
      </c>
      <c r="S988" s="146" t="s">
        <v>191</v>
      </c>
      <c r="T988" s="147">
        <v>155</v>
      </c>
      <c r="U988" s="146" t="s">
        <v>192</v>
      </c>
      <c r="V988" s="146" t="s">
        <v>193</v>
      </c>
      <c r="W988" s="147">
        <v>1</v>
      </c>
      <c r="X988" s="147">
        <v>2</v>
      </c>
      <c r="Y988" s="146" t="s">
        <v>194</v>
      </c>
      <c r="Z988" s="146" t="s">
        <v>195</v>
      </c>
      <c r="AA988" s="146" t="s">
        <v>196</v>
      </c>
      <c r="AB988" s="146" t="s">
        <v>187</v>
      </c>
      <c r="AC988" s="146" t="s">
        <v>187</v>
      </c>
      <c r="AD988" s="148"/>
      <c r="AE988" s="146" t="s">
        <v>209</v>
      </c>
      <c r="AF988" s="147">
        <v>6.55077</v>
      </c>
      <c r="AG988" s="149">
        <v>116.62657</v>
      </c>
      <c r="AO988" s="121"/>
      <c r="AT988" s="111"/>
      <c r="AX988" s="121"/>
    </row>
    <row r="989" spans="1:50" s="110" customFormat="1" ht="20" customHeight="1">
      <c r="A989" s="125" t="s">
        <v>237</v>
      </c>
      <c r="B989" s="126" t="s">
        <v>60</v>
      </c>
      <c r="C989" s="127">
        <v>12977</v>
      </c>
      <c r="D989" s="145">
        <v>105627</v>
      </c>
      <c r="E989" s="146" t="s">
        <v>3221</v>
      </c>
      <c r="F989" s="146" t="s">
        <v>3221</v>
      </c>
      <c r="G989" s="147">
        <v>5200</v>
      </c>
      <c r="H989" s="147">
        <v>4</v>
      </c>
      <c r="I989" s="146" t="s">
        <v>209</v>
      </c>
      <c r="J989" s="146" t="s">
        <v>3222</v>
      </c>
      <c r="K989" s="146" t="s">
        <v>3223</v>
      </c>
      <c r="L989" s="147">
        <v>1</v>
      </c>
      <c r="M989" s="147">
        <v>4</v>
      </c>
      <c r="N989" s="146" t="s">
        <v>1548</v>
      </c>
      <c r="O989" s="147">
        <v>20</v>
      </c>
      <c r="P989" s="147">
        <v>6</v>
      </c>
      <c r="Q989" s="147">
        <v>17</v>
      </c>
      <c r="R989" s="146" t="s">
        <v>190</v>
      </c>
      <c r="S989" s="146" t="s">
        <v>191</v>
      </c>
      <c r="T989" s="147">
        <v>155</v>
      </c>
      <c r="U989" s="146" t="s">
        <v>192</v>
      </c>
      <c r="V989" s="146" t="s">
        <v>193</v>
      </c>
      <c r="W989" s="147">
        <v>1</v>
      </c>
      <c r="X989" s="147">
        <v>2</v>
      </c>
      <c r="Y989" s="146" t="s">
        <v>194</v>
      </c>
      <c r="Z989" s="146" t="s">
        <v>195</v>
      </c>
      <c r="AA989" s="146" t="s">
        <v>196</v>
      </c>
      <c r="AB989" s="146" t="s">
        <v>187</v>
      </c>
      <c r="AC989" s="146" t="s">
        <v>187</v>
      </c>
      <c r="AD989" s="148"/>
      <c r="AE989" s="146" t="s">
        <v>209</v>
      </c>
      <c r="AF989" s="147">
        <v>5.4386900000000002</v>
      </c>
      <c r="AG989" s="149">
        <v>116.58968</v>
      </c>
      <c r="AO989" s="121"/>
      <c r="AT989" s="111"/>
      <c r="AX989" s="121"/>
    </row>
    <row r="990" spans="1:50" s="110" customFormat="1" ht="20" customHeight="1">
      <c r="A990" s="125" t="s">
        <v>237</v>
      </c>
      <c r="B990" s="126" t="s">
        <v>60</v>
      </c>
      <c r="C990" s="127">
        <v>15048</v>
      </c>
      <c r="D990" s="145">
        <v>109487</v>
      </c>
      <c r="E990" s="146" t="s">
        <v>2865</v>
      </c>
      <c r="F990" s="146" t="s">
        <v>2865</v>
      </c>
      <c r="G990" s="147">
        <v>2900</v>
      </c>
      <c r="H990" s="147">
        <v>4</v>
      </c>
      <c r="I990" s="146" t="s">
        <v>209</v>
      </c>
      <c r="J990" s="146" t="s">
        <v>1802</v>
      </c>
      <c r="K990" s="146" t="s">
        <v>1803</v>
      </c>
      <c r="L990" s="147">
        <v>5</v>
      </c>
      <c r="M990" s="147">
        <v>4</v>
      </c>
      <c r="N990" s="146" t="s">
        <v>1548</v>
      </c>
      <c r="O990" s="147">
        <v>22</v>
      </c>
      <c r="P990" s="147">
        <v>5</v>
      </c>
      <c r="Q990" s="147">
        <v>17</v>
      </c>
      <c r="R990" s="146" t="s">
        <v>190</v>
      </c>
      <c r="S990" s="146" t="s">
        <v>191</v>
      </c>
      <c r="T990" s="147">
        <v>155</v>
      </c>
      <c r="U990" s="146" t="s">
        <v>192</v>
      </c>
      <c r="V990" s="146" t="s">
        <v>193</v>
      </c>
      <c r="W990" s="147">
        <v>1</v>
      </c>
      <c r="X990" s="147">
        <v>2</v>
      </c>
      <c r="Y990" s="146" t="s">
        <v>194</v>
      </c>
      <c r="Z990" s="146" t="s">
        <v>195</v>
      </c>
      <c r="AA990" s="146" t="s">
        <v>196</v>
      </c>
      <c r="AB990" s="146" t="s">
        <v>187</v>
      </c>
      <c r="AC990" s="146" t="s">
        <v>187</v>
      </c>
      <c r="AD990" s="148"/>
      <c r="AE990" s="146" t="s">
        <v>209</v>
      </c>
      <c r="AF990" s="147">
        <v>6.2191599999999996</v>
      </c>
      <c r="AG990" s="149">
        <v>116.9392</v>
      </c>
      <c r="AO990" s="121"/>
      <c r="AT990" s="111"/>
      <c r="AX990" s="121"/>
    </row>
    <row r="991" spans="1:50" s="110" customFormat="1" ht="20" customHeight="1">
      <c r="A991" s="125" t="s">
        <v>237</v>
      </c>
      <c r="B991" s="126" t="s">
        <v>60</v>
      </c>
      <c r="C991" s="127">
        <v>14841</v>
      </c>
      <c r="D991" s="145">
        <v>108823</v>
      </c>
      <c r="E991" s="146" t="s">
        <v>2866</v>
      </c>
      <c r="F991" s="146" t="s">
        <v>2866</v>
      </c>
      <c r="G991" s="147">
        <v>2900</v>
      </c>
      <c r="H991" s="147">
        <v>4</v>
      </c>
      <c r="I991" s="146" t="s">
        <v>209</v>
      </c>
      <c r="J991" s="146" t="s">
        <v>2867</v>
      </c>
      <c r="K991" s="146" t="s">
        <v>2866</v>
      </c>
      <c r="L991" s="147">
        <v>2</v>
      </c>
      <c r="M991" s="147">
        <v>4</v>
      </c>
      <c r="N991" s="146" t="s">
        <v>1548</v>
      </c>
      <c r="O991" s="147">
        <v>12</v>
      </c>
      <c r="P991" s="147">
        <v>9</v>
      </c>
      <c r="Q991" s="147">
        <v>17</v>
      </c>
      <c r="R991" s="146" t="s">
        <v>190</v>
      </c>
      <c r="S991" s="146" t="s">
        <v>191</v>
      </c>
      <c r="T991" s="147">
        <v>155</v>
      </c>
      <c r="U991" s="146" t="s">
        <v>192</v>
      </c>
      <c r="V991" s="146" t="s">
        <v>193</v>
      </c>
      <c r="W991" s="147">
        <v>2</v>
      </c>
      <c r="X991" s="147">
        <v>2</v>
      </c>
      <c r="Y991" s="146" t="s">
        <v>194</v>
      </c>
      <c r="Z991" s="146" t="s">
        <v>195</v>
      </c>
      <c r="AA991" s="146" t="s">
        <v>196</v>
      </c>
      <c r="AB991" s="146" t="s">
        <v>187</v>
      </c>
      <c r="AC991" s="146" t="s">
        <v>187</v>
      </c>
      <c r="AD991" s="148"/>
      <c r="AE991" s="146" t="s">
        <v>209</v>
      </c>
      <c r="AF991" s="147">
        <v>4.3974799999999998</v>
      </c>
      <c r="AG991" s="149">
        <v>116.6708</v>
      </c>
      <c r="AO991" s="121"/>
      <c r="AT991" s="111"/>
      <c r="AX991" s="121"/>
    </row>
    <row r="992" spans="1:50" s="110" customFormat="1" ht="20" customHeight="1">
      <c r="A992" s="125" t="s">
        <v>237</v>
      </c>
      <c r="B992" s="126" t="s">
        <v>60</v>
      </c>
      <c r="C992" s="127">
        <v>12754</v>
      </c>
      <c r="D992" s="145">
        <v>105134</v>
      </c>
      <c r="E992" s="146" t="s">
        <v>2773</v>
      </c>
      <c r="F992" s="146" t="s">
        <v>2773</v>
      </c>
      <c r="G992" s="147">
        <v>2300</v>
      </c>
      <c r="H992" s="147">
        <v>4</v>
      </c>
      <c r="I992" s="146" t="s">
        <v>209</v>
      </c>
      <c r="J992" s="146" t="s">
        <v>2774</v>
      </c>
      <c r="K992" s="146" t="s">
        <v>2775</v>
      </c>
      <c r="L992" s="147">
        <v>3</v>
      </c>
      <c r="M992" s="147">
        <v>4</v>
      </c>
      <c r="N992" s="146" t="s">
        <v>1548</v>
      </c>
      <c r="O992" s="147">
        <v>15</v>
      </c>
      <c r="P992" s="147">
        <v>5</v>
      </c>
      <c r="Q992" s="147">
        <v>17</v>
      </c>
      <c r="R992" s="146" t="s">
        <v>190</v>
      </c>
      <c r="S992" s="146" t="s">
        <v>191</v>
      </c>
      <c r="T992" s="147">
        <v>155</v>
      </c>
      <c r="U992" s="146" t="s">
        <v>192</v>
      </c>
      <c r="V992" s="146" t="s">
        <v>193</v>
      </c>
      <c r="W992" s="147">
        <v>2</v>
      </c>
      <c r="X992" s="147">
        <v>2</v>
      </c>
      <c r="Y992" s="146" t="s">
        <v>194</v>
      </c>
      <c r="Z992" s="146" t="s">
        <v>195</v>
      </c>
      <c r="AA992" s="146" t="s">
        <v>196</v>
      </c>
      <c r="AB992" s="146" t="s">
        <v>187</v>
      </c>
      <c r="AC992" s="146" t="s">
        <v>187</v>
      </c>
      <c r="AD992" s="148"/>
      <c r="AE992" s="146" t="s">
        <v>209</v>
      </c>
      <c r="AF992" s="147">
        <v>4.8470899999999997</v>
      </c>
      <c r="AG992" s="149">
        <v>115.61942999999999</v>
      </c>
      <c r="AO992" s="121"/>
      <c r="AT992" s="111"/>
      <c r="AX992" s="121"/>
    </row>
    <row r="993" spans="1:50" s="110" customFormat="1" ht="20" customHeight="1">
      <c r="A993" s="125" t="s">
        <v>237</v>
      </c>
      <c r="B993" s="126" t="s">
        <v>60</v>
      </c>
      <c r="C993" s="127">
        <v>11655</v>
      </c>
      <c r="D993" s="145">
        <v>102783</v>
      </c>
      <c r="E993" s="146" t="s">
        <v>2723</v>
      </c>
      <c r="F993" s="146" t="s">
        <v>2724</v>
      </c>
      <c r="G993" s="147">
        <v>2100</v>
      </c>
      <c r="H993" s="147">
        <v>4</v>
      </c>
      <c r="I993" s="146" t="s">
        <v>209</v>
      </c>
      <c r="J993" s="146" t="s">
        <v>2725</v>
      </c>
      <c r="K993" s="146" t="s">
        <v>2726</v>
      </c>
      <c r="L993" s="147">
        <v>0</v>
      </c>
      <c r="M993" s="147">
        <v>4</v>
      </c>
      <c r="N993" s="146" t="s">
        <v>1548</v>
      </c>
      <c r="O993" s="147">
        <v>20</v>
      </c>
      <c r="P993" s="147">
        <v>3</v>
      </c>
      <c r="Q993" s="147">
        <v>17</v>
      </c>
      <c r="R993" s="146" t="s">
        <v>190</v>
      </c>
      <c r="S993" s="146" t="s">
        <v>191</v>
      </c>
      <c r="T993" s="147">
        <v>155</v>
      </c>
      <c r="U993" s="146" t="s">
        <v>192</v>
      </c>
      <c r="V993" s="146" t="s">
        <v>193</v>
      </c>
      <c r="W993" s="147">
        <v>1</v>
      </c>
      <c r="X993" s="147">
        <v>2</v>
      </c>
      <c r="Y993" s="146" t="s">
        <v>194</v>
      </c>
      <c r="Z993" s="146" t="s">
        <v>195</v>
      </c>
      <c r="AA993" s="146" t="s">
        <v>196</v>
      </c>
      <c r="AB993" s="146" t="s">
        <v>187</v>
      </c>
      <c r="AC993" s="146" t="s">
        <v>187</v>
      </c>
      <c r="AD993" s="148"/>
      <c r="AE993" s="146" t="s">
        <v>209</v>
      </c>
      <c r="AF993" s="147">
        <v>5.43635</v>
      </c>
      <c r="AG993" s="149">
        <v>116.17789</v>
      </c>
      <c r="AO993" s="121"/>
      <c r="AT993" s="111"/>
      <c r="AX993" s="121"/>
    </row>
    <row r="994" spans="1:50" s="110" customFormat="1" ht="20" customHeight="1">
      <c r="A994" s="125" t="s">
        <v>237</v>
      </c>
      <c r="B994" s="126" t="s">
        <v>60</v>
      </c>
      <c r="C994" s="127">
        <v>12727</v>
      </c>
      <c r="D994" s="145">
        <v>105061</v>
      </c>
      <c r="E994" s="146" t="s">
        <v>2727</v>
      </c>
      <c r="F994" s="146" t="s">
        <v>2727</v>
      </c>
      <c r="G994" s="147">
        <v>2100</v>
      </c>
      <c r="H994" s="147">
        <v>4</v>
      </c>
      <c r="I994" s="146" t="s">
        <v>209</v>
      </c>
      <c r="J994" s="146" t="s">
        <v>2728</v>
      </c>
      <c r="K994" s="146" t="s">
        <v>2727</v>
      </c>
      <c r="L994" s="147">
        <v>1</v>
      </c>
      <c r="M994" s="147">
        <v>4</v>
      </c>
      <c r="N994" s="146" t="s">
        <v>1548</v>
      </c>
      <c r="O994" s="147">
        <v>20</v>
      </c>
      <c r="P994" s="147">
        <v>3</v>
      </c>
      <c r="Q994" s="147">
        <v>17</v>
      </c>
      <c r="R994" s="146" t="s">
        <v>190</v>
      </c>
      <c r="S994" s="146" t="s">
        <v>191</v>
      </c>
      <c r="T994" s="147">
        <v>155</v>
      </c>
      <c r="U994" s="146" t="s">
        <v>192</v>
      </c>
      <c r="V994" s="146" t="s">
        <v>193</v>
      </c>
      <c r="W994" s="147">
        <v>1</v>
      </c>
      <c r="X994" s="147">
        <v>2</v>
      </c>
      <c r="Y994" s="146" t="s">
        <v>194</v>
      </c>
      <c r="Z994" s="146" t="s">
        <v>195</v>
      </c>
      <c r="AA994" s="146" t="s">
        <v>196</v>
      </c>
      <c r="AB994" s="146" t="s">
        <v>187</v>
      </c>
      <c r="AC994" s="146" t="s">
        <v>187</v>
      </c>
      <c r="AD994" s="148"/>
      <c r="AE994" s="146" t="s">
        <v>209</v>
      </c>
      <c r="AF994" s="147">
        <v>5.4187200000000004</v>
      </c>
      <c r="AG994" s="149">
        <v>115.63996</v>
      </c>
      <c r="AO994" s="121"/>
      <c r="AT994" s="111"/>
      <c r="AX994" s="121"/>
    </row>
    <row r="995" spans="1:50" s="110" customFormat="1" ht="20" customHeight="1">
      <c r="A995" s="125" t="s">
        <v>237</v>
      </c>
      <c r="B995" s="126" t="s">
        <v>60</v>
      </c>
      <c r="C995" s="127">
        <v>14821</v>
      </c>
      <c r="D995" s="145">
        <v>108797</v>
      </c>
      <c r="E995" s="146" t="s">
        <v>2701</v>
      </c>
      <c r="F995" s="146" t="s">
        <v>2701</v>
      </c>
      <c r="G995" s="147">
        <v>2000</v>
      </c>
      <c r="H995" s="147">
        <v>4</v>
      </c>
      <c r="I995" s="146" t="s">
        <v>209</v>
      </c>
      <c r="J995" s="146" t="s">
        <v>2702</v>
      </c>
      <c r="K995" s="146" t="s">
        <v>2701</v>
      </c>
      <c r="L995" s="147">
        <v>1</v>
      </c>
      <c r="M995" s="147">
        <v>4</v>
      </c>
      <c r="N995" s="146" t="s">
        <v>1548</v>
      </c>
      <c r="O995" s="147">
        <v>40</v>
      </c>
      <c r="P995" s="147">
        <v>6</v>
      </c>
      <c r="Q995" s="147">
        <v>17</v>
      </c>
      <c r="R995" s="146" t="s">
        <v>190</v>
      </c>
      <c r="S995" s="146" t="s">
        <v>191</v>
      </c>
      <c r="T995" s="147">
        <v>155</v>
      </c>
      <c r="U995" s="146" t="s">
        <v>192</v>
      </c>
      <c r="V995" s="146" t="s">
        <v>193</v>
      </c>
      <c r="W995" s="147">
        <v>1</v>
      </c>
      <c r="X995" s="147">
        <v>2</v>
      </c>
      <c r="Y995" s="146" t="s">
        <v>194</v>
      </c>
      <c r="Z995" s="146" t="s">
        <v>195</v>
      </c>
      <c r="AA995" s="146" t="s">
        <v>196</v>
      </c>
      <c r="AB995" s="146" t="s">
        <v>187</v>
      </c>
      <c r="AC995" s="146" t="s">
        <v>187</v>
      </c>
      <c r="AD995" s="148"/>
      <c r="AE995" s="146" t="s">
        <v>209</v>
      </c>
      <c r="AF995" s="147">
        <v>2.6044700000000001</v>
      </c>
      <c r="AG995" s="149">
        <v>113.70686000000001</v>
      </c>
      <c r="AO995" s="121"/>
      <c r="AT995" s="111"/>
      <c r="AX995" s="121"/>
    </row>
    <row r="996" spans="1:50" s="110" customFormat="1" ht="20" customHeight="1">
      <c r="A996" s="125" t="s">
        <v>237</v>
      </c>
      <c r="B996" s="126" t="s">
        <v>60</v>
      </c>
      <c r="C996" s="127">
        <v>13730</v>
      </c>
      <c r="D996" s="145">
        <v>106653</v>
      </c>
      <c r="E996" s="146" t="s">
        <v>2497</v>
      </c>
      <c r="F996" s="146" t="s">
        <v>2497</v>
      </c>
      <c r="G996" s="147">
        <v>1400</v>
      </c>
      <c r="H996" s="147">
        <v>4</v>
      </c>
      <c r="I996" s="146" t="s">
        <v>209</v>
      </c>
      <c r="J996" s="146" t="s">
        <v>2498</v>
      </c>
      <c r="K996" s="146" t="s">
        <v>2499</v>
      </c>
      <c r="L996" s="147">
        <v>1</v>
      </c>
      <c r="M996" s="147">
        <v>4</v>
      </c>
      <c r="N996" s="146" t="s">
        <v>1548</v>
      </c>
      <c r="O996" s="147">
        <v>35</v>
      </c>
      <c r="P996" s="147">
        <v>7</v>
      </c>
      <c r="Q996" s="147">
        <v>17</v>
      </c>
      <c r="R996" s="146" t="s">
        <v>190</v>
      </c>
      <c r="S996" s="146" t="s">
        <v>191</v>
      </c>
      <c r="T996" s="147">
        <v>155</v>
      </c>
      <c r="U996" s="146" t="s">
        <v>192</v>
      </c>
      <c r="V996" s="146" t="s">
        <v>193</v>
      </c>
      <c r="W996" s="147">
        <v>1</v>
      </c>
      <c r="X996" s="147">
        <v>2</v>
      </c>
      <c r="Y996" s="146" t="s">
        <v>194</v>
      </c>
      <c r="Z996" s="146" t="s">
        <v>195</v>
      </c>
      <c r="AA996" s="146" t="s">
        <v>196</v>
      </c>
      <c r="AB996" s="146" t="s">
        <v>187</v>
      </c>
      <c r="AC996" s="146" t="s">
        <v>187</v>
      </c>
      <c r="AD996" s="148"/>
      <c r="AE996" s="146" t="s">
        <v>209</v>
      </c>
      <c r="AF996" s="147">
        <v>5.4366099999999999</v>
      </c>
      <c r="AG996" s="149">
        <v>116.77728999999999</v>
      </c>
      <c r="AO996" s="121"/>
      <c r="AT996" s="111"/>
      <c r="AX996" s="121"/>
    </row>
    <row r="997" spans="1:50" s="110" customFormat="1" ht="20" customHeight="1">
      <c r="A997" s="125" t="s">
        <v>237</v>
      </c>
      <c r="B997" s="126" t="s">
        <v>60</v>
      </c>
      <c r="C997" s="127">
        <v>15577</v>
      </c>
      <c r="D997" s="145">
        <v>110191</v>
      </c>
      <c r="E997" s="146" t="s">
        <v>2331</v>
      </c>
      <c r="F997" s="146" t="s">
        <v>2331</v>
      </c>
      <c r="G997" s="147">
        <v>1000</v>
      </c>
      <c r="H997" s="147">
        <v>4</v>
      </c>
      <c r="I997" s="146" t="s">
        <v>209</v>
      </c>
      <c r="J997" s="146" t="s">
        <v>2332</v>
      </c>
      <c r="K997" s="146" t="s">
        <v>2333</v>
      </c>
      <c r="L997" s="147">
        <v>1</v>
      </c>
      <c r="M997" s="147">
        <v>4</v>
      </c>
      <c r="N997" s="146" t="s">
        <v>1548</v>
      </c>
      <c r="O997" s="147">
        <v>10</v>
      </c>
      <c r="P997" s="147">
        <v>3</v>
      </c>
      <c r="Q997" s="147">
        <v>17</v>
      </c>
      <c r="R997" s="146" t="s">
        <v>190</v>
      </c>
      <c r="S997" s="146" t="s">
        <v>191</v>
      </c>
      <c r="T997" s="147">
        <v>155</v>
      </c>
      <c r="U997" s="146" t="s">
        <v>192</v>
      </c>
      <c r="V997" s="146" t="s">
        <v>193</v>
      </c>
      <c r="W997" s="147">
        <v>1</v>
      </c>
      <c r="X997" s="147">
        <v>2</v>
      </c>
      <c r="Y997" s="146" t="s">
        <v>194</v>
      </c>
      <c r="Z997" s="146" t="s">
        <v>195</v>
      </c>
      <c r="AA997" s="146" t="s">
        <v>196</v>
      </c>
      <c r="AB997" s="146" t="s">
        <v>187</v>
      </c>
      <c r="AC997" s="146" t="s">
        <v>187</v>
      </c>
      <c r="AD997" s="148"/>
      <c r="AE997" s="146" t="s">
        <v>209</v>
      </c>
      <c r="AF997" s="147">
        <v>1.2163600000000001</v>
      </c>
      <c r="AG997" s="149">
        <v>110.12627000000001</v>
      </c>
      <c r="AO997" s="121"/>
      <c r="AT997" s="111"/>
      <c r="AX997" s="121"/>
    </row>
    <row r="998" spans="1:50" s="110" customFormat="1" ht="20" customHeight="1">
      <c r="A998" s="125" t="s">
        <v>237</v>
      </c>
      <c r="B998" s="126" t="s">
        <v>60</v>
      </c>
      <c r="C998" s="127">
        <v>12167</v>
      </c>
      <c r="D998" s="128">
        <v>103933</v>
      </c>
      <c r="E998" s="129" t="s">
        <v>4016</v>
      </c>
      <c r="F998" s="129" t="s">
        <v>4016</v>
      </c>
      <c r="G998" s="130">
        <v>709000</v>
      </c>
      <c r="H998" s="130">
        <v>5</v>
      </c>
      <c r="I998" s="129" t="s">
        <v>209</v>
      </c>
      <c r="J998" s="129" t="s">
        <v>3689</v>
      </c>
      <c r="K998" s="129" t="s">
        <v>3690</v>
      </c>
      <c r="L998" s="130">
        <v>5</v>
      </c>
      <c r="M998" s="130">
        <v>4</v>
      </c>
      <c r="N998" s="129" t="s">
        <v>1548</v>
      </c>
      <c r="O998" s="130">
        <v>42</v>
      </c>
      <c r="P998" s="130">
        <v>14</v>
      </c>
      <c r="Q998" s="130">
        <v>17</v>
      </c>
      <c r="R998" s="129" t="s">
        <v>190</v>
      </c>
      <c r="S998" s="129" t="s">
        <v>191</v>
      </c>
      <c r="T998" s="130">
        <v>155</v>
      </c>
      <c r="U998" s="129" t="s">
        <v>192</v>
      </c>
      <c r="V998" s="129" t="s">
        <v>193</v>
      </c>
      <c r="W998" s="130">
        <v>3</v>
      </c>
      <c r="X998" s="130">
        <v>2</v>
      </c>
      <c r="Y998" s="129" t="s">
        <v>194</v>
      </c>
      <c r="Z998" s="129" t="s">
        <v>195</v>
      </c>
      <c r="AA998" s="129" t="s">
        <v>196</v>
      </c>
      <c r="AB998" s="129" t="s">
        <v>187</v>
      </c>
      <c r="AC998" s="129" t="s">
        <v>187</v>
      </c>
      <c r="AD998" s="131"/>
      <c r="AE998" s="129" t="s">
        <v>209</v>
      </c>
      <c r="AF998" s="130">
        <v>2.3216600000000001</v>
      </c>
      <c r="AG998" s="132">
        <v>112.55358</v>
      </c>
      <c r="AO998" s="121"/>
      <c r="AT998" s="111"/>
      <c r="AX998" s="121"/>
    </row>
    <row r="999" spans="1:50" s="110" customFormat="1" ht="20" customHeight="1">
      <c r="A999" s="125" t="s">
        <v>237</v>
      </c>
      <c r="B999" s="126" t="s">
        <v>60</v>
      </c>
      <c r="C999" s="127">
        <v>14835</v>
      </c>
      <c r="D999" s="128">
        <v>108815</v>
      </c>
      <c r="E999" s="129" t="s">
        <v>2260</v>
      </c>
      <c r="F999" s="129" t="s">
        <v>2260</v>
      </c>
      <c r="G999" s="130">
        <v>900</v>
      </c>
      <c r="H999" s="130">
        <v>5</v>
      </c>
      <c r="I999" s="129" t="s">
        <v>209</v>
      </c>
      <c r="J999" s="129" t="s">
        <v>2261</v>
      </c>
      <c r="K999" s="129" t="s">
        <v>2260</v>
      </c>
      <c r="L999" s="130">
        <v>1</v>
      </c>
      <c r="M999" s="130">
        <v>4</v>
      </c>
      <c r="N999" s="129" t="s">
        <v>1548</v>
      </c>
      <c r="O999" s="130">
        <v>15</v>
      </c>
      <c r="P999" s="130">
        <v>12</v>
      </c>
      <c r="Q999" s="130">
        <v>17</v>
      </c>
      <c r="R999" s="129" t="s">
        <v>190</v>
      </c>
      <c r="S999" s="129" t="s">
        <v>191</v>
      </c>
      <c r="T999" s="130">
        <v>155</v>
      </c>
      <c r="U999" s="129" t="s">
        <v>192</v>
      </c>
      <c r="V999" s="129" t="s">
        <v>193</v>
      </c>
      <c r="W999" s="130">
        <v>2</v>
      </c>
      <c r="X999" s="130">
        <v>2</v>
      </c>
      <c r="Y999" s="129" t="s">
        <v>194</v>
      </c>
      <c r="Z999" s="129" t="s">
        <v>195</v>
      </c>
      <c r="AA999" s="129" t="s">
        <v>196</v>
      </c>
      <c r="AB999" s="129" t="s">
        <v>187</v>
      </c>
      <c r="AC999" s="129" t="s">
        <v>187</v>
      </c>
      <c r="AD999" s="131"/>
      <c r="AE999" s="129" t="s">
        <v>209</v>
      </c>
      <c r="AF999" s="130">
        <v>4.4346100000000002</v>
      </c>
      <c r="AG999" s="132">
        <v>116.40976999999999</v>
      </c>
      <c r="AO999" s="121"/>
      <c r="AT999" s="111"/>
      <c r="AX999" s="121"/>
    </row>
    <row r="1000" spans="1:50" s="110" customFormat="1" ht="20" customHeight="1">
      <c r="A1000" s="125" t="s">
        <v>471</v>
      </c>
      <c r="B1000" s="126" t="s">
        <v>65</v>
      </c>
      <c r="C1000" s="127">
        <v>13385</v>
      </c>
      <c r="D1000" s="163">
        <v>107305</v>
      </c>
      <c r="E1000" s="164" t="s">
        <v>3417</v>
      </c>
      <c r="F1000" s="164" t="s">
        <v>3417</v>
      </c>
      <c r="G1000" s="165">
        <v>7200</v>
      </c>
      <c r="H1000" s="165">
        <v>1</v>
      </c>
      <c r="I1000" s="164" t="s">
        <v>187</v>
      </c>
      <c r="J1000" s="164" t="s">
        <v>3418</v>
      </c>
      <c r="K1000" s="164" t="s">
        <v>3419</v>
      </c>
      <c r="L1000" s="165">
        <v>3</v>
      </c>
      <c r="M1000" s="165">
        <v>4</v>
      </c>
      <c r="N1000" s="164" t="s">
        <v>1548</v>
      </c>
      <c r="O1000" s="165">
        <v>0</v>
      </c>
      <c r="P1000" s="165">
        <v>0</v>
      </c>
      <c r="Q1000" s="165">
        <v>20</v>
      </c>
      <c r="R1000" s="164" t="s">
        <v>574</v>
      </c>
      <c r="S1000" s="164" t="s">
        <v>575</v>
      </c>
      <c r="T1000" s="165">
        <v>150</v>
      </c>
      <c r="U1000" s="164" t="s">
        <v>3420</v>
      </c>
      <c r="V1000" s="164" t="s">
        <v>3419</v>
      </c>
      <c r="W1000" s="165">
        <v>2</v>
      </c>
      <c r="X1000" s="165">
        <v>2</v>
      </c>
      <c r="Y1000" s="164" t="s">
        <v>194</v>
      </c>
      <c r="Z1000" s="164" t="s">
        <v>195</v>
      </c>
      <c r="AA1000" s="164" t="s">
        <v>196</v>
      </c>
      <c r="AB1000" s="164" t="s">
        <v>187</v>
      </c>
      <c r="AC1000" s="164" t="s">
        <v>209</v>
      </c>
      <c r="AD1000" s="165">
        <v>1</v>
      </c>
      <c r="AE1000" s="164" t="s">
        <v>187</v>
      </c>
      <c r="AF1000" s="165">
        <v>21.2176311844316</v>
      </c>
      <c r="AG1000" s="166">
        <v>101.90974116922</v>
      </c>
      <c r="AO1000" s="121"/>
      <c r="AT1000" s="111"/>
      <c r="AX1000" s="121"/>
    </row>
    <row r="1001" spans="1:50" s="110" customFormat="1" ht="20" customHeight="1">
      <c r="A1001" s="125" t="s">
        <v>480</v>
      </c>
      <c r="B1001" s="126" t="s">
        <v>63</v>
      </c>
      <c r="C1001" s="127">
        <v>13385</v>
      </c>
      <c r="D1001" s="163">
        <v>107305</v>
      </c>
      <c r="E1001" s="164" t="s">
        <v>3417</v>
      </c>
      <c r="F1001" s="164" t="s">
        <v>3417</v>
      </c>
      <c r="G1001" s="165">
        <v>64000</v>
      </c>
      <c r="H1001" s="165">
        <v>1</v>
      </c>
      <c r="I1001" s="164" t="s">
        <v>187</v>
      </c>
      <c r="J1001" s="164" t="s">
        <v>3418</v>
      </c>
      <c r="K1001" s="164" t="s">
        <v>3419</v>
      </c>
      <c r="L1001" s="165">
        <v>3</v>
      </c>
      <c r="M1001" s="165">
        <v>4</v>
      </c>
      <c r="N1001" s="164" t="s">
        <v>1548</v>
      </c>
      <c r="O1001" s="165">
        <v>0.5</v>
      </c>
      <c r="P1001" s="165">
        <v>0.02</v>
      </c>
      <c r="Q1001" s="165">
        <v>20</v>
      </c>
      <c r="R1001" s="164" t="s">
        <v>574</v>
      </c>
      <c r="S1001" s="164" t="s">
        <v>575</v>
      </c>
      <c r="T1001" s="165">
        <v>150</v>
      </c>
      <c r="U1001" s="164" t="s">
        <v>3420</v>
      </c>
      <c r="V1001" s="164" t="s">
        <v>3419</v>
      </c>
      <c r="W1001" s="165">
        <v>2</v>
      </c>
      <c r="X1001" s="165">
        <v>2</v>
      </c>
      <c r="Y1001" s="164" t="s">
        <v>194</v>
      </c>
      <c r="Z1001" s="164" t="s">
        <v>195</v>
      </c>
      <c r="AA1001" s="164" t="s">
        <v>196</v>
      </c>
      <c r="AB1001" s="164" t="s">
        <v>187</v>
      </c>
      <c r="AC1001" s="164" t="s">
        <v>187</v>
      </c>
      <c r="AD1001" s="165">
        <v>1</v>
      </c>
      <c r="AE1001" s="164" t="s">
        <v>209</v>
      </c>
      <c r="AF1001" s="165">
        <v>22.3874096364456</v>
      </c>
      <c r="AG1001" s="166">
        <v>103.471639128443</v>
      </c>
      <c r="AO1001" s="121"/>
      <c r="AT1001" s="111"/>
      <c r="AX1001" s="121"/>
    </row>
    <row r="1002" spans="1:50" s="110" customFormat="1" ht="20" customHeight="1">
      <c r="A1002" s="125" t="s">
        <v>185</v>
      </c>
      <c r="B1002" s="126" t="s">
        <v>59</v>
      </c>
      <c r="C1002" s="127">
        <v>13780</v>
      </c>
      <c r="D1002" s="163">
        <v>106739</v>
      </c>
      <c r="E1002" s="164" t="s">
        <v>1764</v>
      </c>
      <c r="F1002" s="164" t="s">
        <v>1764</v>
      </c>
      <c r="G1002" s="165">
        <v>300</v>
      </c>
      <c r="H1002" s="165">
        <v>1</v>
      </c>
      <c r="I1002" s="164" t="s">
        <v>187</v>
      </c>
      <c r="J1002" s="164" t="s">
        <v>1765</v>
      </c>
      <c r="K1002" s="164" t="s">
        <v>1764</v>
      </c>
      <c r="L1002" s="165">
        <v>1</v>
      </c>
      <c r="M1002" s="165">
        <v>4</v>
      </c>
      <c r="N1002" s="164" t="s">
        <v>1548</v>
      </c>
      <c r="O1002" s="165">
        <v>0</v>
      </c>
      <c r="P1002" s="165">
        <v>0</v>
      </c>
      <c r="Q1002" s="165">
        <v>17</v>
      </c>
      <c r="R1002" s="164" t="s">
        <v>190</v>
      </c>
      <c r="S1002" s="164" t="s">
        <v>191</v>
      </c>
      <c r="T1002" s="165">
        <v>152</v>
      </c>
      <c r="U1002" s="164" t="s">
        <v>246</v>
      </c>
      <c r="V1002" s="164" t="s">
        <v>247</v>
      </c>
      <c r="W1002" s="165">
        <v>1</v>
      </c>
      <c r="X1002" s="165">
        <v>2</v>
      </c>
      <c r="Y1002" s="164" t="s">
        <v>194</v>
      </c>
      <c r="Z1002" s="164" t="s">
        <v>195</v>
      </c>
      <c r="AA1002" s="164" t="s">
        <v>196</v>
      </c>
      <c r="AB1002" s="164" t="s">
        <v>187</v>
      </c>
      <c r="AC1002" s="164" t="s">
        <v>187</v>
      </c>
      <c r="AD1002" s="165">
        <v>1</v>
      </c>
      <c r="AE1002" s="164" t="s">
        <v>187</v>
      </c>
      <c r="AF1002" s="165">
        <v>-4.8022099999999996</v>
      </c>
      <c r="AG1002" s="166">
        <v>139.80214000000001</v>
      </c>
      <c r="AO1002" s="121"/>
      <c r="AT1002" s="111"/>
      <c r="AX1002" s="121"/>
    </row>
    <row r="1003" spans="1:50" s="110" customFormat="1" ht="20" customHeight="1">
      <c r="A1003" s="125" t="s">
        <v>185</v>
      </c>
      <c r="B1003" s="126" t="s">
        <v>59</v>
      </c>
      <c r="C1003" s="127">
        <v>15514</v>
      </c>
      <c r="D1003" s="145">
        <v>110105</v>
      </c>
      <c r="E1003" s="146" t="s">
        <v>4422</v>
      </c>
      <c r="F1003" s="146" t="s">
        <v>4422</v>
      </c>
      <c r="G1003" s="147">
        <v>49000</v>
      </c>
      <c r="H1003" s="147">
        <v>4</v>
      </c>
      <c r="I1003" s="146" t="s">
        <v>209</v>
      </c>
      <c r="J1003" s="146" t="s">
        <v>1031</v>
      </c>
      <c r="K1003" s="146" t="s">
        <v>1032</v>
      </c>
      <c r="L1003" s="147">
        <v>3</v>
      </c>
      <c r="M1003" s="147">
        <v>4</v>
      </c>
      <c r="N1003" s="146" t="s">
        <v>1548</v>
      </c>
      <c r="O1003" s="147">
        <v>40</v>
      </c>
      <c r="P1003" s="147">
        <v>5</v>
      </c>
      <c r="Q1003" s="147">
        <v>17</v>
      </c>
      <c r="R1003" s="146" t="s">
        <v>190</v>
      </c>
      <c r="S1003" s="146" t="s">
        <v>191</v>
      </c>
      <c r="T1003" s="147">
        <v>152</v>
      </c>
      <c r="U1003" s="146" t="s">
        <v>246</v>
      </c>
      <c r="V1003" s="146" t="s">
        <v>247</v>
      </c>
      <c r="W1003" s="147">
        <v>1</v>
      </c>
      <c r="X1003" s="147">
        <v>2</v>
      </c>
      <c r="Y1003" s="146" t="s">
        <v>194</v>
      </c>
      <c r="Z1003" s="146" t="s">
        <v>195</v>
      </c>
      <c r="AA1003" s="146" t="s">
        <v>196</v>
      </c>
      <c r="AB1003" s="146" t="s">
        <v>187</v>
      </c>
      <c r="AC1003" s="146" t="s">
        <v>187</v>
      </c>
      <c r="AD1003" s="148"/>
      <c r="AE1003" s="146" t="s">
        <v>209</v>
      </c>
      <c r="AF1003" s="147">
        <v>-3.3102900000000002</v>
      </c>
      <c r="AG1003" s="149">
        <v>120.18828000000001</v>
      </c>
      <c r="AO1003" s="121"/>
      <c r="AT1003" s="111"/>
      <c r="AX1003" s="121"/>
    </row>
    <row r="1004" spans="1:50" s="110" customFormat="1" ht="20" customHeight="1">
      <c r="A1004" s="125" t="s">
        <v>483</v>
      </c>
      <c r="B1004" s="126" t="s">
        <v>55</v>
      </c>
      <c r="C1004" s="127">
        <v>12326</v>
      </c>
      <c r="D1004" s="145">
        <v>104195</v>
      </c>
      <c r="E1004" s="146" t="s">
        <v>4136</v>
      </c>
      <c r="F1004" s="146" t="s">
        <v>4136</v>
      </c>
      <c r="G1004" s="147">
        <v>25000</v>
      </c>
      <c r="H1004" s="147">
        <v>4</v>
      </c>
      <c r="I1004" s="146" t="s">
        <v>209</v>
      </c>
      <c r="J1004" s="146" t="s">
        <v>4137</v>
      </c>
      <c r="K1004" s="146" t="s">
        <v>4136</v>
      </c>
      <c r="L1004" s="147">
        <v>5</v>
      </c>
      <c r="M1004" s="147">
        <v>4</v>
      </c>
      <c r="N1004" s="146" t="s">
        <v>1548</v>
      </c>
      <c r="O1004" s="147">
        <v>10</v>
      </c>
      <c r="P1004" s="147">
        <v>5</v>
      </c>
      <c r="Q1004" s="147">
        <v>20</v>
      </c>
      <c r="R1004" s="146" t="s">
        <v>574</v>
      </c>
      <c r="S1004" s="146" t="s">
        <v>575</v>
      </c>
      <c r="T1004" s="147">
        <v>160</v>
      </c>
      <c r="U1004" s="146" t="s">
        <v>576</v>
      </c>
      <c r="V1004" s="146" t="s">
        <v>577</v>
      </c>
      <c r="W1004" s="147">
        <v>2</v>
      </c>
      <c r="X1004" s="147">
        <v>2</v>
      </c>
      <c r="Y1004" s="146" t="s">
        <v>194</v>
      </c>
      <c r="Z1004" s="146" t="s">
        <v>195</v>
      </c>
      <c r="AA1004" s="146" t="s">
        <v>196</v>
      </c>
      <c r="AB1004" s="146" t="s">
        <v>187</v>
      </c>
      <c r="AC1004" s="146" t="s">
        <v>209</v>
      </c>
      <c r="AD1004" s="148"/>
      <c r="AE1004" s="146" t="s">
        <v>209</v>
      </c>
      <c r="AF1004" s="147">
        <v>13.590310000000001</v>
      </c>
      <c r="AG1004" s="149">
        <v>107.4849</v>
      </c>
      <c r="AO1004" s="121"/>
      <c r="AT1004" s="111"/>
      <c r="AX1004" s="121"/>
    </row>
    <row r="1005" spans="1:50" s="110" customFormat="1" ht="20" customHeight="1">
      <c r="A1005" s="125" t="s">
        <v>483</v>
      </c>
      <c r="B1005" s="126" t="s">
        <v>55</v>
      </c>
      <c r="C1005" s="127">
        <v>19119</v>
      </c>
      <c r="D1005" s="128">
        <v>108368</v>
      </c>
      <c r="E1005" s="129" t="s">
        <v>2895</v>
      </c>
      <c r="F1005" s="129" t="s">
        <v>2895</v>
      </c>
      <c r="G1005" s="130">
        <v>3100</v>
      </c>
      <c r="H1005" s="130">
        <v>5</v>
      </c>
      <c r="I1005" s="129" t="s">
        <v>209</v>
      </c>
      <c r="J1005" s="129" t="s">
        <v>2002</v>
      </c>
      <c r="K1005" s="129" t="s">
        <v>2003</v>
      </c>
      <c r="L1005" s="130">
        <v>5</v>
      </c>
      <c r="M1005" s="130">
        <v>4</v>
      </c>
      <c r="N1005" s="129" t="s">
        <v>1548</v>
      </c>
      <c r="O1005" s="130">
        <v>41</v>
      </c>
      <c r="P1005" s="130">
        <v>15</v>
      </c>
      <c r="Q1005" s="130">
        <v>20</v>
      </c>
      <c r="R1005" s="129" t="s">
        <v>574</v>
      </c>
      <c r="S1005" s="129" t="s">
        <v>575</v>
      </c>
      <c r="T1005" s="130">
        <v>160</v>
      </c>
      <c r="U1005" s="129" t="s">
        <v>576</v>
      </c>
      <c r="V1005" s="129" t="s">
        <v>577</v>
      </c>
      <c r="W1005" s="130">
        <v>2</v>
      </c>
      <c r="X1005" s="130">
        <v>2</v>
      </c>
      <c r="Y1005" s="129" t="s">
        <v>194</v>
      </c>
      <c r="Z1005" s="129" t="s">
        <v>195</v>
      </c>
      <c r="AA1005" s="129" t="s">
        <v>196</v>
      </c>
      <c r="AB1005" s="129" t="s">
        <v>187</v>
      </c>
      <c r="AC1005" s="129" t="s">
        <v>209</v>
      </c>
      <c r="AD1005" s="131"/>
      <c r="AE1005" s="129" t="s">
        <v>209</v>
      </c>
      <c r="AF1005" s="130">
        <v>13.4128416626126</v>
      </c>
      <c r="AG1005" s="132">
        <v>107.54520619091301</v>
      </c>
      <c r="AO1005" s="121"/>
      <c r="AT1005" s="111"/>
      <c r="AX1005" s="121"/>
    </row>
    <row r="1006" spans="1:50" s="110" customFormat="1" ht="20" customHeight="1">
      <c r="A1006" s="125" t="s">
        <v>480</v>
      </c>
      <c r="B1006" s="126" t="s">
        <v>63</v>
      </c>
      <c r="C1006" s="127">
        <v>19118</v>
      </c>
      <c r="D1006" s="163">
        <v>103724</v>
      </c>
      <c r="E1006" s="164" t="s">
        <v>4392</v>
      </c>
      <c r="F1006" s="164" t="s">
        <v>4392</v>
      </c>
      <c r="G1006" s="165">
        <v>44000</v>
      </c>
      <c r="H1006" s="165">
        <v>1</v>
      </c>
      <c r="I1006" s="164" t="s">
        <v>187</v>
      </c>
      <c r="J1006" s="164" t="s">
        <v>4393</v>
      </c>
      <c r="K1006" s="164" t="s">
        <v>4392</v>
      </c>
      <c r="L1006" s="165">
        <v>3</v>
      </c>
      <c r="M1006" s="165">
        <v>4</v>
      </c>
      <c r="N1006" s="164" t="s">
        <v>1548</v>
      </c>
      <c r="O1006" s="165">
        <v>2</v>
      </c>
      <c r="P1006" s="165">
        <v>1.1100000000000001</v>
      </c>
      <c r="Q1006" s="165">
        <v>20</v>
      </c>
      <c r="R1006" s="164" t="s">
        <v>574</v>
      </c>
      <c r="S1006" s="164" t="s">
        <v>575</v>
      </c>
      <c r="T1006" s="165">
        <v>160</v>
      </c>
      <c r="U1006" s="164" t="s">
        <v>576</v>
      </c>
      <c r="V1006" s="164" t="s">
        <v>577</v>
      </c>
      <c r="W1006" s="165">
        <v>1</v>
      </c>
      <c r="X1006" s="165">
        <v>2</v>
      </c>
      <c r="Y1006" s="164" t="s">
        <v>194</v>
      </c>
      <c r="Z1006" s="164" t="s">
        <v>195</v>
      </c>
      <c r="AA1006" s="164" t="s">
        <v>196</v>
      </c>
      <c r="AB1006" s="164" t="s">
        <v>187</v>
      </c>
      <c r="AC1006" s="164" t="s">
        <v>187</v>
      </c>
      <c r="AD1006" s="165">
        <v>1</v>
      </c>
      <c r="AE1006" s="164" t="s">
        <v>209</v>
      </c>
      <c r="AF1006" s="165">
        <v>13.22546</v>
      </c>
      <c r="AG1006" s="166">
        <v>108.99799</v>
      </c>
      <c r="AO1006" s="121"/>
      <c r="AT1006" s="111"/>
      <c r="AX1006" s="121"/>
    </row>
    <row r="1007" spans="1:50" s="110" customFormat="1" ht="20" customHeight="1">
      <c r="A1007" s="125" t="s">
        <v>480</v>
      </c>
      <c r="B1007" s="126" t="s">
        <v>63</v>
      </c>
      <c r="C1007" s="127">
        <v>11070</v>
      </c>
      <c r="D1007" s="157">
        <v>101840</v>
      </c>
      <c r="E1007" s="158" t="s">
        <v>2993</v>
      </c>
      <c r="F1007" s="158" t="s">
        <v>2994</v>
      </c>
      <c r="G1007" s="159">
        <v>3600</v>
      </c>
      <c r="H1007" s="159">
        <v>2</v>
      </c>
      <c r="I1007" s="158" t="s">
        <v>209</v>
      </c>
      <c r="J1007" s="158" t="s">
        <v>2995</v>
      </c>
      <c r="K1007" s="158" t="s">
        <v>2993</v>
      </c>
      <c r="L1007" s="159">
        <v>1</v>
      </c>
      <c r="M1007" s="159">
        <v>4</v>
      </c>
      <c r="N1007" s="158" t="s">
        <v>1548</v>
      </c>
      <c r="O1007" s="159">
        <v>29</v>
      </c>
      <c r="P1007" s="159">
        <v>0.2</v>
      </c>
      <c r="Q1007" s="159">
        <v>20</v>
      </c>
      <c r="R1007" s="158" t="s">
        <v>574</v>
      </c>
      <c r="S1007" s="158" t="s">
        <v>575</v>
      </c>
      <c r="T1007" s="159">
        <v>160</v>
      </c>
      <c r="U1007" s="158" t="s">
        <v>576</v>
      </c>
      <c r="V1007" s="158" t="s">
        <v>577</v>
      </c>
      <c r="W1007" s="159">
        <v>1</v>
      </c>
      <c r="X1007" s="159">
        <v>2</v>
      </c>
      <c r="Y1007" s="158" t="s">
        <v>194</v>
      </c>
      <c r="Z1007" s="158" t="s">
        <v>195</v>
      </c>
      <c r="AA1007" s="158" t="s">
        <v>196</v>
      </c>
      <c r="AB1007" s="158" t="s">
        <v>187</v>
      </c>
      <c r="AC1007" s="158" t="s">
        <v>187</v>
      </c>
      <c r="AD1007" s="160"/>
      <c r="AE1007" s="158" t="s">
        <v>209</v>
      </c>
      <c r="AF1007" s="159">
        <v>11.659829999999999</v>
      </c>
      <c r="AG1007" s="161">
        <v>109.1353</v>
      </c>
      <c r="AO1007" s="121"/>
      <c r="AT1007" s="111"/>
      <c r="AX1007" s="121"/>
    </row>
    <row r="1008" spans="1:50" s="110" customFormat="1" ht="20" customHeight="1">
      <c r="A1008" s="125" t="s">
        <v>480</v>
      </c>
      <c r="B1008" s="126" t="s">
        <v>63</v>
      </c>
      <c r="C1008" s="127">
        <v>14028</v>
      </c>
      <c r="D1008" s="145">
        <v>107457</v>
      </c>
      <c r="E1008" s="146" t="s">
        <v>4482</v>
      </c>
      <c r="F1008" s="146" t="s">
        <v>4482</v>
      </c>
      <c r="G1008" s="147">
        <v>63000</v>
      </c>
      <c r="H1008" s="147">
        <v>4</v>
      </c>
      <c r="I1008" s="146" t="s">
        <v>209</v>
      </c>
      <c r="J1008" s="146" t="s">
        <v>4483</v>
      </c>
      <c r="K1008" s="146" t="s">
        <v>4482</v>
      </c>
      <c r="L1008" s="147">
        <v>3</v>
      </c>
      <c r="M1008" s="147">
        <v>4</v>
      </c>
      <c r="N1008" s="146" t="s">
        <v>1548</v>
      </c>
      <c r="O1008" s="147">
        <v>28</v>
      </c>
      <c r="P1008" s="147">
        <v>8.6199999999999992</v>
      </c>
      <c r="Q1008" s="147">
        <v>20</v>
      </c>
      <c r="R1008" s="146" t="s">
        <v>574</v>
      </c>
      <c r="S1008" s="146" t="s">
        <v>575</v>
      </c>
      <c r="T1008" s="147">
        <v>160</v>
      </c>
      <c r="U1008" s="146" t="s">
        <v>576</v>
      </c>
      <c r="V1008" s="146" t="s">
        <v>577</v>
      </c>
      <c r="W1008" s="147">
        <v>1</v>
      </c>
      <c r="X1008" s="147">
        <v>2</v>
      </c>
      <c r="Y1008" s="146" t="s">
        <v>194</v>
      </c>
      <c r="Z1008" s="146" t="s">
        <v>195</v>
      </c>
      <c r="AA1008" s="146" t="s">
        <v>196</v>
      </c>
      <c r="AB1008" s="146" t="s">
        <v>187</v>
      </c>
      <c r="AC1008" s="146" t="s">
        <v>187</v>
      </c>
      <c r="AD1008" s="148"/>
      <c r="AE1008" s="146" t="s">
        <v>209</v>
      </c>
      <c r="AF1008" s="147">
        <v>12.218360000000001</v>
      </c>
      <c r="AG1008" s="149">
        <v>108.8502</v>
      </c>
      <c r="AO1008" s="121"/>
      <c r="AT1008" s="111"/>
      <c r="AX1008" s="121"/>
    </row>
    <row r="1009" spans="1:50" s="110" customFormat="1" ht="20" customHeight="1">
      <c r="A1009" s="125" t="s">
        <v>480</v>
      </c>
      <c r="B1009" s="126" t="s">
        <v>63</v>
      </c>
      <c r="C1009" s="127">
        <v>15063</v>
      </c>
      <c r="D1009" s="145">
        <v>109512</v>
      </c>
      <c r="E1009" s="146" t="s">
        <v>4433</v>
      </c>
      <c r="F1009" s="146" t="s">
        <v>4433</v>
      </c>
      <c r="G1009" s="147">
        <v>51000</v>
      </c>
      <c r="H1009" s="147">
        <v>4</v>
      </c>
      <c r="I1009" s="146" t="s">
        <v>209</v>
      </c>
      <c r="J1009" s="146" t="s">
        <v>4434</v>
      </c>
      <c r="K1009" s="146" t="s">
        <v>4433</v>
      </c>
      <c r="L1009" s="147">
        <v>0</v>
      </c>
      <c r="M1009" s="147">
        <v>4</v>
      </c>
      <c r="N1009" s="146" t="s">
        <v>1548</v>
      </c>
      <c r="O1009" s="147">
        <v>30</v>
      </c>
      <c r="P1009" s="147">
        <v>8.6199999999999992</v>
      </c>
      <c r="Q1009" s="147">
        <v>20</v>
      </c>
      <c r="R1009" s="146" t="s">
        <v>574</v>
      </c>
      <c r="S1009" s="146" t="s">
        <v>575</v>
      </c>
      <c r="T1009" s="147">
        <v>160</v>
      </c>
      <c r="U1009" s="146" t="s">
        <v>576</v>
      </c>
      <c r="V1009" s="146" t="s">
        <v>577</v>
      </c>
      <c r="W1009" s="147">
        <v>1</v>
      </c>
      <c r="X1009" s="147">
        <v>2</v>
      </c>
      <c r="Y1009" s="146" t="s">
        <v>194</v>
      </c>
      <c r="Z1009" s="146" t="s">
        <v>195</v>
      </c>
      <c r="AA1009" s="146" t="s">
        <v>196</v>
      </c>
      <c r="AB1009" s="146" t="s">
        <v>187</v>
      </c>
      <c r="AC1009" s="146" t="s">
        <v>187</v>
      </c>
      <c r="AD1009" s="148"/>
      <c r="AE1009" s="146" t="s">
        <v>209</v>
      </c>
      <c r="AF1009" s="147">
        <v>11.30814</v>
      </c>
      <c r="AG1009" s="149">
        <v>108.30423999999999</v>
      </c>
      <c r="AO1009" s="121"/>
      <c r="AT1009" s="111"/>
      <c r="AX1009" s="121"/>
    </row>
    <row r="1010" spans="1:50" s="110" customFormat="1" ht="20" customHeight="1">
      <c r="A1010" s="125" t="s">
        <v>480</v>
      </c>
      <c r="B1010" s="126" t="s">
        <v>63</v>
      </c>
      <c r="C1010" s="127">
        <v>12326</v>
      </c>
      <c r="D1010" s="128">
        <v>104195</v>
      </c>
      <c r="E1010" s="129" t="s">
        <v>4136</v>
      </c>
      <c r="F1010" s="129" t="s">
        <v>4136</v>
      </c>
      <c r="G1010" s="130">
        <v>455000</v>
      </c>
      <c r="H1010" s="130">
        <v>5</v>
      </c>
      <c r="I1010" s="129" t="s">
        <v>209</v>
      </c>
      <c r="J1010" s="129" t="s">
        <v>4137</v>
      </c>
      <c r="K1010" s="129" t="s">
        <v>4136</v>
      </c>
      <c r="L1010" s="130">
        <v>5</v>
      </c>
      <c r="M1010" s="130">
        <v>4</v>
      </c>
      <c r="N1010" s="129" t="s">
        <v>1548</v>
      </c>
      <c r="O1010" s="130">
        <v>30</v>
      </c>
      <c r="P1010" s="130">
        <v>26.33</v>
      </c>
      <c r="Q1010" s="130">
        <v>20</v>
      </c>
      <c r="R1010" s="129" t="s">
        <v>574</v>
      </c>
      <c r="S1010" s="129" t="s">
        <v>575</v>
      </c>
      <c r="T1010" s="130">
        <v>160</v>
      </c>
      <c r="U1010" s="129" t="s">
        <v>576</v>
      </c>
      <c r="V1010" s="129" t="s">
        <v>577</v>
      </c>
      <c r="W1010" s="130">
        <v>2</v>
      </c>
      <c r="X1010" s="130">
        <v>2</v>
      </c>
      <c r="Y1010" s="129" t="s">
        <v>194</v>
      </c>
      <c r="Z1010" s="129" t="s">
        <v>195</v>
      </c>
      <c r="AA1010" s="129" t="s">
        <v>196</v>
      </c>
      <c r="AB1010" s="129" t="s">
        <v>187</v>
      </c>
      <c r="AC1010" s="129" t="s">
        <v>187</v>
      </c>
      <c r="AD1010" s="131"/>
      <c r="AE1010" s="129" t="s">
        <v>209</v>
      </c>
      <c r="AF1010" s="130">
        <v>13.815300000000001</v>
      </c>
      <c r="AG1010" s="132">
        <v>108.03255</v>
      </c>
      <c r="AO1010" s="121"/>
      <c r="AT1010" s="111"/>
      <c r="AX1010" s="121"/>
    </row>
    <row r="1011" spans="1:50" s="110" customFormat="1" ht="20" customHeight="1">
      <c r="A1011" s="125" t="s">
        <v>480</v>
      </c>
      <c r="B1011" s="126" t="s">
        <v>63</v>
      </c>
      <c r="C1011" s="127">
        <v>11375</v>
      </c>
      <c r="D1011" s="128">
        <v>102202</v>
      </c>
      <c r="E1011" s="129" t="s">
        <v>4097</v>
      </c>
      <c r="F1011" s="129" t="s">
        <v>4097</v>
      </c>
      <c r="G1011" s="130">
        <v>22000</v>
      </c>
      <c r="H1011" s="130">
        <v>5</v>
      </c>
      <c r="I1011" s="129" t="s">
        <v>209</v>
      </c>
      <c r="J1011" s="129" t="s">
        <v>4098</v>
      </c>
      <c r="K1011" s="129" t="s">
        <v>4099</v>
      </c>
      <c r="L1011" s="130">
        <v>4</v>
      </c>
      <c r="M1011" s="130">
        <v>4</v>
      </c>
      <c r="N1011" s="129" t="s">
        <v>1548</v>
      </c>
      <c r="O1011" s="130">
        <v>35</v>
      </c>
      <c r="P1011" s="130">
        <v>27.71</v>
      </c>
      <c r="Q1011" s="130">
        <v>20</v>
      </c>
      <c r="R1011" s="129" t="s">
        <v>574</v>
      </c>
      <c r="S1011" s="129" t="s">
        <v>575</v>
      </c>
      <c r="T1011" s="130">
        <v>160</v>
      </c>
      <c r="U1011" s="129" t="s">
        <v>576</v>
      </c>
      <c r="V1011" s="129" t="s">
        <v>577</v>
      </c>
      <c r="W1011" s="130">
        <v>1</v>
      </c>
      <c r="X1011" s="130">
        <v>2</v>
      </c>
      <c r="Y1011" s="129" t="s">
        <v>194</v>
      </c>
      <c r="Z1011" s="129" t="s">
        <v>195</v>
      </c>
      <c r="AA1011" s="129" t="s">
        <v>196</v>
      </c>
      <c r="AB1011" s="129" t="s">
        <v>187</v>
      </c>
      <c r="AC1011" s="129" t="s">
        <v>187</v>
      </c>
      <c r="AD1011" s="131"/>
      <c r="AE1011" s="129" t="s">
        <v>209</v>
      </c>
      <c r="AF1011" s="130">
        <v>11.679819999999999</v>
      </c>
      <c r="AG1011" s="132">
        <v>108.53856</v>
      </c>
      <c r="AO1011" s="121"/>
      <c r="AT1011" s="111"/>
      <c r="AX1011" s="121"/>
    </row>
    <row r="1012" spans="1:50" s="110" customFormat="1" ht="20" customHeight="1">
      <c r="A1012" s="125" t="s">
        <v>370</v>
      </c>
      <c r="B1012" s="126" t="s">
        <v>58</v>
      </c>
      <c r="C1012" s="127">
        <v>11343</v>
      </c>
      <c r="D1012" s="163">
        <v>102138</v>
      </c>
      <c r="E1012" s="164" t="s">
        <v>3588</v>
      </c>
      <c r="F1012" s="164" t="s">
        <v>3588</v>
      </c>
      <c r="G1012" s="165">
        <v>9500</v>
      </c>
      <c r="H1012" s="165">
        <v>1</v>
      </c>
      <c r="I1012" s="164" t="s">
        <v>187</v>
      </c>
      <c r="J1012" s="164" t="s">
        <v>3589</v>
      </c>
      <c r="K1012" s="164" t="s">
        <v>3590</v>
      </c>
      <c r="L1012" s="165">
        <v>4</v>
      </c>
      <c r="M1012" s="165">
        <v>4</v>
      </c>
      <c r="N1012" s="164" t="s">
        <v>1548</v>
      </c>
      <c r="O1012" s="165">
        <v>0</v>
      </c>
      <c r="P1012" s="165">
        <v>0</v>
      </c>
      <c r="Q1012" s="165">
        <v>11</v>
      </c>
      <c r="R1012" s="164" t="s">
        <v>740</v>
      </c>
      <c r="S1012" s="164" t="s">
        <v>741</v>
      </c>
      <c r="T1012" s="165">
        <v>161</v>
      </c>
      <c r="U1012" s="164" t="s">
        <v>2134</v>
      </c>
      <c r="V1012" s="164" t="s">
        <v>2135</v>
      </c>
      <c r="W1012" s="165">
        <v>6</v>
      </c>
      <c r="X1012" s="165">
        <v>2</v>
      </c>
      <c r="Y1012" s="164" t="s">
        <v>194</v>
      </c>
      <c r="Z1012" s="164" t="s">
        <v>195</v>
      </c>
      <c r="AA1012" s="164" t="s">
        <v>196</v>
      </c>
      <c r="AB1012" s="164" t="s">
        <v>187</v>
      </c>
      <c r="AC1012" s="164" t="s">
        <v>209</v>
      </c>
      <c r="AD1012" s="165">
        <v>1</v>
      </c>
      <c r="AE1012" s="164" t="s">
        <v>187</v>
      </c>
      <c r="AF1012" s="165">
        <v>4.8464900000000002</v>
      </c>
      <c r="AG1012" s="166">
        <v>114.871583</v>
      </c>
      <c r="AO1012" s="121"/>
      <c r="AT1012" s="111"/>
      <c r="AX1012" s="121"/>
    </row>
    <row r="1013" spans="1:50" s="110" customFormat="1" ht="20" customHeight="1">
      <c r="A1013" s="125" t="s">
        <v>370</v>
      </c>
      <c r="B1013" s="126" t="s">
        <v>58</v>
      </c>
      <c r="C1013" s="127">
        <v>11344</v>
      </c>
      <c r="D1013" s="145">
        <v>102140</v>
      </c>
      <c r="E1013" s="146" t="s">
        <v>3229</v>
      </c>
      <c r="F1013" s="146" t="s">
        <v>3229</v>
      </c>
      <c r="G1013" s="147">
        <v>15000</v>
      </c>
      <c r="H1013" s="147">
        <v>4</v>
      </c>
      <c r="I1013" s="146" t="s">
        <v>209</v>
      </c>
      <c r="J1013" s="146" t="s">
        <v>3230</v>
      </c>
      <c r="K1013" s="146" t="s">
        <v>3231</v>
      </c>
      <c r="L1013" s="147">
        <v>5</v>
      </c>
      <c r="M1013" s="147">
        <v>4</v>
      </c>
      <c r="N1013" s="146" t="s">
        <v>1548</v>
      </c>
      <c r="O1013" s="147">
        <v>12</v>
      </c>
      <c r="P1013" s="147">
        <v>10</v>
      </c>
      <c r="Q1013" s="147">
        <v>11</v>
      </c>
      <c r="R1013" s="146" t="s">
        <v>740</v>
      </c>
      <c r="S1013" s="146" t="s">
        <v>741</v>
      </c>
      <c r="T1013" s="147">
        <v>161</v>
      </c>
      <c r="U1013" s="146" t="s">
        <v>2134</v>
      </c>
      <c r="V1013" s="146" t="s">
        <v>2135</v>
      </c>
      <c r="W1013" s="147">
        <v>18</v>
      </c>
      <c r="X1013" s="147">
        <v>2</v>
      </c>
      <c r="Y1013" s="146" t="s">
        <v>194</v>
      </c>
      <c r="Z1013" s="146" t="s">
        <v>195</v>
      </c>
      <c r="AA1013" s="146" t="s">
        <v>196</v>
      </c>
      <c r="AB1013" s="146" t="s">
        <v>187</v>
      </c>
      <c r="AC1013" s="146" t="s">
        <v>209</v>
      </c>
      <c r="AD1013" s="148"/>
      <c r="AE1013" s="146" t="s">
        <v>209</v>
      </c>
      <c r="AF1013" s="147">
        <v>4.9584400000000004</v>
      </c>
      <c r="AG1013" s="149">
        <v>114.97374000000001</v>
      </c>
      <c r="AO1013" s="121"/>
      <c r="AT1013" s="111"/>
      <c r="AX1013" s="121"/>
    </row>
    <row r="1014" spans="1:50" s="110" customFormat="1" ht="20" customHeight="1">
      <c r="A1014" s="125" t="s">
        <v>370</v>
      </c>
      <c r="B1014" s="126" t="s">
        <v>58</v>
      </c>
      <c r="C1014" s="127">
        <v>18478</v>
      </c>
      <c r="D1014" s="145">
        <v>114085</v>
      </c>
      <c r="E1014" s="146" t="s">
        <v>3500</v>
      </c>
      <c r="F1014" s="146" t="s">
        <v>3500</v>
      </c>
      <c r="G1014" s="147">
        <v>8300</v>
      </c>
      <c r="H1014" s="147">
        <v>4</v>
      </c>
      <c r="I1014" s="146" t="s">
        <v>209</v>
      </c>
      <c r="J1014" s="146" t="s">
        <v>3501</v>
      </c>
      <c r="K1014" s="146" t="s">
        <v>3502</v>
      </c>
      <c r="L1014" s="147">
        <v>5</v>
      </c>
      <c r="M1014" s="147">
        <v>4</v>
      </c>
      <c r="N1014" s="146" t="s">
        <v>1548</v>
      </c>
      <c r="O1014" s="147">
        <v>8</v>
      </c>
      <c r="P1014" s="147">
        <v>7</v>
      </c>
      <c r="Q1014" s="147">
        <v>11</v>
      </c>
      <c r="R1014" s="146" t="s">
        <v>740</v>
      </c>
      <c r="S1014" s="146" t="s">
        <v>741</v>
      </c>
      <c r="T1014" s="147">
        <v>161</v>
      </c>
      <c r="U1014" s="146" t="s">
        <v>2134</v>
      </c>
      <c r="V1014" s="146" t="s">
        <v>2135</v>
      </c>
      <c r="W1014" s="147">
        <v>6</v>
      </c>
      <c r="X1014" s="147">
        <v>2</v>
      </c>
      <c r="Y1014" s="146" t="s">
        <v>194</v>
      </c>
      <c r="Z1014" s="146" t="s">
        <v>195</v>
      </c>
      <c r="AA1014" s="146" t="s">
        <v>196</v>
      </c>
      <c r="AB1014" s="146" t="s">
        <v>187</v>
      </c>
      <c r="AC1014" s="146" t="s">
        <v>209</v>
      </c>
      <c r="AD1014" s="148"/>
      <c r="AE1014" s="146" t="s">
        <v>209</v>
      </c>
      <c r="AF1014" s="147">
        <v>4.5860000000000003</v>
      </c>
      <c r="AG1014" s="149">
        <v>114.681</v>
      </c>
      <c r="AO1014" s="121"/>
      <c r="AT1014" s="111"/>
      <c r="AX1014" s="121"/>
    </row>
    <row r="1015" spans="1:50" s="110" customFormat="1" ht="20" customHeight="1">
      <c r="A1015" s="125" t="s">
        <v>370</v>
      </c>
      <c r="B1015" s="126" t="s">
        <v>58</v>
      </c>
      <c r="C1015" s="127">
        <v>12057</v>
      </c>
      <c r="D1015" s="128">
        <v>103701</v>
      </c>
      <c r="E1015" s="129" t="s">
        <v>3433</v>
      </c>
      <c r="F1015" s="129" t="s">
        <v>3433</v>
      </c>
      <c r="G1015" s="130">
        <v>7500</v>
      </c>
      <c r="H1015" s="130">
        <v>5</v>
      </c>
      <c r="I1015" s="129" t="s">
        <v>209</v>
      </c>
      <c r="J1015" s="129" t="s">
        <v>2606</v>
      </c>
      <c r="K1015" s="129" t="s">
        <v>2607</v>
      </c>
      <c r="L1015" s="130">
        <v>5</v>
      </c>
      <c r="M1015" s="130">
        <v>4</v>
      </c>
      <c r="N1015" s="129" t="s">
        <v>1548</v>
      </c>
      <c r="O1015" s="130">
        <v>15</v>
      </c>
      <c r="P1015" s="130">
        <v>12</v>
      </c>
      <c r="Q1015" s="130">
        <v>11</v>
      </c>
      <c r="R1015" s="129" t="s">
        <v>740</v>
      </c>
      <c r="S1015" s="129" t="s">
        <v>741</v>
      </c>
      <c r="T1015" s="130">
        <v>161</v>
      </c>
      <c r="U1015" s="129" t="s">
        <v>2134</v>
      </c>
      <c r="V1015" s="129" t="s">
        <v>2135</v>
      </c>
      <c r="W1015" s="130">
        <v>36</v>
      </c>
      <c r="X1015" s="130">
        <v>2</v>
      </c>
      <c r="Y1015" s="129" t="s">
        <v>194</v>
      </c>
      <c r="Z1015" s="129" t="s">
        <v>195</v>
      </c>
      <c r="AA1015" s="129" t="s">
        <v>196</v>
      </c>
      <c r="AB1015" s="129" t="s">
        <v>187</v>
      </c>
      <c r="AC1015" s="129" t="s">
        <v>209</v>
      </c>
      <c r="AD1015" s="131"/>
      <c r="AE1015" s="129" t="s">
        <v>209</v>
      </c>
      <c r="AF1015" s="130">
        <v>4.9893000000000001</v>
      </c>
      <c r="AG1015" s="132">
        <v>114.95041999999999</v>
      </c>
      <c r="AO1015" s="121"/>
      <c r="AT1015" s="111"/>
      <c r="AX1015" s="121"/>
    </row>
    <row r="1016" spans="1:50" s="110" customFormat="1" ht="20" customHeight="1">
      <c r="A1016" s="125" t="s">
        <v>483</v>
      </c>
      <c r="B1016" s="126" t="s">
        <v>55</v>
      </c>
      <c r="C1016" s="127">
        <v>12055</v>
      </c>
      <c r="D1016" s="163">
        <v>103699</v>
      </c>
      <c r="E1016" s="164" t="s">
        <v>4725</v>
      </c>
      <c r="F1016" s="164" t="s">
        <v>4725</v>
      </c>
      <c r="G1016" s="165">
        <v>190000</v>
      </c>
      <c r="H1016" s="165">
        <v>1</v>
      </c>
      <c r="I1016" s="164" t="s">
        <v>187</v>
      </c>
      <c r="J1016" s="164" t="s">
        <v>3230</v>
      </c>
      <c r="K1016" s="164" t="s">
        <v>3231</v>
      </c>
      <c r="L1016" s="165">
        <v>5</v>
      </c>
      <c r="M1016" s="165">
        <v>4</v>
      </c>
      <c r="N1016" s="164" t="s">
        <v>1548</v>
      </c>
      <c r="O1016" s="165">
        <v>1.399</v>
      </c>
      <c r="P1016" s="165">
        <v>0.4</v>
      </c>
      <c r="Q1016" s="165">
        <v>11</v>
      </c>
      <c r="R1016" s="164" t="s">
        <v>740</v>
      </c>
      <c r="S1016" s="164" t="s">
        <v>741</v>
      </c>
      <c r="T1016" s="165">
        <v>161</v>
      </c>
      <c r="U1016" s="164" t="s">
        <v>2134</v>
      </c>
      <c r="V1016" s="164" t="s">
        <v>2135</v>
      </c>
      <c r="W1016" s="165">
        <v>3</v>
      </c>
      <c r="X1016" s="165">
        <v>2</v>
      </c>
      <c r="Y1016" s="164" t="s">
        <v>194</v>
      </c>
      <c r="Z1016" s="164" t="s">
        <v>195</v>
      </c>
      <c r="AA1016" s="164" t="s">
        <v>196</v>
      </c>
      <c r="AB1016" s="164" t="s">
        <v>187</v>
      </c>
      <c r="AC1016" s="164" t="s">
        <v>209</v>
      </c>
      <c r="AD1016" s="165">
        <v>4</v>
      </c>
      <c r="AE1016" s="164" t="s">
        <v>209</v>
      </c>
      <c r="AF1016" s="165">
        <v>11.516577</v>
      </c>
      <c r="AG1016" s="166">
        <v>104.896755</v>
      </c>
      <c r="AO1016" s="121"/>
      <c r="AT1016" s="111"/>
      <c r="AX1016" s="121"/>
    </row>
    <row r="1017" spans="1:50" s="110" customFormat="1" ht="20" customHeight="1">
      <c r="A1017" s="125" t="s">
        <v>483</v>
      </c>
      <c r="B1017" s="126" t="s">
        <v>55</v>
      </c>
      <c r="C1017" s="127">
        <v>12053</v>
      </c>
      <c r="D1017" s="163">
        <v>103690</v>
      </c>
      <c r="E1017" s="164" t="s">
        <v>3497</v>
      </c>
      <c r="F1017" s="164" t="s">
        <v>3497</v>
      </c>
      <c r="G1017" s="165">
        <v>14000</v>
      </c>
      <c r="H1017" s="165">
        <v>1</v>
      </c>
      <c r="I1017" s="164" t="s">
        <v>187</v>
      </c>
      <c r="J1017" s="164" t="s">
        <v>3230</v>
      </c>
      <c r="K1017" s="164" t="s">
        <v>3231</v>
      </c>
      <c r="L1017" s="165">
        <v>5</v>
      </c>
      <c r="M1017" s="165">
        <v>4</v>
      </c>
      <c r="N1017" s="164" t="s">
        <v>1548</v>
      </c>
      <c r="O1017" s="165">
        <v>1</v>
      </c>
      <c r="P1017" s="165">
        <v>0.4</v>
      </c>
      <c r="Q1017" s="165">
        <v>11</v>
      </c>
      <c r="R1017" s="164" t="s">
        <v>740</v>
      </c>
      <c r="S1017" s="164" t="s">
        <v>741</v>
      </c>
      <c r="T1017" s="165">
        <v>161</v>
      </c>
      <c r="U1017" s="164" t="s">
        <v>2134</v>
      </c>
      <c r="V1017" s="164" t="s">
        <v>2135</v>
      </c>
      <c r="W1017" s="165">
        <v>5</v>
      </c>
      <c r="X1017" s="165">
        <v>2</v>
      </c>
      <c r="Y1017" s="164" t="s">
        <v>194</v>
      </c>
      <c r="Z1017" s="164" t="s">
        <v>195</v>
      </c>
      <c r="AA1017" s="164" t="s">
        <v>196</v>
      </c>
      <c r="AB1017" s="164" t="s">
        <v>187</v>
      </c>
      <c r="AC1017" s="164" t="s">
        <v>209</v>
      </c>
      <c r="AD1017" s="165">
        <v>1</v>
      </c>
      <c r="AE1017" s="164" t="s">
        <v>209</v>
      </c>
      <c r="AF1017" s="165">
        <v>11.630483</v>
      </c>
      <c r="AG1017" s="166">
        <v>104.846028</v>
      </c>
      <c r="AO1017" s="121"/>
      <c r="AT1017" s="111"/>
      <c r="AX1017" s="121"/>
    </row>
    <row r="1018" spans="1:50" s="110" customFormat="1" ht="20" customHeight="1">
      <c r="A1018" s="125" t="s">
        <v>483</v>
      </c>
      <c r="B1018" s="126" t="s">
        <v>55</v>
      </c>
      <c r="C1018" s="127">
        <v>12057</v>
      </c>
      <c r="D1018" s="163">
        <v>103701</v>
      </c>
      <c r="E1018" s="164" t="s">
        <v>3433</v>
      </c>
      <c r="F1018" s="164" t="s">
        <v>3433</v>
      </c>
      <c r="G1018" s="165">
        <v>11000</v>
      </c>
      <c r="H1018" s="165">
        <v>1</v>
      </c>
      <c r="I1018" s="164" t="s">
        <v>187</v>
      </c>
      <c r="J1018" s="164" t="s">
        <v>2606</v>
      </c>
      <c r="K1018" s="164" t="s">
        <v>2607</v>
      </c>
      <c r="L1018" s="165">
        <v>5</v>
      </c>
      <c r="M1018" s="165">
        <v>4</v>
      </c>
      <c r="N1018" s="164" t="s">
        <v>1548</v>
      </c>
      <c r="O1018" s="165">
        <v>1</v>
      </c>
      <c r="P1018" s="165">
        <v>0.4</v>
      </c>
      <c r="Q1018" s="165">
        <v>11</v>
      </c>
      <c r="R1018" s="164" t="s">
        <v>740</v>
      </c>
      <c r="S1018" s="164" t="s">
        <v>741</v>
      </c>
      <c r="T1018" s="165">
        <v>161</v>
      </c>
      <c r="U1018" s="164" t="s">
        <v>2134</v>
      </c>
      <c r="V1018" s="164" t="s">
        <v>2135</v>
      </c>
      <c r="W1018" s="165">
        <v>36</v>
      </c>
      <c r="X1018" s="165">
        <v>2</v>
      </c>
      <c r="Y1018" s="164" t="s">
        <v>194</v>
      </c>
      <c r="Z1018" s="164" t="s">
        <v>195</v>
      </c>
      <c r="AA1018" s="164" t="s">
        <v>196</v>
      </c>
      <c r="AB1018" s="164" t="s">
        <v>187</v>
      </c>
      <c r="AC1018" s="164" t="s">
        <v>209</v>
      </c>
      <c r="AD1018" s="165">
        <v>1</v>
      </c>
      <c r="AE1018" s="164" t="s">
        <v>209</v>
      </c>
      <c r="AF1018" s="165">
        <v>11.628353000000001</v>
      </c>
      <c r="AG1018" s="166">
        <v>104.759338</v>
      </c>
      <c r="AO1018" s="121"/>
      <c r="AT1018" s="111"/>
      <c r="AX1018" s="121"/>
    </row>
    <row r="1019" spans="1:50" s="110" customFormat="1" ht="20" customHeight="1">
      <c r="A1019" s="125" t="s">
        <v>483</v>
      </c>
      <c r="B1019" s="126" t="s">
        <v>55</v>
      </c>
      <c r="C1019" s="127">
        <v>12054</v>
      </c>
      <c r="D1019" s="163">
        <v>103691</v>
      </c>
      <c r="E1019" s="164" t="s">
        <v>2157</v>
      </c>
      <c r="F1019" s="164" t="s">
        <v>2157</v>
      </c>
      <c r="G1019" s="165">
        <v>8400</v>
      </c>
      <c r="H1019" s="165">
        <v>1</v>
      </c>
      <c r="I1019" s="164" t="s">
        <v>187</v>
      </c>
      <c r="J1019" s="164" t="s">
        <v>2158</v>
      </c>
      <c r="K1019" s="164" t="s">
        <v>2159</v>
      </c>
      <c r="L1019" s="165">
        <v>5</v>
      </c>
      <c r="M1019" s="165">
        <v>4</v>
      </c>
      <c r="N1019" s="164" t="s">
        <v>1548</v>
      </c>
      <c r="O1019" s="165">
        <v>1.2</v>
      </c>
      <c r="P1019" s="165">
        <v>0.55000000000000004</v>
      </c>
      <c r="Q1019" s="165">
        <v>11</v>
      </c>
      <c r="R1019" s="164" t="s">
        <v>740</v>
      </c>
      <c r="S1019" s="164" t="s">
        <v>741</v>
      </c>
      <c r="T1019" s="165">
        <v>161</v>
      </c>
      <c r="U1019" s="164" t="s">
        <v>2134</v>
      </c>
      <c r="V1019" s="164" t="s">
        <v>2135</v>
      </c>
      <c r="W1019" s="165">
        <v>22</v>
      </c>
      <c r="X1019" s="165">
        <v>2</v>
      </c>
      <c r="Y1019" s="164" t="s">
        <v>194</v>
      </c>
      <c r="Z1019" s="164" t="s">
        <v>195</v>
      </c>
      <c r="AA1019" s="164" t="s">
        <v>196</v>
      </c>
      <c r="AB1019" s="164" t="s">
        <v>187</v>
      </c>
      <c r="AC1019" s="164" t="s">
        <v>209</v>
      </c>
      <c r="AD1019" s="165">
        <v>1</v>
      </c>
      <c r="AE1019" s="164" t="s">
        <v>209</v>
      </c>
      <c r="AF1019" s="165">
        <v>11.582805</v>
      </c>
      <c r="AG1019" s="166">
        <v>104.782608</v>
      </c>
      <c r="AO1019" s="121"/>
      <c r="AT1019" s="111"/>
      <c r="AX1019" s="121"/>
    </row>
    <row r="1020" spans="1:50" s="110" customFormat="1" ht="20" customHeight="1">
      <c r="A1020" s="125" t="s">
        <v>483</v>
      </c>
      <c r="B1020" s="126" t="s">
        <v>55</v>
      </c>
      <c r="C1020" s="127">
        <v>11344</v>
      </c>
      <c r="D1020" s="163">
        <v>102140</v>
      </c>
      <c r="E1020" s="164" t="s">
        <v>3229</v>
      </c>
      <c r="F1020" s="164" t="s">
        <v>3229</v>
      </c>
      <c r="G1020" s="165">
        <v>5300</v>
      </c>
      <c r="H1020" s="165">
        <v>1</v>
      </c>
      <c r="I1020" s="164" t="s">
        <v>187</v>
      </c>
      <c r="J1020" s="164" t="s">
        <v>3230</v>
      </c>
      <c r="K1020" s="164" t="s">
        <v>3231</v>
      </c>
      <c r="L1020" s="165">
        <v>5</v>
      </c>
      <c r="M1020" s="165">
        <v>4</v>
      </c>
      <c r="N1020" s="164" t="s">
        <v>1548</v>
      </c>
      <c r="O1020" s="165">
        <v>1.2</v>
      </c>
      <c r="P1020" s="165">
        <v>0.55000000000000004</v>
      </c>
      <c r="Q1020" s="165">
        <v>11</v>
      </c>
      <c r="R1020" s="164" t="s">
        <v>740</v>
      </c>
      <c r="S1020" s="164" t="s">
        <v>741</v>
      </c>
      <c r="T1020" s="165">
        <v>161</v>
      </c>
      <c r="U1020" s="164" t="s">
        <v>2134</v>
      </c>
      <c r="V1020" s="164" t="s">
        <v>2135</v>
      </c>
      <c r="W1020" s="165">
        <v>18</v>
      </c>
      <c r="X1020" s="165">
        <v>2</v>
      </c>
      <c r="Y1020" s="164" t="s">
        <v>194</v>
      </c>
      <c r="Z1020" s="164" t="s">
        <v>195</v>
      </c>
      <c r="AA1020" s="164" t="s">
        <v>196</v>
      </c>
      <c r="AB1020" s="164" t="s">
        <v>187</v>
      </c>
      <c r="AC1020" s="164" t="s">
        <v>209</v>
      </c>
      <c r="AD1020" s="165">
        <v>1</v>
      </c>
      <c r="AE1020" s="164" t="s">
        <v>209</v>
      </c>
      <c r="AF1020" s="165">
        <v>11.531048</v>
      </c>
      <c r="AG1020" s="166">
        <v>104.835461</v>
      </c>
      <c r="AO1020" s="121"/>
      <c r="AT1020" s="111"/>
      <c r="AX1020" s="121"/>
    </row>
    <row r="1021" spans="1:50" s="110" customFormat="1" ht="20" customHeight="1">
      <c r="A1021" s="125" t="s">
        <v>483</v>
      </c>
      <c r="B1021" s="126" t="s">
        <v>55</v>
      </c>
      <c r="C1021" s="127">
        <v>12051</v>
      </c>
      <c r="D1021" s="163">
        <v>103686</v>
      </c>
      <c r="E1021" s="164" t="s">
        <v>2389</v>
      </c>
      <c r="F1021" s="164" t="s">
        <v>2389</v>
      </c>
      <c r="G1021" s="165">
        <v>2100</v>
      </c>
      <c r="H1021" s="165">
        <v>1</v>
      </c>
      <c r="I1021" s="164" t="s">
        <v>187</v>
      </c>
      <c r="J1021" s="164" t="s">
        <v>738</v>
      </c>
      <c r="K1021" s="164" t="s">
        <v>739</v>
      </c>
      <c r="L1021" s="165">
        <v>5</v>
      </c>
      <c r="M1021" s="165">
        <v>4</v>
      </c>
      <c r="N1021" s="164" t="s">
        <v>1548</v>
      </c>
      <c r="O1021" s="165">
        <v>1</v>
      </c>
      <c r="P1021" s="165">
        <v>0.4</v>
      </c>
      <c r="Q1021" s="165">
        <v>11</v>
      </c>
      <c r="R1021" s="164" t="s">
        <v>740</v>
      </c>
      <c r="S1021" s="164" t="s">
        <v>741</v>
      </c>
      <c r="T1021" s="165">
        <v>161</v>
      </c>
      <c r="U1021" s="164" t="s">
        <v>2134</v>
      </c>
      <c r="V1021" s="164" t="s">
        <v>2135</v>
      </c>
      <c r="W1021" s="165">
        <v>55</v>
      </c>
      <c r="X1021" s="165">
        <v>2</v>
      </c>
      <c r="Y1021" s="164" t="s">
        <v>194</v>
      </c>
      <c r="Z1021" s="164" t="s">
        <v>195</v>
      </c>
      <c r="AA1021" s="164" t="s">
        <v>196</v>
      </c>
      <c r="AB1021" s="164" t="s">
        <v>187</v>
      </c>
      <c r="AC1021" s="164" t="s">
        <v>209</v>
      </c>
      <c r="AD1021" s="165">
        <v>1</v>
      </c>
      <c r="AE1021" s="164" t="s">
        <v>209</v>
      </c>
      <c r="AF1021" s="165">
        <v>11.545303000000001</v>
      </c>
      <c r="AG1021" s="166">
        <v>104.917244</v>
      </c>
      <c r="AO1021" s="121"/>
      <c r="AT1021" s="111"/>
      <c r="AX1021" s="121"/>
    </row>
    <row r="1022" spans="1:50" s="110" customFormat="1" ht="20" customHeight="1">
      <c r="A1022" s="125" t="s">
        <v>185</v>
      </c>
      <c r="B1022" s="126" t="s">
        <v>59</v>
      </c>
      <c r="C1022" s="127">
        <v>19629</v>
      </c>
      <c r="D1022" s="157">
        <v>114956</v>
      </c>
      <c r="E1022" s="158" t="s">
        <v>4331</v>
      </c>
      <c r="F1022" s="158" t="s">
        <v>4331</v>
      </c>
      <c r="G1022" s="159">
        <v>37000</v>
      </c>
      <c r="H1022" s="159">
        <v>2</v>
      </c>
      <c r="I1022" s="158" t="s">
        <v>209</v>
      </c>
      <c r="J1022" s="158" t="s">
        <v>4332</v>
      </c>
      <c r="K1022" s="158" t="s">
        <v>4333</v>
      </c>
      <c r="L1022" s="159">
        <v>0</v>
      </c>
      <c r="M1022" s="159">
        <v>4</v>
      </c>
      <c r="N1022" s="158" t="s">
        <v>1548</v>
      </c>
      <c r="O1022" s="159">
        <v>35</v>
      </c>
      <c r="P1022" s="159">
        <v>1</v>
      </c>
      <c r="Q1022" s="159">
        <v>11</v>
      </c>
      <c r="R1022" s="158" t="s">
        <v>740</v>
      </c>
      <c r="S1022" s="158" t="s">
        <v>741</v>
      </c>
      <c r="T1022" s="159">
        <v>161</v>
      </c>
      <c r="U1022" s="158" t="s">
        <v>2134</v>
      </c>
      <c r="V1022" s="158" t="s">
        <v>2135</v>
      </c>
      <c r="W1022" s="159">
        <v>1</v>
      </c>
      <c r="X1022" s="159">
        <v>2</v>
      </c>
      <c r="Y1022" s="158" t="s">
        <v>194</v>
      </c>
      <c r="Z1022" s="158" t="s">
        <v>195</v>
      </c>
      <c r="AA1022" s="158" t="s">
        <v>196</v>
      </c>
      <c r="AB1022" s="158" t="s">
        <v>187</v>
      </c>
      <c r="AC1022" s="158" t="s">
        <v>187</v>
      </c>
      <c r="AD1022" s="160"/>
      <c r="AE1022" s="158" t="s">
        <v>209</v>
      </c>
      <c r="AF1022" s="159">
        <v>-7.9820000000000002</v>
      </c>
      <c r="AG1022" s="161">
        <v>112.61857000000001</v>
      </c>
      <c r="AO1022" s="121"/>
      <c r="AT1022" s="111"/>
      <c r="AX1022" s="121"/>
    </row>
    <row r="1023" spans="1:50" s="110" customFormat="1" ht="20" customHeight="1">
      <c r="A1023" s="125" t="s">
        <v>185</v>
      </c>
      <c r="B1023" s="126" t="s">
        <v>59</v>
      </c>
      <c r="C1023" s="127">
        <v>11344</v>
      </c>
      <c r="D1023" s="145">
        <v>102140</v>
      </c>
      <c r="E1023" s="146" t="s">
        <v>3229</v>
      </c>
      <c r="F1023" s="146" t="s">
        <v>3229</v>
      </c>
      <c r="G1023" s="147">
        <v>1012000</v>
      </c>
      <c r="H1023" s="147">
        <v>4</v>
      </c>
      <c r="I1023" s="146" t="s">
        <v>209</v>
      </c>
      <c r="J1023" s="146" t="s">
        <v>3230</v>
      </c>
      <c r="K1023" s="146" t="s">
        <v>3231</v>
      </c>
      <c r="L1023" s="147">
        <v>5</v>
      </c>
      <c r="M1023" s="147">
        <v>4</v>
      </c>
      <c r="N1023" s="146" t="s">
        <v>1548</v>
      </c>
      <c r="O1023" s="147">
        <v>35</v>
      </c>
      <c r="P1023" s="147">
        <v>5</v>
      </c>
      <c r="Q1023" s="147">
        <v>11</v>
      </c>
      <c r="R1023" s="146" t="s">
        <v>740</v>
      </c>
      <c r="S1023" s="146" t="s">
        <v>741</v>
      </c>
      <c r="T1023" s="147">
        <v>161</v>
      </c>
      <c r="U1023" s="146" t="s">
        <v>2134</v>
      </c>
      <c r="V1023" s="146" t="s">
        <v>2135</v>
      </c>
      <c r="W1023" s="147">
        <v>18</v>
      </c>
      <c r="X1023" s="147">
        <v>2</v>
      </c>
      <c r="Y1023" s="146" t="s">
        <v>194</v>
      </c>
      <c r="Z1023" s="146" t="s">
        <v>195</v>
      </c>
      <c r="AA1023" s="146" t="s">
        <v>196</v>
      </c>
      <c r="AB1023" s="146" t="s">
        <v>187</v>
      </c>
      <c r="AC1023" s="146" t="s">
        <v>209</v>
      </c>
      <c r="AD1023" s="148"/>
      <c r="AE1023" s="146" t="s">
        <v>209</v>
      </c>
      <c r="AF1023" s="147">
        <v>-6.2943100000000003</v>
      </c>
      <c r="AG1023" s="149">
        <v>106.84255</v>
      </c>
      <c r="AO1023" s="121"/>
      <c r="AT1023" s="111"/>
      <c r="AX1023" s="121"/>
    </row>
    <row r="1024" spans="1:50" s="110" customFormat="1" ht="20" customHeight="1">
      <c r="A1024" s="125" t="s">
        <v>237</v>
      </c>
      <c r="B1024" s="126" t="s">
        <v>60</v>
      </c>
      <c r="C1024" s="127">
        <v>18484</v>
      </c>
      <c r="D1024" s="163">
        <v>114092</v>
      </c>
      <c r="E1024" s="164" t="s">
        <v>4488</v>
      </c>
      <c r="F1024" s="164" t="s">
        <v>4488</v>
      </c>
      <c r="G1024" s="165">
        <v>66000</v>
      </c>
      <c r="H1024" s="165">
        <v>1</v>
      </c>
      <c r="I1024" s="164" t="s">
        <v>187</v>
      </c>
      <c r="J1024" s="164" t="s">
        <v>4489</v>
      </c>
      <c r="K1024" s="164" t="s">
        <v>4490</v>
      </c>
      <c r="L1024" s="165">
        <v>3</v>
      </c>
      <c r="M1024" s="165">
        <v>4</v>
      </c>
      <c r="N1024" s="164" t="s">
        <v>1548</v>
      </c>
      <c r="O1024" s="165">
        <v>5</v>
      </c>
      <c r="P1024" s="165">
        <v>1</v>
      </c>
      <c r="Q1024" s="165">
        <v>11</v>
      </c>
      <c r="R1024" s="164" t="s">
        <v>740</v>
      </c>
      <c r="S1024" s="164" t="s">
        <v>741</v>
      </c>
      <c r="T1024" s="165">
        <v>161</v>
      </c>
      <c r="U1024" s="164" t="s">
        <v>2134</v>
      </c>
      <c r="V1024" s="164" t="s">
        <v>2135</v>
      </c>
      <c r="W1024" s="165">
        <v>3</v>
      </c>
      <c r="X1024" s="165">
        <v>2</v>
      </c>
      <c r="Y1024" s="164" t="s">
        <v>194</v>
      </c>
      <c r="Z1024" s="164" t="s">
        <v>195</v>
      </c>
      <c r="AA1024" s="164" t="s">
        <v>196</v>
      </c>
      <c r="AB1024" s="164" t="s">
        <v>187</v>
      </c>
      <c r="AC1024" s="164" t="s">
        <v>209</v>
      </c>
      <c r="AD1024" s="165">
        <v>1</v>
      </c>
      <c r="AE1024" s="164" t="s">
        <v>209</v>
      </c>
      <c r="AF1024" s="165">
        <v>3.079726</v>
      </c>
      <c r="AG1024" s="166">
        <v>101.67594099999999</v>
      </c>
      <c r="AO1024" s="121"/>
      <c r="AT1024" s="111"/>
      <c r="AX1024" s="121"/>
    </row>
    <row r="1025" spans="1:50" s="110" customFormat="1" ht="20" customHeight="1">
      <c r="A1025" s="125" t="s">
        <v>237</v>
      </c>
      <c r="B1025" s="126" t="s">
        <v>60</v>
      </c>
      <c r="C1025" s="127">
        <v>18478</v>
      </c>
      <c r="D1025" s="157">
        <v>114085</v>
      </c>
      <c r="E1025" s="158" t="s">
        <v>3500</v>
      </c>
      <c r="F1025" s="158" t="s">
        <v>3500</v>
      </c>
      <c r="G1025" s="159">
        <v>265000</v>
      </c>
      <c r="H1025" s="159">
        <v>2</v>
      </c>
      <c r="I1025" s="158" t="s">
        <v>209</v>
      </c>
      <c r="J1025" s="158" t="s">
        <v>3501</v>
      </c>
      <c r="K1025" s="158" t="s">
        <v>3502</v>
      </c>
      <c r="L1025" s="159">
        <v>5</v>
      </c>
      <c r="M1025" s="159">
        <v>4</v>
      </c>
      <c r="N1025" s="158" t="s">
        <v>1548</v>
      </c>
      <c r="O1025" s="159">
        <v>6</v>
      </c>
      <c r="P1025" s="159">
        <v>2</v>
      </c>
      <c r="Q1025" s="159">
        <v>11</v>
      </c>
      <c r="R1025" s="158" t="s">
        <v>740</v>
      </c>
      <c r="S1025" s="158" t="s">
        <v>741</v>
      </c>
      <c r="T1025" s="159">
        <v>161</v>
      </c>
      <c r="U1025" s="158" t="s">
        <v>2134</v>
      </c>
      <c r="V1025" s="158" t="s">
        <v>2135</v>
      </c>
      <c r="W1025" s="159">
        <v>6</v>
      </c>
      <c r="X1025" s="159">
        <v>2</v>
      </c>
      <c r="Y1025" s="158" t="s">
        <v>194</v>
      </c>
      <c r="Z1025" s="158" t="s">
        <v>195</v>
      </c>
      <c r="AA1025" s="158" t="s">
        <v>196</v>
      </c>
      <c r="AB1025" s="158" t="s">
        <v>187</v>
      </c>
      <c r="AC1025" s="158" t="s">
        <v>209</v>
      </c>
      <c r="AD1025" s="160"/>
      <c r="AE1025" s="158" t="s">
        <v>209</v>
      </c>
      <c r="AF1025" s="159">
        <v>3.1865399999999999</v>
      </c>
      <c r="AG1025" s="161">
        <v>101.44168000000001</v>
      </c>
      <c r="AO1025" s="121"/>
      <c r="AT1025" s="111"/>
      <c r="AX1025" s="121"/>
    </row>
    <row r="1026" spans="1:50" s="110" customFormat="1" ht="20" customHeight="1">
      <c r="A1026" s="125" t="s">
        <v>237</v>
      </c>
      <c r="B1026" s="126" t="s">
        <v>60</v>
      </c>
      <c r="C1026" s="127">
        <v>14200</v>
      </c>
      <c r="D1026" s="157">
        <v>109313</v>
      </c>
      <c r="E1026" s="158" t="s">
        <v>4204</v>
      </c>
      <c r="F1026" s="158" t="s">
        <v>4204</v>
      </c>
      <c r="G1026" s="159">
        <v>29000</v>
      </c>
      <c r="H1026" s="159">
        <v>2</v>
      </c>
      <c r="I1026" s="158" t="s">
        <v>209</v>
      </c>
      <c r="J1026" s="158" t="s">
        <v>738</v>
      </c>
      <c r="K1026" s="158" t="s">
        <v>739</v>
      </c>
      <c r="L1026" s="159">
        <v>5</v>
      </c>
      <c r="M1026" s="159">
        <v>4</v>
      </c>
      <c r="N1026" s="158" t="s">
        <v>1548</v>
      </c>
      <c r="O1026" s="159">
        <v>8</v>
      </c>
      <c r="P1026" s="159">
        <v>0.5</v>
      </c>
      <c r="Q1026" s="159">
        <v>11</v>
      </c>
      <c r="R1026" s="158" t="s">
        <v>740</v>
      </c>
      <c r="S1026" s="158" t="s">
        <v>741</v>
      </c>
      <c r="T1026" s="159">
        <v>161</v>
      </c>
      <c r="U1026" s="158" t="s">
        <v>2134</v>
      </c>
      <c r="V1026" s="158" t="s">
        <v>2135</v>
      </c>
      <c r="W1026" s="159">
        <v>1</v>
      </c>
      <c r="X1026" s="159">
        <v>2</v>
      </c>
      <c r="Y1026" s="158" t="s">
        <v>194</v>
      </c>
      <c r="Z1026" s="158" t="s">
        <v>195</v>
      </c>
      <c r="AA1026" s="158" t="s">
        <v>196</v>
      </c>
      <c r="AB1026" s="158" t="s">
        <v>187</v>
      </c>
      <c r="AC1026" s="158" t="s">
        <v>187</v>
      </c>
      <c r="AD1026" s="160"/>
      <c r="AE1026" s="158" t="s">
        <v>209</v>
      </c>
      <c r="AF1026" s="159">
        <v>1.63254899963664</v>
      </c>
      <c r="AG1026" s="161">
        <v>104.00992900012299</v>
      </c>
      <c r="AO1026" s="121"/>
      <c r="AT1026" s="111"/>
      <c r="AX1026" s="121"/>
    </row>
    <row r="1027" spans="1:50" s="110" customFormat="1" ht="20" customHeight="1">
      <c r="A1027" s="125" t="s">
        <v>237</v>
      </c>
      <c r="B1027" s="126" t="s">
        <v>60</v>
      </c>
      <c r="C1027" s="127">
        <v>11344</v>
      </c>
      <c r="D1027" s="145">
        <v>102140</v>
      </c>
      <c r="E1027" s="146" t="s">
        <v>3229</v>
      </c>
      <c r="F1027" s="146" t="s">
        <v>4889</v>
      </c>
      <c r="G1027" s="147">
        <v>1966000</v>
      </c>
      <c r="H1027" s="147">
        <v>4</v>
      </c>
      <c r="I1027" s="146" t="s">
        <v>209</v>
      </c>
      <c r="J1027" s="146" t="s">
        <v>3230</v>
      </c>
      <c r="K1027" s="146" t="s">
        <v>3231</v>
      </c>
      <c r="L1027" s="147">
        <v>5</v>
      </c>
      <c r="M1027" s="147">
        <v>4</v>
      </c>
      <c r="N1027" s="146" t="s">
        <v>1548</v>
      </c>
      <c r="O1027" s="147">
        <v>10</v>
      </c>
      <c r="P1027" s="147">
        <v>9.2010000000000005</v>
      </c>
      <c r="Q1027" s="147">
        <v>11</v>
      </c>
      <c r="R1027" s="146" t="s">
        <v>740</v>
      </c>
      <c r="S1027" s="146" t="s">
        <v>741</v>
      </c>
      <c r="T1027" s="147">
        <v>161</v>
      </c>
      <c r="U1027" s="146" t="s">
        <v>2134</v>
      </c>
      <c r="V1027" s="146" t="s">
        <v>2135</v>
      </c>
      <c r="W1027" s="147">
        <v>18</v>
      </c>
      <c r="X1027" s="147">
        <v>2</v>
      </c>
      <c r="Y1027" s="146" t="s">
        <v>194</v>
      </c>
      <c r="Z1027" s="146" t="s">
        <v>195</v>
      </c>
      <c r="AA1027" s="146" t="s">
        <v>196</v>
      </c>
      <c r="AB1027" s="146" t="s">
        <v>187</v>
      </c>
      <c r="AC1027" s="146" t="s">
        <v>209</v>
      </c>
      <c r="AD1027" s="148"/>
      <c r="AE1027" s="146" t="s">
        <v>209</v>
      </c>
      <c r="AF1027" s="147">
        <v>1.5454443849503701</v>
      </c>
      <c r="AG1027" s="149">
        <v>103.802322091291</v>
      </c>
      <c r="AO1027" s="121"/>
      <c r="AT1027" s="111"/>
      <c r="AX1027" s="121"/>
    </row>
    <row r="1028" spans="1:50" s="110" customFormat="1" ht="20" customHeight="1">
      <c r="A1028" s="125" t="s">
        <v>237</v>
      </c>
      <c r="B1028" s="126" t="s">
        <v>60</v>
      </c>
      <c r="C1028" s="127">
        <v>12054</v>
      </c>
      <c r="D1028" s="145">
        <v>103691</v>
      </c>
      <c r="E1028" s="146" t="s">
        <v>2157</v>
      </c>
      <c r="F1028" s="146" t="s">
        <v>2157</v>
      </c>
      <c r="G1028" s="147">
        <v>1787000</v>
      </c>
      <c r="H1028" s="147">
        <v>4</v>
      </c>
      <c r="I1028" s="146" t="s">
        <v>209</v>
      </c>
      <c r="J1028" s="146" t="s">
        <v>2158</v>
      </c>
      <c r="K1028" s="146" t="s">
        <v>2159</v>
      </c>
      <c r="L1028" s="147">
        <v>5</v>
      </c>
      <c r="M1028" s="147">
        <v>4</v>
      </c>
      <c r="N1028" s="146" t="s">
        <v>1548</v>
      </c>
      <c r="O1028" s="147">
        <v>10</v>
      </c>
      <c r="P1028" s="147">
        <v>9.2010000000000005</v>
      </c>
      <c r="Q1028" s="147">
        <v>11</v>
      </c>
      <c r="R1028" s="146" t="s">
        <v>740</v>
      </c>
      <c r="S1028" s="146" t="s">
        <v>741</v>
      </c>
      <c r="T1028" s="147">
        <v>161</v>
      </c>
      <c r="U1028" s="146" t="s">
        <v>2134</v>
      </c>
      <c r="V1028" s="146" t="s">
        <v>2135</v>
      </c>
      <c r="W1028" s="147">
        <v>22</v>
      </c>
      <c r="X1028" s="147">
        <v>2</v>
      </c>
      <c r="Y1028" s="146" t="s">
        <v>194</v>
      </c>
      <c r="Z1028" s="146" t="s">
        <v>195</v>
      </c>
      <c r="AA1028" s="146" t="s">
        <v>196</v>
      </c>
      <c r="AB1028" s="146" t="s">
        <v>187</v>
      </c>
      <c r="AC1028" s="146" t="s">
        <v>209</v>
      </c>
      <c r="AD1028" s="148"/>
      <c r="AE1028" s="146" t="s">
        <v>209</v>
      </c>
      <c r="AF1028" s="147">
        <v>3.01674</v>
      </c>
      <c r="AG1028" s="149">
        <v>101.50225</v>
      </c>
      <c r="AO1028" s="121"/>
      <c r="AT1028" s="111"/>
      <c r="AX1028" s="121"/>
    </row>
    <row r="1029" spans="1:50" s="110" customFormat="1" ht="20" customHeight="1">
      <c r="A1029" s="125" t="s">
        <v>237</v>
      </c>
      <c r="B1029" s="126" t="s">
        <v>60</v>
      </c>
      <c r="C1029" s="127">
        <v>12057</v>
      </c>
      <c r="D1029" s="145">
        <v>103701</v>
      </c>
      <c r="E1029" s="146" t="s">
        <v>3433</v>
      </c>
      <c r="F1029" s="146" t="s">
        <v>3433</v>
      </c>
      <c r="G1029" s="147">
        <v>1443000</v>
      </c>
      <c r="H1029" s="147">
        <v>4</v>
      </c>
      <c r="I1029" s="146" t="s">
        <v>209</v>
      </c>
      <c r="J1029" s="146" t="s">
        <v>2606</v>
      </c>
      <c r="K1029" s="146" t="s">
        <v>2607</v>
      </c>
      <c r="L1029" s="147">
        <v>5</v>
      </c>
      <c r="M1029" s="147">
        <v>4</v>
      </c>
      <c r="N1029" s="146" t="s">
        <v>1548</v>
      </c>
      <c r="O1029" s="147">
        <v>10</v>
      </c>
      <c r="P1029" s="147">
        <v>8.0510000000000002</v>
      </c>
      <c r="Q1029" s="147">
        <v>11</v>
      </c>
      <c r="R1029" s="146" t="s">
        <v>740</v>
      </c>
      <c r="S1029" s="146" t="s">
        <v>741</v>
      </c>
      <c r="T1029" s="147">
        <v>161</v>
      </c>
      <c r="U1029" s="146" t="s">
        <v>2134</v>
      </c>
      <c r="V1029" s="146" t="s">
        <v>2135</v>
      </c>
      <c r="W1029" s="147">
        <v>36</v>
      </c>
      <c r="X1029" s="147">
        <v>2</v>
      </c>
      <c r="Y1029" s="146" t="s">
        <v>194</v>
      </c>
      <c r="Z1029" s="146" t="s">
        <v>195</v>
      </c>
      <c r="AA1029" s="146" t="s">
        <v>196</v>
      </c>
      <c r="AB1029" s="146" t="s">
        <v>187</v>
      </c>
      <c r="AC1029" s="146" t="s">
        <v>209</v>
      </c>
      <c r="AD1029" s="148"/>
      <c r="AE1029" s="146" t="s">
        <v>209</v>
      </c>
      <c r="AF1029" s="147">
        <v>3.0308899999999999</v>
      </c>
      <c r="AG1029" s="149">
        <v>101.57796999999999</v>
      </c>
      <c r="AO1029" s="121"/>
      <c r="AT1029" s="111"/>
      <c r="AX1029" s="121"/>
    </row>
    <row r="1030" spans="1:50" s="110" customFormat="1" ht="20" customHeight="1">
      <c r="A1030" s="125" t="s">
        <v>237</v>
      </c>
      <c r="B1030" s="126" t="s">
        <v>60</v>
      </c>
      <c r="C1030" s="127">
        <v>12055</v>
      </c>
      <c r="D1030" s="145">
        <v>103699</v>
      </c>
      <c r="E1030" s="146" t="s">
        <v>4725</v>
      </c>
      <c r="F1030" s="146" t="s">
        <v>4725</v>
      </c>
      <c r="G1030" s="147">
        <v>1038000</v>
      </c>
      <c r="H1030" s="147">
        <v>4</v>
      </c>
      <c r="I1030" s="146" t="s">
        <v>209</v>
      </c>
      <c r="J1030" s="146" t="s">
        <v>3230</v>
      </c>
      <c r="K1030" s="146" t="s">
        <v>3231</v>
      </c>
      <c r="L1030" s="147">
        <v>5</v>
      </c>
      <c r="M1030" s="147">
        <v>4</v>
      </c>
      <c r="N1030" s="146" t="s">
        <v>1548</v>
      </c>
      <c r="O1030" s="147">
        <v>10</v>
      </c>
      <c r="P1030" s="147">
        <v>5.75</v>
      </c>
      <c r="Q1030" s="147">
        <v>11</v>
      </c>
      <c r="R1030" s="146" t="s">
        <v>740</v>
      </c>
      <c r="S1030" s="146" t="s">
        <v>741</v>
      </c>
      <c r="T1030" s="147">
        <v>161</v>
      </c>
      <c r="U1030" s="146" t="s">
        <v>2134</v>
      </c>
      <c r="V1030" s="146" t="s">
        <v>2135</v>
      </c>
      <c r="W1030" s="147">
        <v>3</v>
      </c>
      <c r="X1030" s="147">
        <v>2</v>
      </c>
      <c r="Y1030" s="146" t="s">
        <v>194</v>
      </c>
      <c r="Z1030" s="146" t="s">
        <v>195</v>
      </c>
      <c r="AA1030" s="146" t="s">
        <v>196</v>
      </c>
      <c r="AB1030" s="146" t="s">
        <v>187</v>
      </c>
      <c r="AC1030" s="146" t="s">
        <v>209</v>
      </c>
      <c r="AD1030" s="148"/>
      <c r="AE1030" s="146" t="s">
        <v>209</v>
      </c>
      <c r="AF1030" s="147">
        <v>3.1016410003318802</v>
      </c>
      <c r="AG1030" s="149">
        <v>101.502253000076</v>
      </c>
      <c r="AO1030" s="121"/>
      <c r="AT1030" s="111"/>
      <c r="AX1030" s="121"/>
    </row>
    <row r="1031" spans="1:50" s="110" customFormat="1" ht="20" customHeight="1">
      <c r="A1031" s="125" t="s">
        <v>237</v>
      </c>
      <c r="B1031" s="126" t="s">
        <v>60</v>
      </c>
      <c r="C1031" s="127">
        <v>12051</v>
      </c>
      <c r="D1031" s="145">
        <v>103686</v>
      </c>
      <c r="E1031" s="146" t="s">
        <v>2389</v>
      </c>
      <c r="F1031" s="146" t="s">
        <v>2389</v>
      </c>
      <c r="G1031" s="147">
        <v>1019000</v>
      </c>
      <c r="H1031" s="147">
        <v>4</v>
      </c>
      <c r="I1031" s="146" t="s">
        <v>209</v>
      </c>
      <c r="J1031" s="146" t="s">
        <v>738</v>
      </c>
      <c r="K1031" s="146" t="s">
        <v>739</v>
      </c>
      <c r="L1031" s="147">
        <v>5</v>
      </c>
      <c r="M1031" s="147">
        <v>4</v>
      </c>
      <c r="N1031" s="146" t="s">
        <v>1548</v>
      </c>
      <c r="O1031" s="147">
        <v>9</v>
      </c>
      <c r="P1031" s="147">
        <v>5.75</v>
      </c>
      <c r="Q1031" s="147">
        <v>11</v>
      </c>
      <c r="R1031" s="146" t="s">
        <v>740</v>
      </c>
      <c r="S1031" s="146" t="s">
        <v>741</v>
      </c>
      <c r="T1031" s="147">
        <v>161</v>
      </c>
      <c r="U1031" s="146" t="s">
        <v>2134</v>
      </c>
      <c r="V1031" s="146" t="s">
        <v>2135</v>
      </c>
      <c r="W1031" s="147">
        <v>55</v>
      </c>
      <c r="X1031" s="147">
        <v>2</v>
      </c>
      <c r="Y1031" s="146" t="s">
        <v>194</v>
      </c>
      <c r="Z1031" s="146" t="s">
        <v>195</v>
      </c>
      <c r="AA1031" s="146" t="s">
        <v>196</v>
      </c>
      <c r="AB1031" s="146" t="s">
        <v>187</v>
      </c>
      <c r="AC1031" s="146" t="s">
        <v>209</v>
      </c>
      <c r="AD1031" s="148"/>
      <c r="AE1031" s="146" t="s">
        <v>209</v>
      </c>
      <c r="AF1031" s="147">
        <v>3.0347072888103002</v>
      </c>
      <c r="AG1031" s="149">
        <v>101.440478089392</v>
      </c>
      <c r="AO1031" s="121"/>
      <c r="AT1031" s="111"/>
      <c r="AX1031" s="121"/>
    </row>
    <row r="1032" spans="1:50" s="110" customFormat="1" ht="20" customHeight="1">
      <c r="A1032" s="125" t="s">
        <v>237</v>
      </c>
      <c r="B1032" s="126" t="s">
        <v>60</v>
      </c>
      <c r="C1032" s="127">
        <v>12053</v>
      </c>
      <c r="D1032" s="145">
        <v>103690</v>
      </c>
      <c r="E1032" s="146" t="s">
        <v>3497</v>
      </c>
      <c r="F1032" s="146" t="s">
        <v>3497</v>
      </c>
      <c r="G1032" s="147">
        <v>405000</v>
      </c>
      <c r="H1032" s="147">
        <v>4</v>
      </c>
      <c r="I1032" s="146" t="s">
        <v>209</v>
      </c>
      <c r="J1032" s="146" t="s">
        <v>3230</v>
      </c>
      <c r="K1032" s="146" t="s">
        <v>3231</v>
      </c>
      <c r="L1032" s="147">
        <v>5</v>
      </c>
      <c r="M1032" s="147">
        <v>4</v>
      </c>
      <c r="N1032" s="146" t="s">
        <v>1548</v>
      </c>
      <c r="O1032" s="147">
        <v>7</v>
      </c>
      <c r="P1032" s="147">
        <v>5</v>
      </c>
      <c r="Q1032" s="147">
        <v>11</v>
      </c>
      <c r="R1032" s="146" t="s">
        <v>740</v>
      </c>
      <c r="S1032" s="146" t="s">
        <v>741</v>
      </c>
      <c r="T1032" s="147">
        <v>161</v>
      </c>
      <c r="U1032" s="146" t="s">
        <v>2134</v>
      </c>
      <c r="V1032" s="146" t="s">
        <v>2135</v>
      </c>
      <c r="W1032" s="147">
        <v>5</v>
      </c>
      <c r="X1032" s="147">
        <v>2</v>
      </c>
      <c r="Y1032" s="146" t="s">
        <v>194</v>
      </c>
      <c r="Z1032" s="146" t="s">
        <v>195</v>
      </c>
      <c r="AA1032" s="146" t="s">
        <v>196</v>
      </c>
      <c r="AB1032" s="146" t="s">
        <v>187</v>
      </c>
      <c r="AC1032" s="146" t="s">
        <v>209</v>
      </c>
      <c r="AD1032" s="148"/>
      <c r="AE1032" s="146" t="s">
        <v>209</v>
      </c>
      <c r="AF1032" s="147">
        <v>3.0972288220525002</v>
      </c>
      <c r="AG1032" s="149">
        <v>101.65210643726201</v>
      </c>
      <c r="AO1032" s="121"/>
      <c r="AT1032" s="111"/>
      <c r="AX1032" s="121"/>
    </row>
    <row r="1033" spans="1:50" s="110" customFormat="1" ht="20" customHeight="1">
      <c r="A1033" s="125" t="s">
        <v>237</v>
      </c>
      <c r="B1033" s="126" t="s">
        <v>60</v>
      </c>
      <c r="C1033" s="127">
        <v>11343</v>
      </c>
      <c r="D1033" s="145">
        <v>102138</v>
      </c>
      <c r="E1033" s="146" t="s">
        <v>3588</v>
      </c>
      <c r="F1033" s="146" t="s">
        <v>3588</v>
      </c>
      <c r="G1033" s="147">
        <v>397000</v>
      </c>
      <c r="H1033" s="147">
        <v>4</v>
      </c>
      <c r="I1033" s="146" t="s">
        <v>209</v>
      </c>
      <c r="J1033" s="146" t="s">
        <v>3589</v>
      </c>
      <c r="K1033" s="146" t="s">
        <v>3590</v>
      </c>
      <c r="L1033" s="147">
        <v>4</v>
      </c>
      <c r="M1033" s="147">
        <v>4</v>
      </c>
      <c r="N1033" s="146" t="s">
        <v>1548</v>
      </c>
      <c r="O1033" s="147">
        <v>7</v>
      </c>
      <c r="P1033" s="147">
        <v>5</v>
      </c>
      <c r="Q1033" s="147">
        <v>11</v>
      </c>
      <c r="R1033" s="146" t="s">
        <v>740</v>
      </c>
      <c r="S1033" s="146" t="s">
        <v>741</v>
      </c>
      <c r="T1033" s="147">
        <v>161</v>
      </c>
      <c r="U1033" s="146" t="s">
        <v>2134</v>
      </c>
      <c r="V1033" s="146" t="s">
        <v>2135</v>
      </c>
      <c r="W1033" s="147">
        <v>6</v>
      </c>
      <c r="X1033" s="147">
        <v>2</v>
      </c>
      <c r="Y1033" s="146" t="s">
        <v>194</v>
      </c>
      <c r="Z1033" s="146" t="s">
        <v>195</v>
      </c>
      <c r="AA1033" s="146" t="s">
        <v>196</v>
      </c>
      <c r="AB1033" s="146" t="s">
        <v>187</v>
      </c>
      <c r="AC1033" s="146" t="s">
        <v>209</v>
      </c>
      <c r="AD1033" s="148"/>
      <c r="AE1033" s="146" t="s">
        <v>209</v>
      </c>
      <c r="AF1033" s="147">
        <v>3.1872250000000002</v>
      </c>
      <c r="AG1033" s="149">
        <v>101.695153</v>
      </c>
      <c r="AO1033" s="121"/>
      <c r="AT1033" s="111"/>
      <c r="AX1033" s="121"/>
    </row>
    <row r="1034" spans="1:50" s="110" customFormat="1" ht="20" customHeight="1">
      <c r="A1034" s="125" t="s">
        <v>237</v>
      </c>
      <c r="B1034" s="126" t="s">
        <v>60</v>
      </c>
      <c r="C1034" s="127">
        <v>10536</v>
      </c>
      <c r="D1034" s="145">
        <v>100687</v>
      </c>
      <c r="E1034" s="146" t="s">
        <v>4023</v>
      </c>
      <c r="F1034" s="146" t="s">
        <v>4023</v>
      </c>
      <c r="G1034" s="147">
        <v>252000</v>
      </c>
      <c r="H1034" s="147">
        <v>4</v>
      </c>
      <c r="I1034" s="146" t="s">
        <v>209</v>
      </c>
      <c r="J1034" s="146" t="s">
        <v>4024</v>
      </c>
      <c r="K1034" s="146" t="s">
        <v>4025</v>
      </c>
      <c r="L1034" s="147">
        <v>4</v>
      </c>
      <c r="M1034" s="147">
        <v>4</v>
      </c>
      <c r="N1034" s="146" t="s">
        <v>1548</v>
      </c>
      <c r="O1034" s="147">
        <v>5</v>
      </c>
      <c r="P1034" s="147">
        <v>3</v>
      </c>
      <c r="Q1034" s="147">
        <v>11</v>
      </c>
      <c r="R1034" s="146" t="s">
        <v>740</v>
      </c>
      <c r="S1034" s="146" t="s">
        <v>741</v>
      </c>
      <c r="T1034" s="147">
        <v>161</v>
      </c>
      <c r="U1034" s="146" t="s">
        <v>2134</v>
      </c>
      <c r="V1034" s="146" t="s">
        <v>2135</v>
      </c>
      <c r="W1034" s="147">
        <v>2</v>
      </c>
      <c r="X1034" s="147">
        <v>2</v>
      </c>
      <c r="Y1034" s="146" t="s">
        <v>194</v>
      </c>
      <c r="Z1034" s="146" t="s">
        <v>195</v>
      </c>
      <c r="AA1034" s="146" t="s">
        <v>196</v>
      </c>
      <c r="AB1034" s="146" t="s">
        <v>187</v>
      </c>
      <c r="AC1034" s="146" t="s">
        <v>187</v>
      </c>
      <c r="AD1034" s="148"/>
      <c r="AE1034" s="146" t="s">
        <v>209</v>
      </c>
      <c r="AF1034" s="147">
        <v>5.38626</v>
      </c>
      <c r="AG1034" s="149">
        <v>100.30902</v>
      </c>
      <c r="AO1034" s="121"/>
      <c r="AT1034" s="111"/>
      <c r="AX1034" s="121"/>
    </row>
    <row r="1035" spans="1:50" s="110" customFormat="1" ht="20" customHeight="1">
      <c r="A1035" s="125" t="s">
        <v>237</v>
      </c>
      <c r="B1035" s="126" t="s">
        <v>60</v>
      </c>
      <c r="C1035" s="127">
        <v>18481</v>
      </c>
      <c r="D1035" s="145">
        <v>114089</v>
      </c>
      <c r="E1035" s="146" t="s">
        <v>4197</v>
      </c>
      <c r="F1035" s="146" t="s">
        <v>4197</v>
      </c>
      <c r="G1035" s="147">
        <v>29000</v>
      </c>
      <c r="H1035" s="147">
        <v>4</v>
      </c>
      <c r="I1035" s="146" t="s">
        <v>209</v>
      </c>
      <c r="J1035" s="146" t="s">
        <v>4198</v>
      </c>
      <c r="K1035" s="146" t="s">
        <v>4199</v>
      </c>
      <c r="L1035" s="147">
        <v>5</v>
      </c>
      <c r="M1035" s="147">
        <v>4</v>
      </c>
      <c r="N1035" s="146" t="s">
        <v>1548</v>
      </c>
      <c r="O1035" s="147">
        <v>9</v>
      </c>
      <c r="P1035" s="147">
        <v>5</v>
      </c>
      <c r="Q1035" s="147">
        <v>11</v>
      </c>
      <c r="R1035" s="146" t="s">
        <v>740</v>
      </c>
      <c r="S1035" s="146" t="s">
        <v>741</v>
      </c>
      <c r="T1035" s="147">
        <v>161</v>
      </c>
      <c r="U1035" s="146" t="s">
        <v>2134</v>
      </c>
      <c r="V1035" s="146" t="s">
        <v>2135</v>
      </c>
      <c r="W1035" s="147">
        <v>3</v>
      </c>
      <c r="X1035" s="147">
        <v>2</v>
      </c>
      <c r="Y1035" s="146" t="s">
        <v>194</v>
      </c>
      <c r="Z1035" s="146" t="s">
        <v>195</v>
      </c>
      <c r="AA1035" s="146" t="s">
        <v>196</v>
      </c>
      <c r="AB1035" s="146" t="s">
        <v>187</v>
      </c>
      <c r="AC1035" s="146" t="s">
        <v>209</v>
      </c>
      <c r="AD1035" s="148"/>
      <c r="AE1035" s="146" t="s">
        <v>209</v>
      </c>
      <c r="AF1035" s="147">
        <v>2.9884400000000002</v>
      </c>
      <c r="AG1035" s="149">
        <v>101.44168000000001</v>
      </c>
      <c r="AO1035" s="121"/>
      <c r="AT1035" s="111"/>
      <c r="AX1035" s="121"/>
    </row>
    <row r="1036" spans="1:50" s="110" customFormat="1" ht="20" customHeight="1">
      <c r="A1036" s="125" t="s">
        <v>408</v>
      </c>
      <c r="B1036" s="126" t="s">
        <v>64</v>
      </c>
      <c r="C1036" s="127">
        <v>10536</v>
      </c>
      <c r="D1036" s="145">
        <v>100687</v>
      </c>
      <c r="E1036" s="146" t="s">
        <v>4023</v>
      </c>
      <c r="F1036" s="146" t="s">
        <v>4023</v>
      </c>
      <c r="G1036" s="147">
        <v>19000</v>
      </c>
      <c r="H1036" s="147">
        <v>4</v>
      </c>
      <c r="I1036" s="146" t="s">
        <v>209</v>
      </c>
      <c r="J1036" s="146" t="s">
        <v>4024</v>
      </c>
      <c r="K1036" s="146" t="s">
        <v>4025</v>
      </c>
      <c r="L1036" s="147">
        <v>4</v>
      </c>
      <c r="M1036" s="147">
        <v>4</v>
      </c>
      <c r="N1036" s="146" t="s">
        <v>1548</v>
      </c>
      <c r="O1036" s="147">
        <v>6</v>
      </c>
      <c r="P1036" s="147">
        <v>3</v>
      </c>
      <c r="Q1036" s="147">
        <v>11</v>
      </c>
      <c r="R1036" s="146" t="s">
        <v>740</v>
      </c>
      <c r="S1036" s="146" t="s">
        <v>741</v>
      </c>
      <c r="T1036" s="147">
        <v>161</v>
      </c>
      <c r="U1036" s="146" t="s">
        <v>2134</v>
      </c>
      <c r="V1036" s="146" t="s">
        <v>2135</v>
      </c>
      <c r="W1036" s="147">
        <v>2</v>
      </c>
      <c r="X1036" s="147">
        <v>2</v>
      </c>
      <c r="Y1036" s="146" t="s">
        <v>194</v>
      </c>
      <c r="Z1036" s="146" t="s">
        <v>195</v>
      </c>
      <c r="AA1036" s="146" t="s">
        <v>196</v>
      </c>
      <c r="AB1036" s="146" t="s">
        <v>209</v>
      </c>
      <c r="AC1036" s="146" t="s">
        <v>187</v>
      </c>
      <c r="AD1036" s="148"/>
      <c r="AE1036" s="146" t="s">
        <v>209</v>
      </c>
      <c r="AF1036" s="147">
        <v>1.2947299999999999</v>
      </c>
      <c r="AG1036" s="149">
        <v>103.88028</v>
      </c>
      <c r="AO1036" s="121"/>
      <c r="AT1036" s="111"/>
      <c r="AX1036" s="121"/>
    </row>
    <row r="1037" spans="1:50" s="110" customFormat="1" ht="20" customHeight="1">
      <c r="A1037" s="125" t="s">
        <v>1549</v>
      </c>
      <c r="B1037" s="126" t="s">
        <v>62</v>
      </c>
      <c r="C1037" s="127">
        <v>12054</v>
      </c>
      <c r="D1037" s="145">
        <v>103691</v>
      </c>
      <c r="E1037" s="146" t="s">
        <v>2157</v>
      </c>
      <c r="F1037" s="146" t="s">
        <v>2157</v>
      </c>
      <c r="G1037" s="147">
        <v>800</v>
      </c>
      <c r="H1037" s="147">
        <v>4</v>
      </c>
      <c r="I1037" s="146" t="s">
        <v>209</v>
      </c>
      <c r="J1037" s="146" t="s">
        <v>2158</v>
      </c>
      <c r="K1037" s="146" t="s">
        <v>2159</v>
      </c>
      <c r="L1037" s="147">
        <v>5</v>
      </c>
      <c r="M1037" s="147">
        <v>4</v>
      </c>
      <c r="N1037" s="146" t="s">
        <v>1548</v>
      </c>
      <c r="O1037" s="147">
        <v>32</v>
      </c>
      <c r="P1037" s="147">
        <v>6</v>
      </c>
      <c r="Q1037" s="147">
        <v>11</v>
      </c>
      <c r="R1037" s="146" t="s">
        <v>740</v>
      </c>
      <c r="S1037" s="146" t="s">
        <v>741</v>
      </c>
      <c r="T1037" s="147">
        <v>161</v>
      </c>
      <c r="U1037" s="146" t="s">
        <v>2134</v>
      </c>
      <c r="V1037" s="146" t="s">
        <v>2135</v>
      </c>
      <c r="W1037" s="147">
        <v>22</v>
      </c>
      <c r="X1037" s="147">
        <v>2</v>
      </c>
      <c r="Y1037" s="146" t="s">
        <v>194</v>
      </c>
      <c r="Z1037" s="146" t="s">
        <v>195</v>
      </c>
      <c r="AA1037" s="146" t="s">
        <v>196</v>
      </c>
      <c r="AB1037" s="146" t="s">
        <v>187</v>
      </c>
      <c r="AC1037" s="146" t="s">
        <v>209</v>
      </c>
      <c r="AD1037" s="148"/>
      <c r="AE1037" s="146" t="s">
        <v>209</v>
      </c>
      <c r="AF1037" s="147">
        <v>-8.5572269999999993</v>
      </c>
      <c r="AG1037" s="149">
        <v>125.54767099999999</v>
      </c>
      <c r="AO1037" s="121"/>
      <c r="AT1037" s="111"/>
      <c r="AX1037" s="121"/>
    </row>
    <row r="1038" spans="1:50" s="110" customFormat="1" ht="20" customHeight="1">
      <c r="A1038" s="125" t="s">
        <v>480</v>
      </c>
      <c r="B1038" s="126" t="s">
        <v>63</v>
      </c>
      <c r="C1038" s="127">
        <v>19120</v>
      </c>
      <c r="D1038" s="163">
        <v>115346</v>
      </c>
      <c r="E1038" s="164" t="s">
        <v>2605</v>
      </c>
      <c r="F1038" s="164" t="s">
        <v>2605</v>
      </c>
      <c r="G1038" s="165">
        <v>1600</v>
      </c>
      <c r="H1038" s="165">
        <v>1</v>
      </c>
      <c r="I1038" s="164" t="s">
        <v>187</v>
      </c>
      <c r="J1038" s="164" t="s">
        <v>2606</v>
      </c>
      <c r="K1038" s="164" t="s">
        <v>2607</v>
      </c>
      <c r="L1038" s="165">
        <v>5</v>
      </c>
      <c r="M1038" s="165">
        <v>4</v>
      </c>
      <c r="N1038" s="164" t="s">
        <v>1548</v>
      </c>
      <c r="O1038" s="165">
        <v>3</v>
      </c>
      <c r="P1038" s="165">
        <v>0</v>
      </c>
      <c r="Q1038" s="165">
        <v>11</v>
      </c>
      <c r="R1038" s="164" t="s">
        <v>740</v>
      </c>
      <c r="S1038" s="164" t="s">
        <v>741</v>
      </c>
      <c r="T1038" s="165">
        <v>161</v>
      </c>
      <c r="U1038" s="164" t="s">
        <v>2134</v>
      </c>
      <c r="V1038" s="164" t="s">
        <v>2135</v>
      </c>
      <c r="W1038" s="165">
        <v>1</v>
      </c>
      <c r="X1038" s="165">
        <v>2</v>
      </c>
      <c r="Y1038" s="164" t="s">
        <v>194</v>
      </c>
      <c r="Z1038" s="164" t="s">
        <v>195</v>
      </c>
      <c r="AA1038" s="164" t="s">
        <v>196</v>
      </c>
      <c r="AB1038" s="164" t="s">
        <v>187</v>
      </c>
      <c r="AC1038" s="164" t="s">
        <v>187</v>
      </c>
      <c r="AD1038" s="165">
        <v>1</v>
      </c>
      <c r="AE1038" s="164" t="s">
        <v>209</v>
      </c>
      <c r="AF1038" s="165">
        <v>20.961687892881901</v>
      </c>
      <c r="AG1038" s="166">
        <v>107.09534336810199</v>
      </c>
      <c r="AO1038" s="121"/>
      <c r="AT1038" s="111"/>
      <c r="AX1038" s="121"/>
    </row>
    <row r="1039" spans="1:50" s="110" customFormat="1" ht="20" customHeight="1">
      <c r="A1039" s="125" t="s">
        <v>239</v>
      </c>
      <c r="B1039" s="126" t="s">
        <v>67</v>
      </c>
      <c r="C1039" s="127">
        <v>20332</v>
      </c>
      <c r="D1039" s="163">
        <v>104633</v>
      </c>
      <c r="E1039" s="164" t="s">
        <v>3310</v>
      </c>
      <c r="F1039" s="164" t="s">
        <v>3310</v>
      </c>
      <c r="G1039" s="165">
        <v>6000</v>
      </c>
      <c r="H1039" s="165">
        <v>1</v>
      </c>
      <c r="I1039" s="164" t="s">
        <v>187</v>
      </c>
      <c r="J1039" s="164" t="s">
        <v>3311</v>
      </c>
      <c r="K1039" s="164" t="s">
        <v>3312</v>
      </c>
      <c r="L1039" s="165">
        <v>2</v>
      </c>
      <c r="M1039" s="165">
        <v>4</v>
      </c>
      <c r="N1039" s="164" t="s">
        <v>1548</v>
      </c>
      <c r="O1039" s="165">
        <v>4</v>
      </c>
      <c r="P1039" s="165">
        <v>1</v>
      </c>
      <c r="Q1039" s="165">
        <v>17</v>
      </c>
      <c r="R1039" s="164" t="s">
        <v>190</v>
      </c>
      <c r="S1039" s="164" t="s">
        <v>191</v>
      </c>
      <c r="T1039" s="165">
        <v>166</v>
      </c>
      <c r="U1039" s="164" t="s">
        <v>1390</v>
      </c>
      <c r="V1039" s="164" t="s">
        <v>1391</v>
      </c>
      <c r="W1039" s="165">
        <v>1</v>
      </c>
      <c r="X1039" s="165">
        <v>2</v>
      </c>
      <c r="Y1039" s="164" t="s">
        <v>194</v>
      </c>
      <c r="Z1039" s="164" t="s">
        <v>195</v>
      </c>
      <c r="AA1039" s="164" t="s">
        <v>196</v>
      </c>
      <c r="AB1039" s="164" t="s">
        <v>209</v>
      </c>
      <c r="AC1039" s="164" t="s">
        <v>187</v>
      </c>
      <c r="AD1039" s="165">
        <v>1</v>
      </c>
      <c r="AE1039" s="164" t="s">
        <v>209</v>
      </c>
      <c r="AF1039" s="165">
        <v>7.5297869999999998</v>
      </c>
      <c r="AG1039" s="166">
        <v>126.49136900000001</v>
      </c>
      <c r="AO1039" s="121"/>
      <c r="AT1039" s="111"/>
      <c r="AX1039" s="121"/>
    </row>
    <row r="1040" spans="1:50" s="110" customFormat="1" ht="20" customHeight="1">
      <c r="A1040" s="125" t="s">
        <v>239</v>
      </c>
      <c r="B1040" s="126" t="s">
        <v>67</v>
      </c>
      <c r="C1040" s="127">
        <v>20582</v>
      </c>
      <c r="D1040" s="157">
        <v>116914</v>
      </c>
      <c r="E1040" s="158" t="s">
        <v>3454</v>
      </c>
      <c r="F1040" s="158" t="s">
        <v>3454</v>
      </c>
      <c r="G1040" s="159">
        <v>7900</v>
      </c>
      <c r="H1040" s="159">
        <v>2</v>
      </c>
      <c r="I1040" s="158" t="s">
        <v>209</v>
      </c>
      <c r="J1040" s="158" t="s">
        <v>3455</v>
      </c>
      <c r="K1040" s="158" t="s">
        <v>3454</v>
      </c>
      <c r="L1040" s="159">
        <v>0</v>
      </c>
      <c r="M1040" s="159">
        <v>4</v>
      </c>
      <c r="N1040" s="158" t="s">
        <v>1548</v>
      </c>
      <c r="O1040" s="159">
        <v>10</v>
      </c>
      <c r="P1040" s="159">
        <v>1</v>
      </c>
      <c r="Q1040" s="159">
        <v>17</v>
      </c>
      <c r="R1040" s="158" t="s">
        <v>190</v>
      </c>
      <c r="S1040" s="158" t="s">
        <v>191</v>
      </c>
      <c r="T1040" s="159">
        <v>166</v>
      </c>
      <c r="U1040" s="158" t="s">
        <v>1390</v>
      </c>
      <c r="V1040" s="158" t="s">
        <v>1391</v>
      </c>
      <c r="W1040" s="159">
        <v>1</v>
      </c>
      <c r="X1040" s="159">
        <v>2</v>
      </c>
      <c r="Y1040" s="158" t="s">
        <v>194</v>
      </c>
      <c r="Z1040" s="158" t="s">
        <v>195</v>
      </c>
      <c r="AA1040" s="158" t="s">
        <v>196</v>
      </c>
      <c r="AB1040" s="158" t="s">
        <v>209</v>
      </c>
      <c r="AC1040" s="158" t="s">
        <v>187</v>
      </c>
      <c r="AD1040" s="160"/>
      <c r="AE1040" s="158" t="s">
        <v>209</v>
      </c>
      <c r="AF1040" s="159">
        <v>8.2419720000000005</v>
      </c>
      <c r="AG1040" s="161">
        <v>123.575532</v>
      </c>
      <c r="AO1040" s="121"/>
      <c r="AT1040" s="111"/>
      <c r="AX1040" s="121"/>
    </row>
    <row r="1041" spans="1:50" s="110" customFormat="1" ht="20" customHeight="1">
      <c r="A1041" s="125" t="s">
        <v>239</v>
      </c>
      <c r="B1041" s="126" t="s">
        <v>67</v>
      </c>
      <c r="C1041" s="127">
        <v>12383</v>
      </c>
      <c r="D1041" s="145">
        <v>104339</v>
      </c>
      <c r="E1041" s="146" t="s">
        <v>3821</v>
      </c>
      <c r="F1041" s="146" t="s">
        <v>3821</v>
      </c>
      <c r="G1041" s="147">
        <v>13000</v>
      </c>
      <c r="H1041" s="147">
        <v>4</v>
      </c>
      <c r="I1041" s="146" t="s">
        <v>209</v>
      </c>
      <c r="J1041" s="146" t="s">
        <v>3822</v>
      </c>
      <c r="K1041" s="146" t="s">
        <v>3823</v>
      </c>
      <c r="L1041" s="147">
        <v>3</v>
      </c>
      <c r="M1041" s="147">
        <v>4</v>
      </c>
      <c r="N1041" s="146" t="s">
        <v>1548</v>
      </c>
      <c r="O1041" s="147">
        <v>30</v>
      </c>
      <c r="P1041" s="147">
        <v>6</v>
      </c>
      <c r="Q1041" s="147">
        <v>17</v>
      </c>
      <c r="R1041" s="146" t="s">
        <v>190</v>
      </c>
      <c r="S1041" s="146" t="s">
        <v>191</v>
      </c>
      <c r="T1041" s="147">
        <v>166</v>
      </c>
      <c r="U1041" s="146" t="s">
        <v>1390</v>
      </c>
      <c r="V1041" s="146" t="s">
        <v>1391</v>
      </c>
      <c r="W1041" s="147">
        <v>1</v>
      </c>
      <c r="X1041" s="147">
        <v>2</v>
      </c>
      <c r="Y1041" s="146" t="s">
        <v>194</v>
      </c>
      <c r="Z1041" s="146" t="s">
        <v>195</v>
      </c>
      <c r="AA1041" s="146" t="s">
        <v>196</v>
      </c>
      <c r="AB1041" s="146" t="s">
        <v>209</v>
      </c>
      <c r="AC1041" s="146" t="s">
        <v>187</v>
      </c>
      <c r="AD1041" s="148"/>
      <c r="AE1041" s="146" t="s">
        <v>209</v>
      </c>
      <c r="AF1041" s="147">
        <v>7.3092302996386103</v>
      </c>
      <c r="AG1041" s="149">
        <v>125.67862304371801</v>
      </c>
      <c r="AO1041" s="121"/>
      <c r="AT1041" s="111"/>
      <c r="AX1041" s="121"/>
    </row>
    <row r="1042" spans="1:50" s="110" customFormat="1" ht="20" customHeight="1">
      <c r="A1042" s="125" t="s">
        <v>239</v>
      </c>
      <c r="B1042" s="126" t="s">
        <v>67</v>
      </c>
      <c r="C1042" s="127">
        <v>15173</v>
      </c>
      <c r="D1042" s="128">
        <v>109690</v>
      </c>
      <c r="E1042" s="129" t="s">
        <v>4686</v>
      </c>
      <c r="F1042" s="129" t="s">
        <v>4686</v>
      </c>
      <c r="G1042" s="130">
        <v>139000</v>
      </c>
      <c r="H1042" s="130">
        <v>5</v>
      </c>
      <c r="I1042" s="129" t="s">
        <v>209</v>
      </c>
      <c r="J1042" s="129" t="s">
        <v>4687</v>
      </c>
      <c r="K1042" s="129" t="s">
        <v>4688</v>
      </c>
      <c r="L1042" s="130">
        <v>3</v>
      </c>
      <c r="M1042" s="130">
        <v>4</v>
      </c>
      <c r="N1042" s="129" t="s">
        <v>1548</v>
      </c>
      <c r="O1042" s="130">
        <v>25</v>
      </c>
      <c r="P1042" s="130">
        <v>15</v>
      </c>
      <c r="Q1042" s="130">
        <v>17</v>
      </c>
      <c r="R1042" s="129" t="s">
        <v>190</v>
      </c>
      <c r="S1042" s="129" t="s">
        <v>191</v>
      </c>
      <c r="T1042" s="130">
        <v>166</v>
      </c>
      <c r="U1042" s="129" t="s">
        <v>1390</v>
      </c>
      <c r="V1042" s="129" t="s">
        <v>1391</v>
      </c>
      <c r="W1042" s="130">
        <v>1</v>
      </c>
      <c r="X1042" s="130">
        <v>2</v>
      </c>
      <c r="Y1042" s="129" t="s">
        <v>194</v>
      </c>
      <c r="Z1042" s="129" t="s">
        <v>195</v>
      </c>
      <c r="AA1042" s="129" t="s">
        <v>196</v>
      </c>
      <c r="AB1042" s="129" t="s">
        <v>209</v>
      </c>
      <c r="AC1042" s="129" t="s">
        <v>187</v>
      </c>
      <c r="AD1042" s="131"/>
      <c r="AE1042" s="129" t="s">
        <v>209</v>
      </c>
      <c r="AF1042" s="130">
        <v>6.4533800000869004</v>
      </c>
      <c r="AG1042" s="132">
        <v>125.42625000043699</v>
      </c>
      <c r="AO1042" s="121"/>
      <c r="AT1042" s="111"/>
      <c r="AX1042" s="121"/>
    </row>
    <row r="1043" spans="1:50" s="110" customFormat="1" ht="20" customHeight="1">
      <c r="A1043" s="125" t="s">
        <v>237</v>
      </c>
      <c r="B1043" s="126" t="s">
        <v>60</v>
      </c>
      <c r="C1043" s="127">
        <v>18873</v>
      </c>
      <c r="D1043" s="163">
        <v>114778</v>
      </c>
      <c r="E1043" s="164" t="s">
        <v>4039</v>
      </c>
      <c r="F1043" s="164" t="s">
        <v>4039</v>
      </c>
      <c r="G1043" s="165">
        <v>20000</v>
      </c>
      <c r="H1043" s="165">
        <v>1</v>
      </c>
      <c r="I1043" s="164" t="s">
        <v>187</v>
      </c>
      <c r="J1043" s="164" t="s">
        <v>4040</v>
      </c>
      <c r="K1043" s="164" t="s">
        <v>4041</v>
      </c>
      <c r="L1043" s="165">
        <v>4</v>
      </c>
      <c r="M1043" s="165">
        <v>4</v>
      </c>
      <c r="N1043" s="164" t="s">
        <v>1548</v>
      </c>
      <c r="O1043" s="165">
        <v>1</v>
      </c>
      <c r="P1043" s="165">
        <v>0.5</v>
      </c>
      <c r="Q1043" s="165">
        <v>17</v>
      </c>
      <c r="R1043" s="164" t="s">
        <v>190</v>
      </c>
      <c r="S1043" s="164" t="s">
        <v>191</v>
      </c>
      <c r="T1043" s="165">
        <v>167</v>
      </c>
      <c r="U1043" s="164" t="s">
        <v>750</v>
      </c>
      <c r="V1043" s="164" t="s">
        <v>751</v>
      </c>
      <c r="W1043" s="165">
        <v>2</v>
      </c>
      <c r="X1043" s="165">
        <v>2</v>
      </c>
      <c r="Y1043" s="164" t="s">
        <v>194</v>
      </c>
      <c r="Z1043" s="164" t="s">
        <v>195</v>
      </c>
      <c r="AA1043" s="164" t="s">
        <v>196</v>
      </c>
      <c r="AB1043" s="164" t="s">
        <v>187</v>
      </c>
      <c r="AC1043" s="164" t="s">
        <v>209</v>
      </c>
      <c r="AD1043" s="165">
        <v>1</v>
      </c>
      <c r="AE1043" s="164" t="s">
        <v>209</v>
      </c>
      <c r="AF1043" s="165">
        <v>5.8537548593992001</v>
      </c>
      <c r="AG1043" s="166">
        <v>118.104741311862</v>
      </c>
      <c r="AO1043" s="121"/>
      <c r="AT1043" s="111"/>
      <c r="AX1043" s="121"/>
    </row>
    <row r="1044" spans="1:50" s="110" customFormat="1" ht="20" customHeight="1">
      <c r="A1044" s="125" t="s">
        <v>239</v>
      </c>
      <c r="B1044" s="126" t="s">
        <v>67</v>
      </c>
      <c r="C1044" s="127">
        <v>18873</v>
      </c>
      <c r="D1044" s="163">
        <v>114778</v>
      </c>
      <c r="E1044" s="164" t="s">
        <v>4039</v>
      </c>
      <c r="F1044" s="164" t="s">
        <v>4039</v>
      </c>
      <c r="G1044" s="165">
        <v>129000</v>
      </c>
      <c r="H1044" s="165">
        <v>1</v>
      </c>
      <c r="I1044" s="164" t="s">
        <v>187</v>
      </c>
      <c r="J1044" s="164" t="s">
        <v>4040</v>
      </c>
      <c r="K1044" s="164" t="s">
        <v>4041</v>
      </c>
      <c r="L1044" s="165">
        <v>4</v>
      </c>
      <c r="M1044" s="165">
        <v>4</v>
      </c>
      <c r="N1044" s="164" t="s">
        <v>1548</v>
      </c>
      <c r="O1044" s="165">
        <v>5</v>
      </c>
      <c r="P1044" s="165">
        <v>2</v>
      </c>
      <c r="Q1044" s="165">
        <v>17</v>
      </c>
      <c r="R1044" s="164" t="s">
        <v>190</v>
      </c>
      <c r="S1044" s="164" t="s">
        <v>191</v>
      </c>
      <c r="T1044" s="165">
        <v>167</v>
      </c>
      <c r="U1044" s="164" t="s">
        <v>750</v>
      </c>
      <c r="V1044" s="164" t="s">
        <v>751</v>
      </c>
      <c r="W1044" s="165">
        <v>2</v>
      </c>
      <c r="X1044" s="165">
        <v>2</v>
      </c>
      <c r="Y1044" s="164" t="s">
        <v>194</v>
      </c>
      <c r="Z1044" s="164" t="s">
        <v>195</v>
      </c>
      <c r="AA1044" s="164" t="s">
        <v>196</v>
      </c>
      <c r="AB1044" s="164" t="s">
        <v>209</v>
      </c>
      <c r="AC1044" s="164" t="s">
        <v>187</v>
      </c>
      <c r="AD1044" s="165">
        <v>3</v>
      </c>
      <c r="AE1044" s="164" t="s">
        <v>209</v>
      </c>
      <c r="AF1044" s="165">
        <v>5.2397600000000004</v>
      </c>
      <c r="AG1044" s="166">
        <v>120.11817000000001</v>
      </c>
      <c r="AO1044" s="121"/>
      <c r="AT1044" s="111"/>
      <c r="AX1044" s="121"/>
    </row>
    <row r="1045" spans="1:50" s="110" customFormat="1" ht="20" customHeight="1">
      <c r="A1045" s="125" t="s">
        <v>239</v>
      </c>
      <c r="B1045" s="126" t="s">
        <v>67</v>
      </c>
      <c r="C1045" s="127">
        <v>15612</v>
      </c>
      <c r="D1045" s="163">
        <v>110239</v>
      </c>
      <c r="E1045" s="164" t="s">
        <v>4603</v>
      </c>
      <c r="F1045" s="164" t="s">
        <v>4603</v>
      </c>
      <c r="G1045" s="165">
        <v>100000</v>
      </c>
      <c r="H1045" s="165">
        <v>1</v>
      </c>
      <c r="I1045" s="164" t="s">
        <v>187</v>
      </c>
      <c r="J1045" s="164" t="s">
        <v>4604</v>
      </c>
      <c r="K1045" s="164" t="s">
        <v>4605</v>
      </c>
      <c r="L1045" s="165">
        <v>4</v>
      </c>
      <c r="M1045" s="165">
        <v>4</v>
      </c>
      <c r="N1045" s="164" t="s">
        <v>1548</v>
      </c>
      <c r="O1045" s="165">
        <v>2</v>
      </c>
      <c r="P1045" s="165">
        <v>0.2</v>
      </c>
      <c r="Q1045" s="165">
        <v>17</v>
      </c>
      <c r="R1045" s="164" t="s">
        <v>190</v>
      </c>
      <c r="S1045" s="164" t="s">
        <v>191</v>
      </c>
      <c r="T1045" s="165">
        <v>168</v>
      </c>
      <c r="U1045" s="164" t="s">
        <v>1569</v>
      </c>
      <c r="V1045" s="164" t="s">
        <v>1570</v>
      </c>
      <c r="W1045" s="165">
        <v>1</v>
      </c>
      <c r="X1045" s="165">
        <v>2</v>
      </c>
      <c r="Y1045" s="164" t="s">
        <v>194</v>
      </c>
      <c r="Z1045" s="164" t="s">
        <v>195</v>
      </c>
      <c r="AA1045" s="164" t="s">
        <v>196</v>
      </c>
      <c r="AB1045" s="164" t="s">
        <v>209</v>
      </c>
      <c r="AC1045" s="164" t="s">
        <v>187</v>
      </c>
      <c r="AD1045" s="165">
        <v>2</v>
      </c>
      <c r="AE1045" s="164" t="s">
        <v>209</v>
      </c>
      <c r="AF1045" s="165">
        <v>8.5231999998800898</v>
      </c>
      <c r="AG1045" s="166">
        <v>123.58753999957101</v>
      </c>
      <c r="AO1045" s="121"/>
      <c r="AT1045" s="111"/>
      <c r="AX1045" s="121"/>
    </row>
    <row r="1046" spans="1:50" s="110" customFormat="1" ht="20" customHeight="1">
      <c r="A1046" s="125" t="s">
        <v>239</v>
      </c>
      <c r="B1046" s="126" t="s">
        <v>67</v>
      </c>
      <c r="C1046" s="127">
        <v>11426</v>
      </c>
      <c r="D1046" s="163">
        <v>102301</v>
      </c>
      <c r="E1046" s="164" t="s">
        <v>2785</v>
      </c>
      <c r="F1046" s="164" t="s">
        <v>2785</v>
      </c>
      <c r="G1046" s="165">
        <v>35000</v>
      </c>
      <c r="H1046" s="165">
        <v>1</v>
      </c>
      <c r="I1046" s="164" t="s">
        <v>187</v>
      </c>
      <c r="J1046" s="164" t="s">
        <v>2784</v>
      </c>
      <c r="K1046" s="164" t="s">
        <v>2785</v>
      </c>
      <c r="L1046" s="165">
        <v>4</v>
      </c>
      <c r="M1046" s="165">
        <v>4</v>
      </c>
      <c r="N1046" s="164" t="s">
        <v>1548</v>
      </c>
      <c r="O1046" s="165">
        <v>4</v>
      </c>
      <c r="P1046" s="165">
        <v>0.8</v>
      </c>
      <c r="Q1046" s="165">
        <v>17</v>
      </c>
      <c r="R1046" s="164" t="s">
        <v>190</v>
      </c>
      <c r="S1046" s="164" t="s">
        <v>191</v>
      </c>
      <c r="T1046" s="165">
        <v>168</v>
      </c>
      <c r="U1046" s="164" t="s">
        <v>1569</v>
      </c>
      <c r="V1046" s="164" t="s">
        <v>1570</v>
      </c>
      <c r="W1046" s="165">
        <v>1</v>
      </c>
      <c r="X1046" s="165">
        <v>2</v>
      </c>
      <c r="Y1046" s="164" t="s">
        <v>194</v>
      </c>
      <c r="Z1046" s="164" t="s">
        <v>195</v>
      </c>
      <c r="AA1046" s="164" t="s">
        <v>196</v>
      </c>
      <c r="AB1046" s="164" t="s">
        <v>209</v>
      </c>
      <c r="AC1046" s="164" t="s">
        <v>187</v>
      </c>
      <c r="AD1046" s="165">
        <v>1</v>
      </c>
      <c r="AE1046" s="164" t="s">
        <v>209</v>
      </c>
      <c r="AF1046" s="165">
        <v>6.49634096316493</v>
      </c>
      <c r="AG1046" s="166">
        <v>124.362566197072</v>
      </c>
      <c r="AO1046" s="121"/>
      <c r="AT1046" s="111"/>
      <c r="AX1046" s="121"/>
    </row>
    <row r="1047" spans="1:50" s="110" customFormat="1" ht="20" customHeight="1">
      <c r="A1047" s="125" t="s">
        <v>239</v>
      </c>
      <c r="B1047" s="126" t="s">
        <v>67</v>
      </c>
      <c r="C1047" s="127">
        <v>12061</v>
      </c>
      <c r="D1047" s="163">
        <v>103710</v>
      </c>
      <c r="E1047" s="164" t="s">
        <v>4089</v>
      </c>
      <c r="F1047" s="164" t="s">
        <v>4089</v>
      </c>
      <c r="G1047" s="165">
        <v>22000</v>
      </c>
      <c r="H1047" s="165">
        <v>1</v>
      </c>
      <c r="I1047" s="164" t="s">
        <v>187</v>
      </c>
      <c r="J1047" s="164" t="s">
        <v>4090</v>
      </c>
      <c r="K1047" s="164" t="s">
        <v>4089</v>
      </c>
      <c r="L1047" s="165">
        <v>4</v>
      </c>
      <c r="M1047" s="165">
        <v>4</v>
      </c>
      <c r="N1047" s="164" t="s">
        <v>1548</v>
      </c>
      <c r="O1047" s="165">
        <v>4</v>
      </c>
      <c r="P1047" s="165">
        <v>1</v>
      </c>
      <c r="Q1047" s="165">
        <v>17</v>
      </c>
      <c r="R1047" s="164" t="s">
        <v>190</v>
      </c>
      <c r="S1047" s="164" t="s">
        <v>191</v>
      </c>
      <c r="T1047" s="165">
        <v>168</v>
      </c>
      <c r="U1047" s="164" t="s">
        <v>1569</v>
      </c>
      <c r="V1047" s="164" t="s">
        <v>1570</v>
      </c>
      <c r="W1047" s="165">
        <v>1</v>
      </c>
      <c r="X1047" s="165">
        <v>2</v>
      </c>
      <c r="Y1047" s="164" t="s">
        <v>194</v>
      </c>
      <c r="Z1047" s="164" t="s">
        <v>195</v>
      </c>
      <c r="AA1047" s="164" t="s">
        <v>196</v>
      </c>
      <c r="AB1047" s="164" t="s">
        <v>209</v>
      </c>
      <c r="AC1047" s="164" t="s">
        <v>187</v>
      </c>
      <c r="AD1047" s="165">
        <v>1</v>
      </c>
      <c r="AE1047" s="164" t="s">
        <v>209</v>
      </c>
      <c r="AF1047" s="165">
        <v>12.4158900003233</v>
      </c>
      <c r="AG1047" s="166">
        <v>121.22119999988</v>
      </c>
      <c r="AO1047" s="121"/>
      <c r="AT1047" s="111"/>
      <c r="AX1047" s="121"/>
    </row>
    <row r="1048" spans="1:50" s="110" customFormat="1" ht="20" customHeight="1">
      <c r="A1048" s="125" t="s">
        <v>239</v>
      </c>
      <c r="B1048" s="126" t="s">
        <v>67</v>
      </c>
      <c r="C1048" s="127">
        <v>10972</v>
      </c>
      <c r="D1048" s="163">
        <v>101676</v>
      </c>
      <c r="E1048" s="164" t="s">
        <v>3827</v>
      </c>
      <c r="F1048" s="164" t="s">
        <v>3827</v>
      </c>
      <c r="G1048" s="165">
        <v>13000</v>
      </c>
      <c r="H1048" s="165">
        <v>1</v>
      </c>
      <c r="I1048" s="164" t="s">
        <v>187</v>
      </c>
      <c r="J1048" s="164" t="s">
        <v>3828</v>
      </c>
      <c r="K1048" s="164" t="s">
        <v>3827</v>
      </c>
      <c r="L1048" s="165">
        <v>4</v>
      </c>
      <c r="M1048" s="165">
        <v>4</v>
      </c>
      <c r="N1048" s="164" t="s">
        <v>1548</v>
      </c>
      <c r="O1048" s="165">
        <v>5</v>
      </c>
      <c r="P1048" s="165">
        <v>1</v>
      </c>
      <c r="Q1048" s="165">
        <v>17</v>
      </c>
      <c r="R1048" s="164" t="s">
        <v>190</v>
      </c>
      <c r="S1048" s="164" t="s">
        <v>191</v>
      </c>
      <c r="T1048" s="165">
        <v>168</v>
      </c>
      <c r="U1048" s="164" t="s">
        <v>1569</v>
      </c>
      <c r="V1048" s="164" t="s">
        <v>1570</v>
      </c>
      <c r="W1048" s="165">
        <v>1</v>
      </c>
      <c r="X1048" s="165">
        <v>2</v>
      </c>
      <c r="Y1048" s="164" t="s">
        <v>194</v>
      </c>
      <c r="Z1048" s="164" t="s">
        <v>195</v>
      </c>
      <c r="AA1048" s="164" t="s">
        <v>196</v>
      </c>
      <c r="AB1048" s="164" t="s">
        <v>209</v>
      </c>
      <c r="AC1048" s="164" t="s">
        <v>187</v>
      </c>
      <c r="AD1048" s="165">
        <v>1</v>
      </c>
      <c r="AE1048" s="164" t="s">
        <v>209</v>
      </c>
      <c r="AF1048" s="165">
        <v>8.8389099997966092</v>
      </c>
      <c r="AG1048" s="166">
        <v>117.870509999937</v>
      </c>
      <c r="AO1048" s="121"/>
      <c r="AT1048" s="111"/>
      <c r="AX1048" s="121"/>
    </row>
    <row r="1049" spans="1:50" s="110" customFormat="1" ht="20" customHeight="1">
      <c r="A1049" s="125" t="s">
        <v>239</v>
      </c>
      <c r="B1049" s="126" t="s">
        <v>67</v>
      </c>
      <c r="C1049" s="127">
        <v>13464</v>
      </c>
      <c r="D1049" s="163">
        <v>106193</v>
      </c>
      <c r="E1049" s="164" t="s">
        <v>3568</v>
      </c>
      <c r="F1049" s="164" t="s">
        <v>3568</v>
      </c>
      <c r="G1049" s="165">
        <v>9100</v>
      </c>
      <c r="H1049" s="165">
        <v>1</v>
      </c>
      <c r="I1049" s="164" t="s">
        <v>187</v>
      </c>
      <c r="J1049" s="164" t="s">
        <v>3569</v>
      </c>
      <c r="K1049" s="164" t="s">
        <v>3570</v>
      </c>
      <c r="L1049" s="165">
        <v>4</v>
      </c>
      <c r="M1049" s="165">
        <v>4</v>
      </c>
      <c r="N1049" s="164" t="s">
        <v>1548</v>
      </c>
      <c r="O1049" s="165">
        <v>2</v>
      </c>
      <c r="P1049" s="165">
        <v>0.3</v>
      </c>
      <c r="Q1049" s="165">
        <v>17</v>
      </c>
      <c r="R1049" s="164" t="s">
        <v>190</v>
      </c>
      <c r="S1049" s="164" t="s">
        <v>191</v>
      </c>
      <c r="T1049" s="165">
        <v>168</v>
      </c>
      <c r="U1049" s="164" t="s">
        <v>1569</v>
      </c>
      <c r="V1049" s="164" t="s">
        <v>1570</v>
      </c>
      <c r="W1049" s="165">
        <v>1</v>
      </c>
      <c r="X1049" s="165">
        <v>2</v>
      </c>
      <c r="Y1049" s="164" t="s">
        <v>194</v>
      </c>
      <c r="Z1049" s="164" t="s">
        <v>195</v>
      </c>
      <c r="AA1049" s="164" t="s">
        <v>196</v>
      </c>
      <c r="AB1049" s="164" t="s">
        <v>209</v>
      </c>
      <c r="AC1049" s="164" t="s">
        <v>187</v>
      </c>
      <c r="AD1049" s="165">
        <v>1</v>
      </c>
      <c r="AE1049" s="164" t="s">
        <v>209</v>
      </c>
      <c r="AF1049" s="165">
        <v>9.4474399998560994</v>
      </c>
      <c r="AG1049" s="166">
        <v>125.54842999964499</v>
      </c>
      <c r="AO1049" s="121"/>
      <c r="AT1049" s="111"/>
      <c r="AX1049" s="121"/>
    </row>
    <row r="1050" spans="1:50" s="110" customFormat="1" ht="20" customHeight="1">
      <c r="A1050" s="125" t="s">
        <v>239</v>
      </c>
      <c r="B1050" s="126" t="s">
        <v>67</v>
      </c>
      <c r="C1050" s="127">
        <v>18945</v>
      </c>
      <c r="D1050" s="163">
        <v>115483</v>
      </c>
      <c r="E1050" s="164" t="s">
        <v>3409</v>
      </c>
      <c r="F1050" s="164" t="s">
        <v>3409</v>
      </c>
      <c r="G1050" s="165">
        <v>7100</v>
      </c>
      <c r="H1050" s="165">
        <v>1</v>
      </c>
      <c r="I1050" s="164" t="s">
        <v>187</v>
      </c>
      <c r="J1050" s="164" t="s">
        <v>3410</v>
      </c>
      <c r="K1050" s="164" t="s">
        <v>3411</v>
      </c>
      <c r="L1050" s="165">
        <v>4</v>
      </c>
      <c r="M1050" s="165">
        <v>4</v>
      </c>
      <c r="N1050" s="164" t="s">
        <v>1548</v>
      </c>
      <c r="O1050" s="165">
        <v>3</v>
      </c>
      <c r="P1050" s="165">
        <v>0.5</v>
      </c>
      <c r="Q1050" s="165">
        <v>17</v>
      </c>
      <c r="R1050" s="164" t="s">
        <v>190</v>
      </c>
      <c r="S1050" s="164" t="s">
        <v>191</v>
      </c>
      <c r="T1050" s="165">
        <v>168</v>
      </c>
      <c r="U1050" s="164" t="s">
        <v>1569</v>
      </c>
      <c r="V1050" s="164" t="s">
        <v>1570</v>
      </c>
      <c r="W1050" s="165">
        <v>1</v>
      </c>
      <c r="X1050" s="165">
        <v>2</v>
      </c>
      <c r="Y1050" s="164" t="s">
        <v>194</v>
      </c>
      <c r="Z1050" s="164" t="s">
        <v>195</v>
      </c>
      <c r="AA1050" s="164" t="s">
        <v>196</v>
      </c>
      <c r="AB1050" s="164" t="s">
        <v>209</v>
      </c>
      <c r="AC1050" s="164" t="s">
        <v>187</v>
      </c>
      <c r="AD1050" s="165">
        <v>1</v>
      </c>
      <c r="AE1050" s="164" t="s">
        <v>209</v>
      </c>
      <c r="AF1050" s="165">
        <v>8.6273099999999996</v>
      </c>
      <c r="AG1050" s="166">
        <v>125.74173999999999</v>
      </c>
      <c r="AO1050" s="121"/>
      <c r="AT1050" s="111"/>
      <c r="AX1050" s="121"/>
    </row>
    <row r="1051" spans="1:50" s="110" customFormat="1" ht="20" customHeight="1">
      <c r="A1051" s="125" t="s">
        <v>239</v>
      </c>
      <c r="B1051" s="126" t="s">
        <v>67</v>
      </c>
      <c r="C1051" s="127">
        <v>11139</v>
      </c>
      <c r="D1051" s="163">
        <v>101937</v>
      </c>
      <c r="E1051" s="164" t="s">
        <v>3038</v>
      </c>
      <c r="F1051" s="164" t="s">
        <v>3038</v>
      </c>
      <c r="G1051" s="165">
        <v>4000</v>
      </c>
      <c r="H1051" s="165">
        <v>1</v>
      </c>
      <c r="I1051" s="164" t="s">
        <v>187</v>
      </c>
      <c r="J1051" s="164" t="s">
        <v>3039</v>
      </c>
      <c r="K1051" s="164" t="s">
        <v>3040</v>
      </c>
      <c r="L1051" s="165">
        <v>4</v>
      </c>
      <c r="M1051" s="165">
        <v>4</v>
      </c>
      <c r="N1051" s="164" t="s">
        <v>1548</v>
      </c>
      <c r="O1051" s="165">
        <v>5</v>
      </c>
      <c r="P1051" s="165">
        <v>1.5</v>
      </c>
      <c r="Q1051" s="165">
        <v>17</v>
      </c>
      <c r="R1051" s="164" t="s">
        <v>190</v>
      </c>
      <c r="S1051" s="164" t="s">
        <v>191</v>
      </c>
      <c r="T1051" s="165">
        <v>168</v>
      </c>
      <c r="U1051" s="164" t="s">
        <v>1569</v>
      </c>
      <c r="V1051" s="164" t="s">
        <v>1570</v>
      </c>
      <c r="W1051" s="165">
        <v>1</v>
      </c>
      <c r="X1051" s="165">
        <v>2</v>
      </c>
      <c r="Y1051" s="164" t="s">
        <v>194</v>
      </c>
      <c r="Z1051" s="164" t="s">
        <v>195</v>
      </c>
      <c r="AA1051" s="164" t="s">
        <v>196</v>
      </c>
      <c r="AB1051" s="164" t="s">
        <v>209</v>
      </c>
      <c r="AC1051" s="164" t="s">
        <v>187</v>
      </c>
      <c r="AD1051" s="165">
        <v>1</v>
      </c>
      <c r="AE1051" s="164" t="s">
        <v>209</v>
      </c>
      <c r="AF1051" s="165">
        <v>10.529047384229401</v>
      </c>
      <c r="AG1051" s="166">
        <v>119.281316931631</v>
      </c>
      <c r="AO1051" s="121"/>
      <c r="AT1051" s="111"/>
      <c r="AX1051" s="121"/>
    </row>
    <row r="1052" spans="1:50" s="110" customFormat="1" ht="20" customHeight="1">
      <c r="A1052" s="125" t="s">
        <v>239</v>
      </c>
      <c r="B1052" s="126" t="s">
        <v>67</v>
      </c>
      <c r="C1052" s="127">
        <v>15169</v>
      </c>
      <c r="D1052" s="163">
        <v>109684</v>
      </c>
      <c r="E1052" s="164" t="s">
        <v>2973</v>
      </c>
      <c r="F1052" s="164" t="s">
        <v>2973</v>
      </c>
      <c r="G1052" s="165">
        <v>3500</v>
      </c>
      <c r="H1052" s="165">
        <v>1</v>
      </c>
      <c r="I1052" s="164" t="s">
        <v>187</v>
      </c>
      <c r="J1052" s="164" t="s">
        <v>2974</v>
      </c>
      <c r="K1052" s="164" t="s">
        <v>2973</v>
      </c>
      <c r="L1052" s="165">
        <v>1</v>
      </c>
      <c r="M1052" s="165">
        <v>4</v>
      </c>
      <c r="N1052" s="164" t="s">
        <v>1548</v>
      </c>
      <c r="O1052" s="165">
        <v>4</v>
      </c>
      <c r="P1052" s="165">
        <v>2</v>
      </c>
      <c r="Q1052" s="165">
        <v>17</v>
      </c>
      <c r="R1052" s="164" t="s">
        <v>190</v>
      </c>
      <c r="S1052" s="164" t="s">
        <v>191</v>
      </c>
      <c r="T1052" s="165">
        <v>168</v>
      </c>
      <c r="U1052" s="164" t="s">
        <v>1569</v>
      </c>
      <c r="V1052" s="164" t="s">
        <v>1570</v>
      </c>
      <c r="W1052" s="165">
        <v>1</v>
      </c>
      <c r="X1052" s="165">
        <v>2</v>
      </c>
      <c r="Y1052" s="164" t="s">
        <v>194</v>
      </c>
      <c r="Z1052" s="164" t="s">
        <v>195</v>
      </c>
      <c r="AA1052" s="164" t="s">
        <v>196</v>
      </c>
      <c r="AB1052" s="164" t="s">
        <v>209</v>
      </c>
      <c r="AC1052" s="164" t="s">
        <v>187</v>
      </c>
      <c r="AD1052" s="165">
        <v>1</v>
      </c>
      <c r="AE1052" s="164" t="s">
        <v>209</v>
      </c>
      <c r="AF1052" s="165">
        <v>13.0211499997727</v>
      </c>
      <c r="AG1052" s="166">
        <v>121.30536999992501</v>
      </c>
      <c r="AO1052" s="121"/>
      <c r="AT1052" s="111"/>
      <c r="AX1052" s="121"/>
    </row>
    <row r="1053" spans="1:50" s="110" customFormat="1" ht="20" customHeight="1">
      <c r="A1053" s="125" t="s">
        <v>239</v>
      </c>
      <c r="B1053" s="126" t="s">
        <v>67</v>
      </c>
      <c r="C1053" s="127">
        <v>12392</v>
      </c>
      <c r="D1053" s="163">
        <v>104350</v>
      </c>
      <c r="E1053" s="164" t="s">
        <v>2288</v>
      </c>
      <c r="F1053" s="164" t="s">
        <v>2288</v>
      </c>
      <c r="G1053" s="165">
        <v>900</v>
      </c>
      <c r="H1053" s="165">
        <v>1</v>
      </c>
      <c r="I1053" s="164" t="s">
        <v>187</v>
      </c>
      <c r="J1053" s="164" t="s">
        <v>1723</v>
      </c>
      <c r="K1053" s="164" t="s">
        <v>1724</v>
      </c>
      <c r="L1053" s="165">
        <v>4</v>
      </c>
      <c r="M1053" s="165">
        <v>4</v>
      </c>
      <c r="N1053" s="164" t="s">
        <v>1548</v>
      </c>
      <c r="O1053" s="165">
        <v>4</v>
      </c>
      <c r="P1053" s="165">
        <v>1</v>
      </c>
      <c r="Q1053" s="165">
        <v>17</v>
      </c>
      <c r="R1053" s="164" t="s">
        <v>190</v>
      </c>
      <c r="S1053" s="164" t="s">
        <v>191</v>
      </c>
      <c r="T1053" s="165">
        <v>168</v>
      </c>
      <c r="U1053" s="164" t="s">
        <v>1569</v>
      </c>
      <c r="V1053" s="164" t="s">
        <v>1570</v>
      </c>
      <c r="W1053" s="165">
        <v>1</v>
      </c>
      <c r="X1053" s="165">
        <v>2</v>
      </c>
      <c r="Y1053" s="164" t="s">
        <v>194</v>
      </c>
      <c r="Z1053" s="164" t="s">
        <v>195</v>
      </c>
      <c r="AA1053" s="164" t="s">
        <v>196</v>
      </c>
      <c r="AB1053" s="164" t="s">
        <v>209</v>
      </c>
      <c r="AC1053" s="164" t="s">
        <v>187</v>
      </c>
      <c r="AD1053" s="165">
        <v>1</v>
      </c>
      <c r="AE1053" s="164" t="s">
        <v>209</v>
      </c>
      <c r="AF1053" s="165">
        <v>16.217600000000001</v>
      </c>
      <c r="AG1053" s="166">
        <v>121.87821</v>
      </c>
      <c r="AO1053" s="121"/>
      <c r="AT1053" s="111"/>
      <c r="AX1053" s="121"/>
    </row>
    <row r="1054" spans="1:50" s="110" customFormat="1" ht="20" customHeight="1">
      <c r="A1054" s="125" t="s">
        <v>239</v>
      </c>
      <c r="B1054" s="126" t="s">
        <v>67</v>
      </c>
      <c r="C1054" s="127">
        <v>15032</v>
      </c>
      <c r="D1054" s="163">
        <v>109467</v>
      </c>
      <c r="E1054" s="164" t="s">
        <v>2223</v>
      </c>
      <c r="F1054" s="164" t="s">
        <v>2223</v>
      </c>
      <c r="G1054" s="165">
        <v>800</v>
      </c>
      <c r="H1054" s="165">
        <v>1</v>
      </c>
      <c r="I1054" s="164" t="s">
        <v>187</v>
      </c>
      <c r="J1054" s="164" t="s">
        <v>2224</v>
      </c>
      <c r="K1054" s="164" t="s">
        <v>2225</v>
      </c>
      <c r="L1054" s="165">
        <v>0</v>
      </c>
      <c r="M1054" s="165">
        <v>4</v>
      </c>
      <c r="N1054" s="164" t="s">
        <v>1548</v>
      </c>
      <c r="O1054" s="165">
        <v>4</v>
      </c>
      <c r="P1054" s="165">
        <v>2</v>
      </c>
      <c r="Q1054" s="165">
        <v>17</v>
      </c>
      <c r="R1054" s="164" t="s">
        <v>190</v>
      </c>
      <c r="S1054" s="164" t="s">
        <v>191</v>
      </c>
      <c r="T1054" s="165">
        <v>168</v>
      </c>
      <c r="U1054" s="164" t="s">
        <v>1569</v>
      </c>
      <c r="V1054" s="164" t="s">
        <v>1570</v>
      </c>
      <c r="W1054" s="165">
        <v>1</v>
      </c>
      <c r="X1054" s="165">
        <v>2</v>
      </c>
      <c r="Y1054" s="164" t="s">
        <v>194</v>
      </c>
      <c r="Z1054" s="164" t="s">
        <v>195</v>
      </c>
      <c r="AA1054" s="164" t="s">
        <v>196</v>
      </c>
      <c r="AB1054" s="164" t="s">
        <v>209</v>
      </c>
      <c r="AC1054" s="164" t="s">
        <v>187</v>
      </c>
      <c r="AD1054" s="165">
        <v>1</v>
      </c>
      <c r="AE1054" s="164" t="s">
        <v>209</v>
      </c>
      <c r="AF1054" s="165">
        <v>17.980830000104401</v>
      </c>
      <c r="AG1054" s="166">
        <v>121.436259999699</v>
      </c>
      <c r="AO1054" s="121"/>
      <c r="AT1054" s="111"/>
      <c r="AX1054" s="121"/>
    </row>
    <row r="1055" spans="1:50" s="110" customFormat="1" ht="20" customHeight="1">
      <c r="A1055" s="125" t="s">
        <v>239</v>
      </c>
      <c r="B1055" s="126" t="s">
        <v>67</v>
      </c>
      <c r="C1055" s="127">
        <v>19189</v>
      </c>
      <c r="D1055" s="163">
        <v>115204</v>
      </c>
      <c r="E1055" s="164" t="s">
        <v>1982</v>
      </c>
      <c r="F1055" s="164" t="s">
        <v>1982</v>
      </c>
      <c r="G1055" s="165">
        <v>500</v>
      </c>
      <c r="H1055" s="165">
        <v>1</v>
      </c>
      <c r="I1055" s="164" t="s">
        <v>187</v>
      </c>
      <c r="J1055" s="164" t="s">
        <v>1983</v>
      </c>
      <c r="K1055" s="164" t="s">
        <v>1984</v>
      </c>
      <c r="L1055" s="165">
        <v>4</v>
      </c>
      <c r="M1055" s="165">
        <v>4</v>
      </c>
      <c r="N1055" s="164" t="s">
        <v>1548</v>
      </c>
      <c r="O1055" s="165">
        <v>5</v>
      </c>
      <c r="P1055" s="165">
        <v>1</v>
      </c>
      <c r="Q1055" s="165">
        <v>17</v>
      </c>
      <c r="R1055" s="164" t="s">
        <v>190</v>
      </c>
      <c r="S1055" s="164" t="s">
        <v>191</v>
      </c>
      <c r="T1055" s="165">
        <v>168</v>
      </c>
      <c r="U1055" s="164" t="s">
        <v>1569</v>
      </c>
      <c r="V1055" s="164" t="s">
        <v>1570</v>
      </c>
      <c r="W1055" s="165">
        <v>1</v>
      </c>
      <c r="X1055" s="165">
        <v>2</v>
      </c>
      <c r="Y1055" s="164" t="s">
        <v>194</v>
      </c>
      <c r="Z1055" s="164" t="s">
        <v>195</v>
      </c>
      <c r="AA1055" s="164" t="s">
        <v>196</v>
      </c>
      <c r="AB1055" s="164" t="s">
        <v>209</v>
      </c>
      <c r="AC1055" s="164" t="s">
        <v>187</v>
      </c>
      <c r="AD1055" s="165">
        <v>1</v>
      </c>
      <c r="AE1055" s="164" t="s">
        <v>209</v>
      </c>
      <c r="AF1055" s="165">
        <v>8.8385206796855904</v>
      </c>
      <c r="AG1055" s="166">
        <v>117.571367501409</v>
      </c>
      <c r="AO1055" s="121"/>
      <c r="AT1055" s="111"/>
      <c r="AX1055" s="121"/>
    </row>
    <row r="1056" spans="1:50" s="110" customFormat="1" ht="20" customHeight="1">
      <c r="A1056" s="125" t="s">
        <v>239</v>
      </c>
      <c r="B1056" s="126" t="s">
        <v>67</v>
      </c>
      <c r="C1056" s="127">
        <v>14722</v>
      </c>
      <c r="D1056" s="157">
        <v>101895</v>
      </c>
      <c r="E1056" s="158" t="s">
        <v>3312</v>
      </c>
      <c r="F1056" s="158" t="s">
        <v>3312</v>
      </c>
      <c r="G1056" s="159">
        <v>267000</v>
      </c>
      <c r="H1056" s="159">
        <v>2</v>
      </c>
      <c r="I1056" s="158" t="s">
        <v>209</v>
      </c>
      <c r="J1056" s="158" t="s">
        <v>3311</v>
      </c>
      <c r="K1056" s="158" t="s">
        <v>3312</v>
      </c>
      <c r="L1056" s="159">
        <v>2</v>
      </c>
      <c r="M1056" s="159">
        <v>4</v>
      </c>
      <c r="N1056" s="158" t="s">
        <v>1548</v>
      </c>
      <c r="O1056" s="159">
        <v>9</v>
      </c>
      <c r="P1056" s="159">
        <v>2</v>
      </c>
      <c r="Q1056" s="159">
        <v>17</v>
      </c>
      <c r="R1056" s="158" t="s">
        <v>190</v>
      </c>
      <c r="S1056" s="158" t="s">
        <v>191</v>
      </c>
      <c r="T1056" s="159">
        <v>168</v>
      </c>
      <c r="U1056" s="158" t="s">
        <v>1569</v>
      </c>
      <c r="V1056" s="158" t="s">
        <v>1570</v>
      </c>
      <c r="W1056" s="159">
        <v>1</v>
      </c>
      <c r="X1056" s="159">
        <v>2</v>
      </c>
      <c r="Y1056" s="158" t="s">
        <v>194</v>
      </c>
      <c r="Z1056" s="158" t="s">
        <v>195</v>
      </c>
      <c r="AA1056" s="158" t="s">
        <v>196</v>
      </c>
      <c r="AB1056" s="158" t="s">
        <v>209</v>
      </c>
      <c r="AC1056" s="158" t="s">
        <v>187</v>
      </c>
      <c r="AD1056" s="160"/>
      <c r="AE1056" s="158" t="s">
        <v>209</v>
      </c>
      <c r="AF1056" s="159">
        <v>7.5048100000814202</v>
      </c>
      <c r="AG1056" s="161">
        <v>126.409320000118</v>
      </c>
      <c r="AO1056" s="121"/>
      <c r="AT1056" s="111"/>
      <c r="AX1056" s="121"/>
    </row>
    <row r="1057" spans="1:50" s="110" customFormat="1" ht="20" customHeight="1">
      <c r="A1057" s="125" t="s">
        <v>239</v>
      </c>
      <c r="B1057" s="126" t="s">
        <v>67</v>
      </c>
      <c r="C1057" s="127">
        <v>19520</v>
      </c>
      <c r="D1057" s="157">
        <v>106279</v>
      </c>
      <c r="E1057" s="158" t="s">
        <v>4553</v>
      </c>
      <c r="F1057" s="158" t="s">
        <v>4553</v>
      </c>
      <c r="G1057" s="159">
        <v>82000</v>
      </c>
      <c r="H1057" s="159">
        <v>2</v>
      </c>
      <c r="I1057" s="158" t="s">
        <v>209</v>
      </c>
      <c r="J1057" s="158" t="s">
        <v>4554</v>
      </c>
      <c r="K1057" s="158" t="s">
        <v>4553</v>
      </c>
      <c r="L1057" s="159">
        <v>4</v>
      </c>
      <c r="M1057" s="159">
        <v>4</v>
      </c>
      <c r="N1057" s="158" t="s">
        <v>1548</v>
      </c>
      <c r="O1057" s="159">
        <v>6</v>
      </c>
      <c r="P1057" s="159">
        <v>1.5</v>
      </c>
      <c r="Q1057" s="159">
        <v>17</v>
      </c>
      <c r="R1057" s="158" t="s">
        <v>190</v>
      </c>
      <c r="S1057" s="158" t="s">
        <v>191</v>
      </c>
      <c r="T1057" s="159">
        <v>168</v>
      </c>
      <c r="U1057" s="158" t="s">
        <v>1569</v>
      </c>
      <c r="V1057" s="158" t="s">
        <v>1570</v>
      </c>
      <c r="W1057" s="159">
        <v>1</v>
      </c>
      <c r="X1057" s="159">
        <v>2</v>
      </c>
      <c r="Y1057" s="158" t="s">
        <v>194</v>
      </c>
      <c r="Z1057" s="158" t="s">
        <v>195</v>
      </c>
      <c r="AA1057" s="158" t="s">
        <v>196</v>
      </c>
      <c r="AB1057" s="158" t="s">
        <v>209</v>
      </c>
      <c r="AC1057" s="158" t="s">
        <v>187</v>
      </c>
      <c r="AD1057" s="160"/>
      <c r="AE1057" s="158" t="s">
        <v>209</v>
      </c>
      <c r="AF1057" s="159">
        <v>7.2864000000000004</v>
      </c>
      <c r="AG1057" s="161">
        <v>126.164</v>
      </c>
      <c r="AO1057" s="121"/>
      <c r="AT1057" s="111"/>
      <c r="AX1057" s="121"/>
    </row>
    <row r="1058" spans="1:50" s="110" customFormat="1" ht="20" customHeight="1">
      <c r="A1058" s="125" t="s">
        <v>239</v>
      </c>
      <c r="B1058" s="126" t="s">
        <v>67</v>
      </c>
      <c r="C1058" s="127">
        <v>15483</v>
      </c>
      <c r="D1058" s="157">
        <v>110052</v>
      </c>
      <c r="E1058" s="158" t="s">
        <v>3826</v>
      </c>
      <c r="F1058" s="158" t="s">
        <v>3826</v>
      </c>
      <c r="G1058" s="159">
        <v>45000</v>
      </c>
      <c r="H1058" s="159">
        <v>2</v>
      </c>
      <c r="I1058" s="158" t="s">
        <v>209</v>
      </c>
      <c r="J1058" s="158" t="s">
        <v>3825</v>
      </c>
      <c r="K1058" s="158" t="s">
        <v>3826</v>
      </c>
      <c r="L1058" s="159">
        <v>4</v>
      </c>
      <c r="M1058" s="159">
        <v>4</v>
      </c>
      <c r="N1058" s="158" t="s">
        <v>1548</v>
      </c>
      <c r="O1058" s="159">
        <v>6</v>
      </c>
      <c r="P1058" s="159">
        <v>1.5</v>
      </c>
      <c r="Q1058" s="159">
        <v>17</v>
      </c>
      <c r="R1058" s="158" t="s">
        <v>190</v>
      </c>
      <c r="S1058" s="158" t="s">
        <v>191</v>
      </c>
      <c r="T1058" s="159">
        <v>168</v>
      </c>
      <c r="U1058" s="158" t="s">
        <v>1569</v>
      </c>
      <c r="V1058" s="158" t="s">
        <v>1570</v>
      </c>
      <c r="W1058" s="159">
        <v>1</v>
      </c>
      <c r="X1058" s="159">
        <v>2</v>
      </c>
      <c r="Y1058" s="158" t="s">
        <v>194</v>
      </c>
      <c r="Z1058" s="158" t="s">
        <v>195</v>
      </c>
      <c r="AA1058" s="158" t="s">
        <v>196</v>
      </c>
      <c r="AB1058" s="158" t="s">
        <v>209</v>
      </c>
      <c r="AC1058" s="158" t="s">
        <v>187</v>
      </c>
      <c r="AD1058" s="160"/>
      <c r="AE1058" s="158" t="s">
        <v>209</v>
      </c>
      <c r="AF1058" s="159">
        <v>7.7212400001258699</v>
      </c>
      <c r="AG1058" s="161">
        <v>125.159709999916</v>
      </c>
      <c r="AO1058" s="121"/>
      <c r="AT1058" s="111"/>
      <c r="AX1058" s="121"/>
    </row>
    <row r="1059" spans="1:50" s="110" customFormat="1" ht="20" customHeight="1">
      <c r="A1059" s="125" t="s">
        <v>239</v>
      </c>
      <c r="B1059" s="126" t="s">
        <v>67</v>
      </c>
      <c r="C1059" s="127">
        <v>10477</v>
      </c>
      <c r="D1059" s="157">
        <v>100599</v>
      </c>
      <c r="E1059" s="158" t="s">
        <v>3769</v>
      </c>
      <c r="F1059" s="158" t="s">
        <v>3769</v>
      </c>
      <c r="G1059" s="159">
        <v>12000</v>
      </c>
      <c r="H1059" s="159">
        <v>2</v>
      </c>
      <c r="I1059" s="158" t="s">
        <v>209</v>
      </c>
      <c r="J1059" s="158" t="s">
        <v>3770</v>
      </c>
      <c r="K1059" s="158" t="s">
        <v>3771</v>
      </c>
      <c r="L1059" s="159">
        <v>1</v>
      </c>
      <c r="M1059" s="159">
        <v>4</v>
      </c>
      <c r="N1059" s="158" t="s">
        <v>1548</v>
      </c>
      <c r="O1059" s="159">
        <v>9</v>
      </c>
      <c r="P1059" s="159">
        <v>1.5</v>
      </c>
      <c r="Q1059" s="159">
        <v>17</v>
      </c>
      <c r="R1059" s="158" t="s">
        <v>190</v>
      </c>
      <c r="S1059" s="158" t="s">
        <v>191</v>
      </c>
      <c r="T1059" s="159">
        <v>168</v>
      </c>
      <c r="U1059" s="158" t="s">
        <v>1569</v>
      </c>
      <c r="V1059" s="158" t="s">
        <v>1570</v>
      </c>
      <c r="W1059" s="159">
        <v>1</v>
      </c>
      <c r="X1059" s="159">
        <v>2</v>
      </c>
      <c r="Y1059" s="158" t="s">
        <v>194</v>
      </c>
      <c r="Z1059" s="158" t="s">
        <v>195</v>
      </c>
      <c r="AA1059" s="158" t="s">
        <v>196</v>
      </c>
      <c r="AB1059" s="158" t="s">
        <v>209</v>
      </c>
      <c r="AC1059" s="158" t="s">
        <v>187</v>
      </c>
      <c r="AD1059" s="160"/>
      <c r="AE1059" s="158" t="s">
        <v>209</v>
      </c>
      <c r="AF1059" s="159">
        <v>11.129667167006099</v>
      </c>
      <c r="AG1059" s="161">
        <v>122.895526702895</v>
      </c>
      <c r="AO1059" s="121"/>
      <c r="AT1059" s="111"/>
      <c r="AX1059" s="121"/>
    </row>
    <row r="1060" spans="1:50" s="110" customFormat="1" ht="20" customHeight="1">
      <c r="A1060" s="125" t="s">
        <v>239</v>
      </c>
      <c r="B1060" s="126" t="s">
        <v>67</v>
      </c>
      <c r="C1060" s="127">
        <v>13182</v>
      </c>
      <c r="D1060" s="157">
        <v>105962</v>
      </c>
      <c r="E1060" s="158" t="s">
        <v>3723</v>
      </c>
      <c r="F1060" s="158" t="s">
        <v>3723</v>
      </c>
      <c r="G1060" s="159">
        <v>11000</v>
      </c>
      <c r="H1060" s="159">
        <v>2</v>
      </c>
      <c r="I1060" s="158" t="s">
        <v>209</v>
      </c>
      <c r="J1060" s="158" t="s">
        <v>3724</v>
      </c>
      <c r="K1060" s="158" t="s">
        <v>3723</v>
      </c>
      <c r="L1060" s="159">
        <v>0</v>
      </c>
      <c r="M1060" s="159">
        <v>4</v>
      </c>
      <c r="N1060" s="158" t="s">
        <v>1548</v>
      </c>
      <c r="O1060" s="159">
        <v>6</v>
      </c>
      <c r="P1060" s="159">
        <v>1.4</v>
      </c>
      <c r="Q1060" s="159">
        <v>17</v>
      </c>
      <c r="R1060" s="158" t="s">
        <v>190</v>
      </c>
      <c r="S1060" s="158" t="s">
        <v>191</v>
      </c>
      <c r="T1060" s="159">
        <v>168</v>
      </c>
      <c r="U1060" s="158" t="s">
        <v>1569</v>
      </c>
      <c r="V1060" s="158" t="s">
        <v>1570</v>
      </c>
      <c r="W1060" s="159">
        <v>1</v>
      </c>
      <c r="X1060" s="159">
        <v>2</v>
      </c>
      <c r="Y1060" s="158" t="s">
        <v>194</v>
      </c>
      <c r="Z1060" s="158" t="s">
        <v>195</v>
      </c>
      <c r="AA1060" s="158" t="s">
        <v>196</v>
      </c>
      <c r="AB1060" s="158" t="s">
        <v>209</v>
      </c>
      <c r="AC1060" s="158" t="s">
        <v>187</v>
      </c>
      <c r="AD1060" s="160"/>
      <c r="AE1060" s="158" t="s">
        <v>209</v>
      </c>
      <c r="AF1060" s="159">
        <v>17.668340000290801</v>
      </c>
      <c r="AG1060" s="161">
        <v>121.07311000012599</v>
      </c>
      <c r="AO1060" s="121"/>
      <c r="AT1060" s="111"/>
      <c r="AX1060" s="121"/>
    </row>
    <row r="1061" spans="1:50" s="110" customFormat="1" ht="20" customHeight="1">
      <c r="A1061" s="125" t="s">
        <v>239</v>
      </c>
      <c r="B1061" s="126" t="s">
        <v>67</v>
      </c>
      <c r="C1061" s="127">
        <v>10863</v>
      </c>
      <c r="D1061" s="157">
        <v>101470</v>
      </c>
      <c r="E1061" s="158" t="s">
        <v>3644</v>
      </c>
      <c r="F1061" s="158" t="s">
        <v>3645</v>
      </c>
      <c r="G1061" s="159">
        <v>10000</v>
      </c>
      <c r="H1061" s="159">
        <v>2</v>
      </c>
      <c r="I1061" s="158" t="s">
        <v>209</v>
      </c>
      <c r="J1061" s="158" t="s">
        <v>3646</v>
      </c>
      <c r="K1061" s="158" t="s">
        <v>3644</v>
      </c>
      <c r="L1061" s="159">
        <v>3</v>
      </c>
      <c r="M1061" s="159">
        <v>4</v>
      </c>
      <c r="N1061" s="158" t="s">
        <v>1548</v>
      </c>
      <c r="O1061" s="159">
        <v>16</v>
      </c>
      <c r="P1061" s="159">
        <v>2</v>
      </c>
      <c r="Q1061" s="159">
        <v>17</v>
      </c>
      <c r="R1061" s="158" t="s">
        <v>190</v>
      </c>
      <c r="S1061" s="158" t="s">
        <v>191</v>
      </c>
      <c r="T1061" s="159">
        <v>168</v>
      </c>
      <c r="U1061" s="158" t="s">
        <v>1569</v>
      </c>
      <c r="V1061" s="158" t="s">
        <v>1570</v>
      </c>
      <c r="W1061" s="159">
        <v>1</v>
      </c>
      <c r="X1061" s="159">
        <v>2</v>
      </c>
      <c r="Y1061" s="158" t="s">
        <v>194</v>
      </c>
      <c r="Z1061" s="158" t="s">
        <v>195</v>
      </c>
      <c r="AA1061" s="158" t="s">
        <v>196</v>
      </c>
      <c r="AB1061" s="158" t="s">
        <v>209</v>
      </c>
      <c r="AC1061" s="158" t="s">
        <v>187</v>
      </c>
      <c r="AD1061" s="160"/>
      <c r="AE1061" s="158" t="s">
        <v>209</v>
      </c>
      <c r="AF1061" s="159">
        <v>17.5972200004027</v>
      </c>
      <c r="AG1061" s="161">
        <v>120.87562999982499</v>
      </c>
      <c r="AO1061" s="121"/>
      <c r="AT1061" s="111"/>
      <c r="AX1061" s="121"/>
    </row>
    <row r="1062" spans="1:50" s="110" customFormat="1" ht="20" customHeight="1">
      <c r="A1062" s="125" t="s">
        <v>239</v>
      </c>
      <c r="B1062" s="126" t="s">
        <v>67</v>
      </c>
      <c r="C1062" s="127">
        <v>11793</v>
      </c>
      <c r="D1062" s="157">
        <v>103112</v>
      </c>
      <c r="E1062" s="158" t="s">
        <v>3494</v>
      </c>
      <c r="F1062" s="158" t="s">
        <v>3495</v>
      </c>
      <c r="G1062" s="159">
        <v>8200</v>
      </c>
      <c r="H1062" s="159">
        <v>2</v>
      </c>
      <c r="I1062" s="158" t="s">
        <v>209</v>
      </c>
      <c r="J1062" s="158" t="s">
        <v>3496</v>
      </c>
      <c r="K1062" s="158" t="s">
        <v>3494</v>
      </c>
      <c r="L1062" s="159">
        <v>4</v>
      </c>
      <c r="M1062" s="159">
        <v>4</v>
      </c>
      <c r="N1062" s="158" t="s">
        <v>1548</v>
      </c>
      <c r="O1062" s="159">
        <v>9</v>
      </c>
      <c r="P1062" s="159">
        <v>1.5</v>
      </c>
      <c r="Q1062" s="159">
        <v>17</v>
      </c>
      <c r="R1062" s="158" t="s">
        <v>190</v>
      </c>
      <c r="S1062" s="158" t="s">
        <v>191</v>
      </c>
      <c r="T1062" s="159">
        <v>168</v>
      </c>
      <c r="U1062" s="158" t="s">
        <v>1569</v>
      </c>
      <c r="V1062" s="158" t="s">
        <v>1570</v>
      </c>
      <c r="W1062" s="159">
        <v>1</v>
      </c>
      <c r="X1062" s="159">
        <v>2</v>
      </c>
      <c r="Y1062" s="158" t="s">
        <v>194</v>
      </c>
      <c r="Z1062" s="158" t="s">
        <v>195</v>
      </c>
      <c r="AA1062" s="158" t="s">
        <v>196</v>
      </c>
      <c r="AB1062" s="158" t="s">
        <v>209</v>
      </c>
      <c r="AC1062" s="158" t="s">
        <v>187</v>
      </c>
      <c r="AD1062" s="160"/>
      <c r="AE1062" s="158" t="s">
        <v>209</v>
      </c>
      <c r="AF1062" s="159">
        <v>17.223780000246801</v>
      </c>
      <c r="AG1062" s="161">
        <v>121.45519999987999</v>
      </c>
      <c r="AO1062" s="121"/>
      <c r="AT1062" s="111"/>
      <c r="AX1062" s="121"/>
    </row>
    <row r="1063" spans="1:50" s="110" customFormat="1" ht="20" customHeight="1">
      <c r="A1063" s="125" t="s">
        <v>239</v>
      </c>
      <c r="B1063" s="126" t="s">
        <v>67</v>
      </c>
      <c r="C1063" s="127">
        <v>19182</v>
      </c>
      <c r="D1063" s="157">
        <v>114967</v>
      </c>
      <c r="E1063" s="158" t="s">
        <v>3142</v>
      </c>
      <c r="F1063" s="158" t="s">
        <v>3142</v>
      </c>
      <c r="G1063" s="159">
        <v>4700</v>
      </c>
      <c r="H1063" s="159">
        <v>2</v>
      </c>
      <c r="I1063" s="158" t="s">
        <v>209</v>
      </c>
      <c r="J1063" s="158" t="s">
        <v>3143</v>
      </c>
      <c r="K1063" s="158" t="s">
        <v>3144</v>
      </c>
      <c r="L1063" s="159">
        <v>1</v>
      </c>
      <c r="M1063" s="159">
        <v>4</v>
      </c>
      <c r="N1063" s="158" t="s">
        <v>1548</v>
      </c>
      <c r="O1063" s="159">
        <v>12</v>
      </c>
      <c r="P1063" s="159">
        <v>1.5</v>
      </c>
      <c r="Q1063" s="159">
        <v>17</v>
      </c>
      <c r="R1063" s="158" t="s">
        <v>190</v>
      </c>
      <c r="S1063" s="158" t="s">
        <v>191</v>
      </c>
      <c r="T1063" s="159">
        <v>168</v>
      </c>
      <c r="U1063" s="158" t="s">
        <v>1569</v>
      </c>
      <c r="V1063" s="158" t="s">
        <v>1570</v>
      </c>
      <c r="W1063" s="159">
        <v>1</v>
      </c>
      <c r="X1063" s="159">
        <v>2</v>
      </c>
      <c r="Y1063" s="158" t="s">
        <v>194</v>
      </c>
      <c r="Z1063" s="158" t="s">
        <v>195</v>
      </c>
      <c r="AA1063" s="158" t="s">
        <v>196</v>
      </c>
      <c r="AB1063" s="158" t="s">
        <v>209</v>
      </c>
      <c r="AC1063" s="158" t="s">
        <v>187</v>
      </c>
      <c r="AD1063" s="160"/>
      <c r="AE1063" s="158" t="s">
        <v>209</v>
      </c>
      <c r="AF1063" s="159">
        <v>17.52759</v>
      </c>
      <c r="AG1063" s="161">
        <v>121.00941</v>
      </c>
      <c r="AO1063" s="121"/>
      <c r="AT1063" s="111"/>
      <c r="AX1063" s="121"/>
    </row>
    <row r="1064" spans="1:50" s="110" customFormat="1" ht="20" customHeight="1">
      <c r="A1064" s="125" t="s">
        <v>239</v>
      </c>
      <c r="B1064" s="126" t="s">
        <v>67</v>
      </c>
      <c r="C1064" s="127">
        <v>14273</v>
      </c>
      <c r="D1064" s="157">
        <v>107779</v>
      </c>
      <c r="E1064" s="158" t="s">
        <v>2986</v>
      </c>
      <c r="F1064" s="158" t="s">
        <v>2986</v>
      </c>
      <c r="G1064" s="159">
        <v>3600</v>
      </c>
      <c r="H1064" s="159">
        <v>2</v>
      </c>
      <c r="I1064" s="158" t="s">
        <v>209</v>
      </c>
      <c r="J1064" s="158" t="s">
        <v>2987</v>
      </c>
      <c r="K1064" s="158" t="s">
        <v>2988</v>
      </c>
      <c r="L1064" s="159">
        <v>3</v>
      </c>
      <c r="M1064" s="159">
        <v>4</v>
      </c>
      <c r="N1064" s="158" t="s">
        <v>1548</v>
      </c>
      <c r="O1064" s="159">
        <v>7</v>
      </c>
      <c r="P1064" s="159">
        <v>2</v>
      </c>
      <c r="Q1064" s="159">
        <v>17</v>
      </c>
      <c r="R1064" s="158" t="s">
        <v>190</v>
      </c>
      <c r="S1064" s="158" t="s">
        <v>191</v>
      </c>
      <c r="T1064" s="159">
        <v>168</v>
      </c>
      <c r="U1064" s="158" t="s">
        <v>1569</v>
      </c>
      <c r="V1064" s="158" t="s">
        <v>1570</v>
      </c>
      <c r="W1064" s="159">
        <v>1</v>
      </c>
      <c r="X1064" s="159">
        <v>2</v>
      </c>
      <c r="Y1064" s="158" t="s">
        <v>194</v>
      </c>
      <c r="Z1064" s="158" t="s">
        <v>195</v>
      </c>
      <c r="AA1064" s="158" t="s">
        <v>196</v>
      </c>
      <c r="AB1064" s="158" t="s">
        <v>209</v>
      </c>
      <c r="AC1064" s="158" t="s">
        <v>187</v>
      </c>
      <c r="AD1064" s="160"/>
      <c r="AE1064" s="158" t="s">
        <v>209</v>
      </c>
      <c r="AF1064" s="159">
        <v>10.1114800003018</v>
      </c>
      <c r="AG1064" s="161">
        <v>119.02538999964899</v>
      </c>
      <c r="AO1064" s="121"/>
      <c r="AT1064" s="111"/>
      <c r="AX1064" s="121"/>
    </row>
    <row r="1065" spans="1:50" s="110" customFormat="1" ht="20" customHeight="1">
      <c r="A1065" s="125" t="s">
        <v>239</v>
      </c>
      <c r="B1065" s="126" t="s">
        <v>67</v>
      </c>
      <c r="C1065" s="127">
        <v>12533</v>
      </c>
      <c r="D1065" s="157">
        <v>104652</v>
      </c>
      <c r="E1065" s="158" t="s">
        <v>2781</v>
      </c>
      <c r="F1065" s="158" t="s">
        <v>2781</v>
      </c>
      <c r="G1065" s="159">
        <v>2300</v>
      </c>
      <c r="H1065" s="159">
        <v>2</v>
      </c>
      <c r="I1065" s="158" t="s">
        <v>209</v>
      </c>
      <c r="J1065" s="158" t="s">
        <v>2782</v>
      </c>
      <c r="K1065" s="158" t="s">
        <v>2781</v>
      </c>
      <c r="L1065" s="159">
        <v>3</v>
      </c>
      <c r="M1065" s="159">
        <v>4</v>
      </c>
      <c r="N1065" s="158" t="s">
        <v>1548</v>
      </c>
      <c r="O1065" s="159">
        <v>8</v>
      </c>
      <c r="P1065" s="159">
        <v>1</v>
      </c>
      <c r="Q1065" s="159">
        <v>17</v>
      </c>
      <c r="R1065" s="158" t="s">
        <v>190</v>
      </c>
      <c r="S1065" s="158" t="s">
        <v>191</v>
      </c>
      <c r="T1065" s="159">
        <v>168</v>
      </c>
      <c r="U1065" s="158" t="s">
        <v>1569</v>
      </c>
      <c r="V1065" s="158" t="s">
        <v>1570</v>
      </c>
      <c r="W1065" s="159">
        <v>1</v>
      </c>
      <c r="X1065" s="159">
        <v>2</v>
      </c>
      <c r="Y1065" s="158" t="s">
        <v>194</v>
      </c>
      <c r="Z1065" s="158" t="s">
        <v>195</v>
      </c>
      <c r="AA1065" s="158" t="s">
        <v>196</v>
      </c>
      <c r="AB1065" s="158" t="s">
        <v>209</v>
      </c>
      <c r="AC1065" s="158" t="s">
        <v>187</v>
      </c>
      <c r="AD1065" s="160"/>
      <c r="AE1065" s="158" t="s">
        <v>209</v>
      </c>
      <c r="AF1065" s="159">
        <v>16.5655099996867</v>
      </c>
      <c r="AG1065" s="161">
        <v>120.95636000041399</v>
      </c>
      <c r="AO1065" s="121"/>
      <c r="AT1065" s="111"/>
      <c r="AX1065" s="121"/>
    </row>
    <row r="1066" spans="1:50" s="110" customFormat="1" ht="20" customHeight="1">
      <c r="A1066" s="125" t="s">
        <v>239</v>
      </c>
      <c r="B1066" s="126" t="s">
        <v>67</v>
      </c>
      <c r="C1066" s="127">
        <v>12261</v>
      </c>
      <c r="D1066" s="157">
        <v>104078</v>
      </c>
      <c r="E1066" s="158" t="s">
        <v>2383</v>
      </c>
      <c r="F1066" s="158" t="s">
        <v>2383</v>
      </c>
      <c r="G1066" s="159">
        <v>1100</v>
      </c>
      <c r="H1066" s="159">
        <v>2</v>
      </c>
      <c r="I1066" s="158" t="s">
        <v>209</v>
      </c>
      <c r="J1066" s="158" t="s">
        <v>2384</v>
      </c>
      <c r="K1066" s="158" t="s">
        <v>2385</v>
      </c>
      <c r="L1066" s="159">
        <v>5</v>
      </c>
      <c r="M1066" s="159">
        <v>4</v>
      </c>
      <c r="N1066" s="158" t="s">
        <v>1548</v>
      </c>
      <c r="O1066" s="159">
        <v>8</v>
      </c>
      <c r="P1066" s="159">
        <v>1</v>
      </c>
      <c r="Q1066" s="159">
        <v>17</v>
      </c>
      <c r="R1066" s="158" t="s">
        <v>190</v>
      </c>
      <c r="S1066" s="158" t="s">
        <v>191</v>
      </c>
      <c r="T1066" s="159">
        <v>168</v>
      </c>
      <c r="U1066" s="158" t="s">
        <v>1569</v>
      </c>
      <c r="V1066" s="158" t="s">
        <v>1570</v>
      </c>
      <c r="W1066" s="159">
        <v>1</v>
      </c>
      <c r="X1066" s="159">
        <v>2</v>
      </c>
      <c r="Y1066" s="158" t="s">
        <v>194</v>
      </c>
      <c r="Z1066" s="158" t="s">
        <v>195</v>
      </c>
      <c r="AA1066" s="158" t="s">
        <v>196</v>
      </c>
      <c r="AB1066" s="158" t="s">
        <v>209</v>
      </c>
      <c r="AC1066" s="158" t="s">
        <v>187</v>
      </c>
      <c r="AD1066" s="160"/>
      <c r="AE1066" s="158" t="s">
        <v>209</v>
      </c>
      <c r="AF1066" s="159">
        <v>13.662083447293201</v>
      </c>
      <c r="AG1066" s="161">
        <v>123.518765406398</v>
      </c>
      <c r="AO1066" s="121"/>
      <c r="AT1066" s="111"/>
      <c r="AX1066" s="121"/>
    </row>
    <row r="1067" spans="1:50" s="110" customFormat="1" ht="20" customHeight="1">
      <c r="A1067" s="125" t="s">
        <v>239</v>
      </c>
      <c r="B1067" s="126" t="s">
        <v>67</v>
      </c>
      <c r="C1067" s="127">
        <v>14466</v>
      </c>
      <c r="D1067" s="157">
        <v>108156</v>
      </c>
      <c r="E1067" s="158" t="s">
        <v>2339</v>
      </c>
      <c r="F1067" s="158" t="s">
        <v>2339</v>
      </c>
      <c r="G1067" s="159">
        <v>1000</v>
      </c>
      <c r="H1067" s="159">
        <v>2</v>
      </c>
      <c r="I1067" s="158" t="s">
        <v>209</v>
      </c>
      <c r="J1067" s="158" t="s">
        <v>2340</v>
      </c>
      <c r="K1067" s="158" t="s">
        <v>2339</v>
      </c>
      <c r="L1067" s="159">
        <v>0</v>
      </c>
      <c r="M1067" s="159">
        <v>4</v>
      </c>
      <c r="N1067" s="158" t="s">
        <v>1548</v>
      </c>
      <c r="O1067" s="159">
        <v>6</v>
      </c>
      <c r="P1067" s="159">
        <v>1</v>
      </c>
      <c r="Q1067" s="159">
        <v>17</v>
      </c>
      <c r="R1067" s="158" t="s">
        <v>190</v>
      </c>
      <c r="S1067" s="158" t="s">
        <v>191</v>
      </c>
      <c r="T1067" s="159">
        <v>168</v>
      </c>
      <c r="U1067" s="158" t="s">
        <v>1569</v>
      </c>
      <c r="V1067" s="158" t="s">
        <v>1570</v>
      </c>
      <c r="W1067" s="159">
        <v>1</v>
      </c>
      <c r="X1067" s="159">
        <v>2</v>
      </c>
      <c r="Y1067" s="158" t="s">
        <v>194</v>
      </c>
      <c r="Z1067" s="158" t="s">
        <v>195</v>
      </c>
      <c r="AA1067" s="158" t="s">
        <v>196</v>
      </c>
      <c r="AB1067" s="158" t="s">
        <v>209</v>
      </c>
      <c r="AC1067" s="158" t="s">
        <v>187</v>
      </c>
      <c r="AD1067" s="160"/>
      <c r="AE1067" s="158" t="s">
        <v>209</v>
      </c>
      <c r="AF1067" s="159">
        <v>18.211159999934001</v>
      </c>
      <c r="AG1067" s="161">
        <v>121.378609999552</v>
      </c>
      <c r="AO1067" s="121"/>
      <c r="AT1067" s="111"/>
      <c r="AX1067" s="121"/>
    </row>
    <row r="1068" spans="1:50" s="110" customFormat="1" ht="20" customHeight="1">
      <c r="A1068" s="125" t="s">
        <v>239</v>
      </c>
      <c r="B1068" s="126" t="s">
        <v>67</v>
      </c>
      <c r="C1068" s="127">
        <v>14008</v>
      </c>
      <c r="D1068" s="157">
        <v>107433</v>
      </c>
      <c r="E1068" s="158" t="s">
        <v>2056</v>
      </c>
      <c r="F1068" s="158" t="s">
        <v>2056</v>
      </c>
      <c r="G1068" s="159">
        <v>600</v>
      </c>
      <c r="H1068" s="159">
        <v>2</v>
      </c>
      <c r="I1068" s="158" t="s">
        <v>209</v>
      </c>
      <c r="J1068" s="158" t="s">
        <v>2057</v>
      </c>
      <c r="K1068" s="158" t="s">
        <v>2056</v>
      </c>
      <c r="L1068" s="159">
        <v>1</v>
      </c>
      <c r="M1068" s="159">
        <v>4</v>
      </c>
      <c r="N1068" s="158" t="s">
        <v>1548</v>
      </c>
      <c r="O1068" s="159">
        <v>10</v>
      </c>
      <c r="P1068" s="159">
        <v>2</v>
      </c>
      <c r="Q1068" s="159">
        <v>17</v>
      </c>
      <c r="R1068" s="158" t="s">
        <v>190</v>
      </c>
      <c r="S1068" s="158" t="s">
        <v>191</v>
      </c>
      <c r="T1068" s="159">
        <v>168</v>
      </c>
      <c r="U1068" s="158" t="s">
        <v>1569</v>
      </c>
      <c r="V1068" s="158" t="s">
        <v>1570</v>
      </c>
      <c r="W1068" s="159">
        <v>1</v>
      </c>
      <c r="X1068" s="159">
        <v>2</v>
      </c>
      <c r="Y1068" s="158" t="s">
        <v>194</v>
      </c>
      <c r="Z1068" s="158" t="s">
        <v>195</v>
      </c>
      <c r="AA1068" s="158" t="s">
        <v>196</v>
      </c>
      <c r="AB1068" s="158" t="s">
        <v>209</v>
      </c>
      <c r="AC1068" s="158" t="s">
        <v>187</v>
      </c>
      <c r="AD1068" s="160"/>
      <c r="AE1068" s="158" t="s">
        <v>209</v>
      </c>
      <c r="AF1068" s="159">
        <v>15.6913</v>
      </c>
      <c r="AG1068" s="161">
        <v>121.45394</v>
      </c>
      <c r="AO1068" s="121"/>
      <c r="AT1068" s="111"/>
      <c r="AX1068" s="121"/>
    </row>
    <row r="1069" spans="1:50" s="110" customFormat="1" ht="20" customHeight="1">
      <c r="A1069" s="125" t="s">
        <v>239</v>
      </c>
      <c r="B1069" s="126" t="s">
        <v>67</v>
      </c>
      <c r="C1069" s="127">
        <v>12232</v>
      </c>
      <c r="D1069" s="145">
        <v>104034</v>
      </c>
      <c r="E1069" s="146" t="s">
        <v>4736</v>
      </c>
      <c r="F1069" s="146" t="s">
        <v>4737</v>
      </c>
      <c r="G1069" s="147">
        <v>197000</v>
      </c>
      <c r="H1069" s="147">
        <v>4</v>
      </c>
      <c r="I1069" s="146" t="s">
        <v>209</v>
      </c>
      <c r="J1069" s="146" t="s">
        <v>4738</v>
      </c>
      <c r="K1069" s="146" t="s">
        <v>4739</v>
      </c>
      <c r="L1069" s="147">
        <v>4</v>
      </c>
      <c r="M1069" s="147">
        <v>4</v>
      </c>
      <c r="N1069" s="146" t="s">
        <v>1548</v>
      </c>
      <c r="O1069" s="147">
        <v>30</v>
      </c>
      <c r="P1069" s="147">
        <v>7</v>
      </c>
      <c r="Q1069" s="147">
        <v>17</v>
      </c>
      <c r="R1069" s="146" t="s">
        <v>190</v>
      </c>
      <c r="S1069" s="146" t="s">
        <v>191</v>
      </c>
      <c r="T1069" s="147">
        <v>168</v>
      </c>
      <c r="U1069" s="146" t="s">
        <v>1569</v>
      </c>
      <c r="V1069" s="146" t="s">
        <v>1570</v>
      </c>
      <c r="W1069" s="147">
        <v>1</v>
      </c>
      <c r="X1069" s="147">
        <v>2</v>
      </c>
      <c r="Y1069" s="146" t="s">
        <v>194</v>
      </c>
      <c r="Z1069" s="146" t="s">
        <v>195</v>
      </c>
      <c r="AA1069" s="146" t="s">
        <v>196</v>
      </c>
      <c r="AB1069" s="146" t="s">
        <v>209</v>
      </c>
      <c r="AC1069" s="146" t="s">
        <v>187</v>
      </c>
      <c r="AD1069" s="148"/>
      <c r="AE1069" s="146" t="s">
        <v>209</v>
      </c>
      <c r="AF1069" s="147">
        <v>16.426249999737699</v>
      </c>
      <c r="AG1069" s="149">
        <v>120.695079999642</v>
      </c>
      <c r="AO1069" s="121"/>
      <c r="AT1069" s="111"/>
      <c r="AX1069" s="121"/>
    </row>
    <row r="1070" spans="1:50" s="110" customFormat="1" ht="20" customHeight="1">
      <c r="A1070" s="125" t="s">
        <v>239</v>
      </c>
      <c r="B1070" s="126" t="s">
        <v>67</v>
      </c>
      <c r="C1070" s="127">
        <v>15470</v>
      </c>
      <c r="D1070" s="145">
        <v>110036</v>
      </c>
      <c r="E1070" s="146" t="s">
        <v>4681</v>
      </c>
      <c r="F1070" s="146" t="s">
        <v>4682</v>
      </c>
      <c r="G1070" s="147">
        <v>136000</v>
      </c>
      <c r="H1070" s="147">
        <v>4</v>
      </c>
      <c r="I1070" s="146" t="s">
        <v>209</v>
      </c>
      <c r="J1070" s="146" t="s">
        <v>4683</v>
      </c>
      <c r="K1070" s="146" t="s">
        <v>4684</v>
      </c>
      <c r="L1070" s="147">
        <v>5</v>
      </c>
      <c r="M1070" s="147">
        <v>4</v>
      </c>
      <c r="N1070" s="146" t="s">
        <v>1548</v>
      </c>
      <c r="O1070" s="147">
        <v>24</v>
      </c>
      <c r="P1070" s="147">
        <v>6</v>
      </c>
      <c r="Q1070" s="147">
        <v>17</v>
      </c>
      <c r="R1070" s="146" t="s">
        <v>190</v>
      </c>
      <c r="S1070" s="146" t="s">
        <v>191</v>
      </c>
      <c r="T1070" s="147">
        <v>168</v>
      </c>
      <c r="U1070" s="146" t="s">
        <v>1569</v>
      </c>
      <c r="V1070" s="146" t="s">
        <v>1570</v>
      </c>
      <c r="W1070" s="147">
        <v>1</v>
      </c>
      <c r="X1070" s="147">
        <v>2</v>
      </c>
      <c r="Y1070" s="146" t="s">
        <v>194</v>
      </c>
      <c r="Z1070" s="146" t="s">
        <v>195</v>
      </c>
      <c r="AA1070" s="146" t="s">
        <v>196</v>
      </c>
      <c r="AB1070" s="146" t="s">
        <v>209</v>
      </c>
      <c r="AC1070" s="146" t="s">
        <v>187</v>
      </c>
      <c r="AD1070" s="148"/>
      <c r="AE1070" s="146" t="s">
        <v>209</v>
      </c>
      <c r="AF1070" s="147">
        <v>6.2037699996857301</v>
      </c>
      <c r="AG1070" s="149">
        <v>124.537549999932</v>
      </c>
      <c r="AO1070" s="121"/>
      <c r="AT1070" s="111"/>
      <c r="AX1070" s="121"/>
    </row>
    <row r="1071" spans="1:50" s="110" customFormat="1" ht="20" customHeight="1">
      <c r="A1071" s="125" t="s">
        <v>239</v>
      </c>
      <c r="B1071" s="126" t="s">
        <v>67</v>
      </c>
      <c r="C1071" s="127">
        <v>12498</v>
      </c>
      <c r="D1071" s="145">
        <v>104587</v>
      </c>
      <c r="E1071" s="146" t="s">
        <v>4678</v>
      </c>
      <c r="F1071" s="146" t="s">
        <v>4678</v>
      </c>
      <c r="G1071" s="147">
        <v>133000</v>
      </c>
      <c r="H1071" s="147">
        <v>4</v>
      </c>
      <c r="I1071" s="146" t="s">
        <v>209</v>
      </c>
      <c r="J1071" s="146" t="s">
        <v>4679</v>
      </c>
      <c r="K1071" s="146" t="s">
        <v>4678</v>
      </c>
      <c r="L1071" s="147">
        <v>4</v>
      </c>
      <c r="M1071" s="147">
        <v>4</v>
      </c>
      <c r="N1071" s="146" t="s">
        <v>1548</v>
      </c>
      <c r="O1071" s="147">
        <v>26</v>
      </c>
      <c r="P1071" s="147">
        <v>8</v>
      </c>
      <c r="Q1071" s="147">
        <v>17</v>
      </c>
      <c r="R1071" s="146" t="s">
        <v>190</v>
      </c>
      <c r="S1071" s="146" t="s">
        <v>191</v>
      </c>
      <c r="T1071" s="147">
        <v>168</v>
      </c>
      <c r="U1071" s="146" t="s">
        <v>1569</v>
      </c>
      <c r="V1071" s="146" t="s">
        <v>1570</v>
      </c>
      <c r="W1071" s="147">
        <v>1</v>
      </c>
      <c r="X1071" s="147">
        <v>2</v>
      </c>
      <c r="Y1071" s="146" t="s">
        <v>194</v>
      </c>
      <c r="Z1071" s="146" t="s">
        <v>195</v>
      </c>
      <c r="AA1071" s="146" t="s">
        <v>196</v>
      </c>
      <c r="AB1071" s="146" t="s">
        <v>209</v>
      </c>
      <c r="AC1071" s="146" t="s">
        <v>187</v>
      </c>
      <c r="AD1071" s="148"/>
      <c r="AE1071" s="146" t="s">
        <v>209</v>
      </c>
      <c r="AF1071" s="147">
        <v>17.127220000000001</v>
      </c>
      <c r="AG1071" s="149">
        <v>120.80177</v>
      </c>
      <c r="AO1071" s="121"/>
      <c r="AT1071" s="111"/>
      <c r="AX1071" s="121"/>
    </row>
    <row r="1072" spans="1:50" s="110" customFormat="1" ht="20" customHeight="1">
      <c r="A1072" s="125" t="s">
        <v>239</v>
      </c>
      <c r="B1072" s="126" t="s">
        <v>67</v>
      </c>
      <c r="C1072" s="127">
        <v>10186</v>
      </c>
      <c r="D1072" s="145">
        <v>100129</v>
      </c>
      <c r="E1072" s="146" t="s">
        <v>3411</v>
      </c>
      <c r="F1072" s="146" t="s">
        <v>3411</v>
      </c>
      <c r="G1072" s="147">
        <v>75000</v>
      </c>
      <c r="H1072" s="147">
        <v>4</v>
      </c>
      <c r="I1072" s="146" t="s">
        <v>209</v>
      </c>
      <c r="J1072" s="146" t="s">
        <v>3410</v>
      </c>
      <c r="K1072" s="146" t="s">
        <v>3411</v>
      </c>
      <c r="L1072" s="147">
        <v>4</v>
      </c>
      <c r="M1072" s="147">
        <v>4</v>
      </c>
      <c r="N1072" s="146" t="s">
        <v>1548</v>
      </c>
      <c r="O1072" s="147">
        <v>8</v>
      </c>
      <c r="P1072" s="147">
        <v>6</v>
      </c>
      <c r="Q1072" s="147">
        <v>17</v>
      </c>
      <c r="R1072" s="146" t="s">
        <v>190</v>
      </c>
      <c r="S1072" s="146" t="s">
        <v>191</v>
      </c>
      <c r="T1072" s="147">
        <v>168</v>
      </c>
      <c r="U1072" s="146" t="s">
        <v>1569</v>
      </c>
      <c r="V1072" s="146" t="s">
        <v>1570</v>
      </c>
      <c r="W1072" s="147">
        <v>1</v>
      </c>
      <c r="X1072" s="147">
        <v>2</v>
      </c>
      <c r="Y1072" s="146" t="s">
        <v>194</v>
      </c>
      <c r="Z1072" s="146" t="s">
        <v>195</v>
      </c>
      <c r="AA1072" s="146" t="s">
        <v>196</v>
      </c>
      <c r="AB1072" s="146" t="s">
        <v>209</v>
      </c>
      <c r="AC1072" s="146" t="s">
        <v>187</v>
      </c>
      <c r="AD1072" s="148"/>
      <c r="AE1072" s="146" t="s">
        <v>209</v>
      </c>
      <c r="AF1072" s="147">
        <v>8.6273100003562</v>
      </c>
      <c r="AG1072" s="149">
        <v>125.741740000101</v>
      </c>
      <c r="AO1072" s="121"/>
      <c r="AT1072" s="111"/>
      <c r="AX1072" s="121"/>
    </row>
    <row r="1073" spans="1:50" s="110" customFormat="1" ht="20" customHeight="1">
      <c r="A1073" s="125" t="s">
        <v>239</v>
      </c>
      <c r="B1073" s="126" t="s">
        <v>67</v>
      </c>
      <c r="C1073" s="127">
        <v>14113</v>
      </c>
      <c r="D1073" s="145">
        <v>107582</v>
      </c>
      <c r="E1073" s="146" t="s">
        <v>4524</v>
      </c>
      <c r="F1073" s="146" t="s">
        <v>4524</v>
      </c>
      <c r="G1073" s="147">
        <v>73000</v>
      </c>
      <c r="H1073" s="147">
        <v>4</v>
      </c>
      <c r="I1073" s="146" t="s">
        <v>209</v>
      </c>
      <c r="J1073" s="146" t="s">
        <v>4525</v>
      </c>
      <c r="K1073" s="146" t="s">
        <v>4526</v>
      </c>
      <c r="L1073" s="147">
        <v>4</v>
      </c>
      <c r="M1073" s="147">
        <v>4</v>
      </c>
      <c r="N1073" s="146" t="s">
        <v>1548</v>
      </c>
      <c r="O1073" s="147">
        <v>7</v>
      </c>
      <c r="P1073" s="147">
        <v>3</v>
      </c>
      <c r="Q1073" s="147">
        <v>17</v>
      </c>
      <c r="R1073" s="146" t="s">
        <v>190</v>
      </c>
      <c r="S1073" s="146" t="s">
        <v>191</v>
      </c>
      <c r="T1073" s="147">
        <v>168</v>
      </c>
      <c r="U1073" s="146" t="s">
        <v>1569</v>
      </c>
      <c r="V1073" s="146" t="s">
        <v>1570</v>
      </c>
      <c r="W1073" s="147">
        <v>1</v>
      </c>
      <c r="X1073" s="147">
        <v>2</v>
      </c>
      <c r="Y1073" s="146" t="s">
        <v>194</v>
      </c>
      <c r="Z1073" s="146" t="s">
        <v>195</v>
      </c>
      <c r="AA1073" s="146" t="s">
        <v>196</v>
      </c>
      <c r="AB1073" s="146" t="s">
        <v>209</v>
      </c>
      <c r="AC1073" s="146" t="s">
        <v>187</v>
      </c>
      <c r="AD1073" s="148"/>
      <c r="AE1073" s="146" t="s">
        <v>209</v>
      </c>
      <c r="AF1073" s="147">
        <v>7.2914100003712301</v>
      </c>
      <c r="AG1073" s="149">
        <v>125.090179999607</v>
      </c>
      <c r="AO1073" s="121"/>
      <c r="AT1073" s="111"/>
      <c r="AX1073" s="121"/>
    </row>
    <row r="1074" spans="1:50" s="110" customFormat="1" ht="20" customHeight="1">
      <c r="A1074" s="125" t="s">
        <v>239</v>
      </c>
      <c r="B1074" s="126" t="s">
        <v>67</v>
      </c>
      <c r="C1074" s="127">
        <v>15502</v>
      </c>
      <c r="D1074" s="145">
        <v>110084</v>
      </c>
      <c r="E1074" s="146" t="s">
        <v>4507</v>
      </c>
      <c r="F1074" s="146" t="s">
        <v>4507</v>
      </c>
      <c r="G1074" s="147">
        <v>69000</v>
      </c>
      <c r="H1074" s="147">
        <v>4</v>
      </c>
      <c r="I1074" s="146" t="s">
        <v>209</v>
      </c>
      <c r="J1074" s="146" t="s">
        <v>4508</v>
      </c>
      <c r="K1074" s="146" t="s">
        <v>4507</v>
      </c>
      <c r="L1074" s="147">
        <v>4</v>
      </c>
      <c r="M1074" s="147">
        <v>4</v>
      </c>
      <c r="N1074" s="146" t="s">
        <v>1548</v>
      </c>
      <c r="O1074" s="147">
        <v>20</v>
      </c>
      <c r="P1074" s="147">
        <v>7.5</v>
      </c>
      <c r="Q1074" s="147">
        <v>17</v>
      </c>
      <c r="R1074" s="146" t="s">
        <v>190</v>
      </c>
      <c r="S1074" s="146" t="s">
        <v>191</v>
      </c>
      <c r="T1074" s="147">
        <v>168</v>
      </c>
      <c r="U1074" s="146" t="s">
        <v>1569</v>
      </c>
      <c r="V1074" s="146" t="s">
        <v>1570</v>
      </c>
      <c r="W1074" s="147">
        <v>1</v>
      </c>
      <c r="X1074" s="147">
        <v>2</v>
      </c>
      <c r="Y1074" s="146" t="s">
        <v>194</v>
      </c>
      <c r="Z1074" s="146" t="s">
        <v>195</v>
      </c>
      <c r="AA1074" s="146" t="s">
        <v>196</v>
      </c>
      <c r="AB1074" s="146" t="s">
        <v>209</v>
      </c>
      <c r="AC1074" s="146" t="s">
        <v>187</v>
      </c>
      <c r="AD1074" s="148"/>
      <c r="AE1074" s="146" t="s">
        <v>209</v>
      </c>
      <c r="AF1074" s="147">
        <v>6.7732100002413098</v>
      </c>
      <c r="AG1074" s="149">
        <v>124.126729999989</v>
      </c>
      <c r="AO1074" s="121"/>
      <c r="AT1074" s="111"/>
      <c r="AX1074" s="121"/>
    </row>
    <row r="1075" spans="1:50" s="110" customFormat="1" ht="20" customHeight="1">
      <c r="A1075" s="125" t="s">
        <v>239</v>
      </c>
      <c r="B1075" s="126" t="s">
        <v>67</v>
      </c>
      <c r="C1075" s="127">
        <v>15172</v>
      </c>
      <c r="D1075" s="145">
        <v>109689</v>
      </c>
      <c r="E1075" s="146" t="s">
        <v>4484</v>
      </c>
      <c r="F1075" s="146" t="s">
        <v>4484</v>
      </c>
      <c r="G1075" s="147">
        <v>64000</v>
      </c>
      <c r="H1075" s="147">
        <v>4</v>
      </c>
      <c r="I1075" s="146" t="s">
        <v>209</v>
      </c>
      <c r="J1075" s="146" t="s">
        <v>4485</v>
      </c>
      <c r="K1075" s="146" t="s">
        <v>4486</v>
      </c>
      <c r="L1075" s="147">
        <v>4</v>
      </c>
      <c r="M1075" s="147">
        <v>4</v>
      </c>
      <c r="N1075" s="146" t="s">
        <v>1548</v>
      </c>
      <c r="O1075" s="147">
        <v>24</v>
      </c>
      <c r="P1075" s="147">
        <v>9</v>
      </c>
      <c r="Q1075" s="147">
        <v>17</v>
      </c>
      <c r="R1075" s="146" t="s">
        <v>190</v>
      </c>
      <c r="S1075" s="146" t="s">
        <v>191</v>
      </c>
      <c r="T1075" s="147">
        <v>168</v>
      </c>
      <c r="U1075" s="146" t="s">
        <v>1569</v>
      </c>
      <c r="V1075" s="146" t="s">
        <v>1570</v>
      </c>
      <c r="W1075" s="147">
        <v>1</v>
      </c>
      <c r="X1075" s="147">
        <v>2</v>
      </c>
      <c r="Y1075" s="146" t="s">
        <v>194</v>
      </c>
      <c r="Z1075" s="146" t="s">
        <v>195</v>
      </c>
      <c r="AA1075" s="146" t="s">
        <v>196</v>
      </c>
      <c r="AB1075" s="146" t="s">
        <v>209</v>
      </c>
      <c r="AC1075" s="146" t="s">
        <v>187</v>
      </c>
      <c r="AD1075" s="148"/>
      <c r="AE1075" s="146" t="s">
        <v>209</v>
      </c>
      <c r="AF1075" s="147">
        <v>6.9711999997801399</v>
      </c>
      <c r="AG1075" s="149">
        <v>125.174939999881</v>
      </c>
      <c r="AO1075" s="121"/>
      <c r="AT1075" s="111"/>
      <c r="AX1075" s="121"/>
    </row>
    <row r="1076" spans="1:50" s="110" customFormat="1" ht="20" customHeight="1">
      <c r="A1076" s="125" t="s">
        <v>239</v>
      </c>
      <c r="B1076" s="126" t="s">
        <v>67</v>
      </c>
      <c r="C1076" s="127">
        <v>12992</v>
      </c>
      <c r="D1076" s="145">
        <v>105646</v>
      </c>
      <c r="E1076" s="146" t="s">
        <v>4463</v>
      </c>
      <c r="F1076" s="146" t="s">
        <v>4463</v>
      </c>
      <c r="G1076" s="147">
        <v>59000</v>
      </c>
      <c r="H1076" s="147">
        <v>4</v>
      </c>
      <c r="I1076" s="146" t="s">
        <v>209</v>
      </c>
      <c r="J1076" s="146" t="s">
        <v>4464</v>
      </c>
      <c r="K1076" s="146" t="s">
        <v>4465</v>
      </c>
      <c r="L1076" s="147">
        <v>4</v>
      </c>
      <c r="M1076" s="147">
        <v>4</v>
      </c>
      <c r="N1076" s="146" t="s">
        <v>1548</v>
      </c>
      <c r="O1076" s="147">
        <v>14</v>
      </c>
      <c r="P1076" s="147">
        <v>4</v>
      </c>
      <c r="Q1076" s="147">
        <v>17</v>
      </c>
      <c r="R1076" s="146" t="s">
        <v>190</v>
      </c>
      <c r="S1076" s="146" t="s">
        <v>191</v>
      </c>
      <c r="T1076" s="147">
        <v>168</v>
      </c>
      <c r="U1076" s="146" t="s">
        <v>1569</v>
      </c>
      <c r="V1076" s="146" t="s">
        <v>1570</v>
      </c>
      <c r="W1076" s="147">
        <v>1</v>
      </c>
      <c r="X1076" s="147">
        <v>2</v>
      </c>
      <c r="Y1076" s="146" t="s">
        <v>194</v>
      </c>
      <c r="Z1076" s="146" t="s">
        <v>195</v>
      </c>
      <c r="AA1076" s="146" t="s">
        <v>196</v>
      </c>
      <c r="AB1076" s="146" t="s">
        <v>209</v>
      </c>
      <c r="AC1076" s="146" t="s">
        <v>187</v>
      </c>
      <c r="AD1076" s="148"/>
      <c r="AE1076" s="146" t="s">
        <v>209</v>
      </c>
      <c r="AF1076" s="147">
        <v>7.5344900000134798</v>
      </c>
      <c r="AG1076" s="149">
        <v>123.13046999999101</v>
      </c>
      <c r="AO1076" s="121"/>
      <c r="AT1076" s="111"/>
      <c r="AX1076" s="121"/>
    </row>
    <row r="1077" spans="1:50" s="110" customFormat="1" ht="20" customHeight="1">
      <c r="A1077" s="125" t="s">
        <v>239</v>
      </c>
      <c r="B1077" s="126" t="s">
        <v>67</v>
      </c>
      <c r="C1077" s="127">
        <v>10165</v>
      </c>
      <c r="D1077" s="145">
        <v>100085</v>
      </c>
      <c r="E1077" s="146" t="s">
        <v>4415</v>
      </c>
      <c r="F1077" s="146" t="s">
        <v>4415</v>
      </c>
      <c r="G1077" s="147">
        <v>47000</v>
      </c>
      <c r="H1077" s="147">
        <v>4</v>
      </c>
      <c r="I1077" s="146" t="s">
        <v>209</v>
      </c>
      <c r="J1077" s="146" t="s">
        <v>4416</v>
      </c>
      <c r="K1077" s="146" t="s">
        <v>4417</v>
      </c>
      <c r="L1077" s="147">
        <v>4</v>
      </c>
      <c r="M1077" s="147">
        <v>4</v>
      </c>
      <c r="N1077" s="146" t="s">
        <v>1548</v>
      </c>
      <c r="O1077" s="147">
        <v>7</v>
      </c>
      <c r="P1077" s="147">
        <v>3.5</v>
      </c>
      <c r="Q1077" s="147">
        <v>17</v>
      </c>
      <c r="R1077" s="146" t="s">
        <v>190</v>
      </c>
      <c r="S1077" s="146" t="s">
        <v>191</v>
      </c>
      <c r="T1077" s="147">
        <v>168</v>
      </c>
      <c r="U1077" s="146" t="s">
        <v>1569</v>
      </c>
      <c r="V1077" s="146" t="s">
        <v>1570</v>
      </c>
      <c r="W1077" s="147">
        <v>1</v>
      </c>
      <c r="X1077" s="147">
        <v>2</v>
      </c>
      <c r="Y1077" s="146" t="s">
        <v>194</v>
      </c>
      <c r="Z1077" s="146" t="s">
        <v>195</v>
      </c>
      <c r="AA1077" s="146" t="s">
        <v>196</v>
      </c>
      <c r="AB1077" s="146" t="s">
        <v>209</v>
      </c>
      <c r="AC1077" s="146" t="s">
        <v>187</v>
      </c>
      <c r="AD1077" s="148"/>
      <c r="AE1077" s="146" t="s">
        <v>209</v>
      </c>
      <c r="AF1077" s="147">
        <v>15.231539999671201</v>
      </c>
      <c r="AG1077" s="149">
        <v>120.16443000004401</v>
      </c>
      <c r="AO1077" s="121"/>
      <c r="AT1077" s="111"/>
      <c r="AX1077" s="121"/>
    </row>
    <row r="1078" spans="1:50" s="110" customFormat="1" ht="20" customHeight="1">
      <c r="A1078" s="125" t="s">
        <v>239</v>
      </c>
      <c r="B1078" s="126" t="s">
        <v>67</v>
      </c>
      <c r="C1078" s="127">
        <v>12092</v>
      </c>
      <c r="D1078" s="145">
        <v>103767</v>
      </c>
      <c r="E1078" s="146" t="s">
        <v>4405</v>
      </c>
      <c r="F1078" s="146" t="s">
        <v>4405</v>
      </c>
      <c r="G1078" s="147">
        <v>46000</v>
      </c>
      <c r="H1078" s="147">
        <v>4</v>
      </c>
      <c r="I1078" s="146" t="s">
        <v>209</v>
      </c>
      <c r="J1078" s="146" t="s">
        <v>4406</v>
      </c>
      <c r="K1078" s="146" t="s">
        <v>4407</v>
      </c>
      <c r="L1078" s="147">
        <v>4</v>
      </c>
      <c r="M1078" s="147">
        <v>4</v>
      </c>
      <c r="N1078" s="146" t="s">
        <v>1548</v>
      </c>
      <c r="O1078" s="147">
        <v>10</v>
      </c>
      <c r="P1078" s="147">
        <v>4</v>
      </c>
      <c r="Q1078" s="147">
        <v>17</v>
      </c>
      <c r="R1078" s="146" t="s">
        <v>190</v>
      </c>
      <c r="S1078" s="146" t="s">
        <v>191</v>
      </c>
      <c r="T1078" s="147">
        <v>168</v>
      </c>
      <c r="U1078" s="146" t="s">
        <v>1569</v>
      </c>
      <c r="V1078" s="146" t="s">
        <v>1570</v>
      </c>
      <c r="W1078" s="147">
        <v>1</v>
      </c>
      <c r="X1078" s="147">
        <v>2</v>
      </c>
      <c r="Y1078" s="146" t="s">
        <v>194</v>
      </c>
      <c r="Z1078" s="146" t="s">
        <v>195</v>
      </c>
      <c r="AA1078" s="146" t="s">
        <v>196</v>
      </c>
      <c r="AB1078" s="146" t="s">
        <v>209</v>
      </c>
      <c r="AC1078" s="146" t="s">
        <v>187</v>
      </c>
      <c r="AD1078" s="148"/>
      <c r="AE1078" s="146" t="s">
        <v>209</v>
      </c>
      <c r="AF1078" s="147">
        <v>8.6120200003227296</v>
      </c>
      <c r="AG1078" s="149">
        <v>125.070830000304</v>
      </c>
      <c r="AO1078" s="121"/>
      <c r="AT1078" s="111"/>
      <c r="AX1078" s="121"/>
    </row>
    <row r="1079" spans="1:50" s="110" customFormat="1" ht="20" customHeight="1">
      <c r="A1079" s="125" t="s">
        <v>239</v>
      </c>
      <c r="B1079" s="126" t="s">
        <v>67</v>
      </c>
      <c r="C1079" s="127">
        <v>13210</v>
      </c>
      <c r="D1079" s="145">
        <v>106018</v>
      </c>
      <c r="E1079" s="146" t="s">
        <v>4389</v>
      </c>
      <c r="F1079" s="146" t="s">
        <v>4389</v>
      </c>
      <c r="G1079" s="147">
        <v>44000</v>
      </c>
      <c r="H1079" s="147">
        <v>4</v>
      </c>
      <c r="I1079" s="146" t="s">
        <v>209</v>
      </c>
      <c r="J1079" s="146" t="s">
        <v>4390</v>
      </c>
      <c r="K1079" s="146" t="s">
        <v>4389</v>
      </c>
      <c r="L1079" s="147">
        <v>3</v>
      </c>
      <c r="M1079" s="147">
        <v>4</v>
      </c>
      <c r="N1079" s="146" t="s">
        <v>1548</v>
      </c>
      <c r="O1079" s="147">
        <v>35</v>
      </c>
      <c r="P1079" s="147">
        <v>6</v>
      </c>
      <c r="Q1079" s="147">
        <v>17</v>
      </c>
      <c r="R1079" s="146" t="s">
        <v>190</v>
      </c>
      <c r="S1079" s="146" t="s">
        <v>191</v>
      </c>
      <c r="T1079" s="147">
        <v>168</v>
      </c>
      <c r="U1079" s="146" t="s">
        <v>1569</v>
      </c>
      <c r="V1079" s="146" t="s">
        <v>1570</v>
      </c>
      <c r="W1079" s="147">
        <v>1</v>
      </c>
      <c r="X1079" s="147">
        <v>2</v>
      </c>
      <c r="Y1079" s="146" t="s">
        <v>194</v>
      </c>
      <c r="Z1079" s="146" t="s">
        <v>195</v>
      </c>
      <c r="AA1079" s="146" t="s">
        <v>196</v>
      </c>
      <c r="AB1079" s="146" t="s">
        <v>209</v>
      </c>
      <c r="AC1079" s="146" t="s">
        <v>187</v>
      </c>
      <c r="AD1079" s="148"/>
      <c r="AE1079" s="146" t="s">
        <v>209</v>
      </c>
      <c r="AF1079" s="147">
        <v>14.9617100003163</v>
      </c>
      <c r="AG1079" s="149">
        <v>120.182</v>
      </c>
      <c r="AO1079" s="121"/>
      <c r="AT1079" s="111"/>
      <c r="AX1079" s="121"/>
    </row>
    <row r="1080" spans="1:50" s="110" customFormat="1" ht="20" customHeight="1">
      <c r="A1080" s="125" t="s">
        <v>239</v>
      </c>
      <c r="B1080" s="126" t="s">
        <v>67</v>
      </c>
      <c r="C1080" s="127">
        <v>12673</v>
      </c>
      <c r="D1080" s="145">
        <v>104986</v>
      </c>
      <c r="E1080" s="146" t="s">
        <v>4384</v>
      </c>
      <c r="F1080" s="146" t="s">
        <v>4385</v>
      </c>
      <c r="G1080" s="147">
        <v>43000</v>
      </c>
      <c r="H1080" s="147">
        <v>4</v>
      </c>
      <c r="I1080" s="146" t="s">
        <v>209</v>
      </c>
      <c r="J1080" s="146" t="s">
        <v>4386</v>
      </c>
      <c r="K1080" s="146" t="s">
        <v>4387</v>
      </c>
      <c r="L1080" s="147">
        <v>5</v>
      </c>
      <c r="M1080" s="147">
        <v>4</v>
      </c>
      <c r="N1080" s="146" t="s">
        <v>1548</v>
      </c>
      <c r="O1080" s="147">
        <v>11</v>
      </c>
      <c r="P1080" s="147">
        <v>7</v>
      </c>
      <c r="Q1080" s="147">
        <v>17</v>
      </c>
      <c r="R1080" s="146" t="s">
        <v>190</v>
      </c>
      <c r="S1080" s="146" t="s">
        <v>191</v>
      </c>
      <c r="T1080" s="147">
        <v>168</v>
      </c>
      <c r="U1080" s="146" t="s">
        <v>1569</v>
      </c>
      <c r="V1080" s="146" t="s">
        <v>1570</v>
      </c>
      <c r="W1080" s="147">
        <v>1</v>
      </c>
      <c r="X1080" s="147">
        <v>2</v>
      </c>
      <c r="Y1080" s="146" t="s">
        <v>194</v>
      </c>
      <c r="Z1080" s="146" t="s">
        <v>195</v>
      </c>
      <c r="AA1080" s="146" t="s">
        <v>196</v>
      </c>
      <c r="AB1080" s="146" t="s">
        <v>209</v>
      </c>
      <c r="AC1080" s="146" t="s">
        <v>187</v>
      </c>
      <c r="AD1080" s="148"/>
      <c r="AE1080" s="146" t="s">
        <v>209</v>
      </c>
      <c r="AF1080" s="147">
        <v>16.664639999836101</v>
      </c>
      <c r="AG1080" s="149">
        <v>121.113480000202</v>
      </c>
      <c r="AO1080" s="121"/>
      <c r="AT1080" s="111"/>
      <c r="AX1080" s="121"/>
    </row>
    <row r="1081" spans="1:50" s="110" customFormat="1" ht="20" customHeight="1">
      <c r="A1081" s="125" t="s">
        <v>239</v>
      </c>
      <c r="B1081" s="126" t="s">
        <v>67</v>
      </c>
      <c r="C1081" s="127">
        <v>10472</v>
      </c>
      <c r="D1081" s="145">
        <v>100585</v>
      </c>
      <c r="E1081" s="146" t="s">
        <v>4347</v>
      </c>
      <c r="F1081" s="146" t="s">
        <v>4347</v>
      </c>
      <c r="G1081" s="147">
        <v>38000</v>
      </c>
      <c r="H1081" s="147">
        <v>4</v>
      </c>
      <c r="I1081" s="146" t="s">
        <v>209</v>
      </c>
      <c r="J1081" s="146" t="s">
        <v>4348</v>
      </c>
      <c r="K1081" s="146" t="s">
        <v>4347</v>
      </c>
      <c r="L1081" s="147">
        <v>4</v>
      </c>
      <c r="M1081" s="147">
        <v>4</v>
      </c>
      <c r="N1081" s="146" t="s">
        <v>1548</v>
      </c>
      <c r="O1081" s="147">
        <v>9</v>
      </c>
      <c r="P1081" s="147">
        <v>3</v>
      </c>
      <c r="Q1081" s="147">
        <v>17</v>
      </c>
      <c r="R1081" s="146" t="s">
        <v>190</v>
      </c>
      <c r="S1081" s="146" t="s">
        <v>191</v>
      </c>
      <c r="T1081" s="147">
        <v>168</v>
      </c>
      <c r="U1081" s="146" t="s">
        <v>1569</v>
      </c>
      <c r="V1081" s="146" t="s">
        <v>1570</v>
      </c>
      <c r="W1081" s="147">
        <v>1</v>
      </c>
      <c r="X1081" s="147">
        <v>2</v>
      </c>
      <c r="Y1081" s="146" t="s">
        <v>194</v>
      </c>
      <c r="Z1081" s="146" t="s">
        <v>195</v>
      </c>
      <c r="AA1081" s="146" t="s">
        <v>196</v>
      </c>
      <c r="AB1081" s="146" t="s">
        <v>209</v>
      </c>
      <c r="AC1081" s="146" t="s">
        <v>187</v>
      </c>
      <c r="AD1081" s="148"/>
      <c r="AE1081" s="146" t="s">
        <v>209</v>
      </c>
      <c r="AF1081" s="147">
        <v>7.7788999998351196</v>
      </c>
      <c r="AG1081" s="149">
        <v>125.49920000018</v>
      </c>
      <c r="AO1081" s="121"/>
      <c r="AT1081" s="111"/>
      <c r="AX1081" s="121"/>
    </row>
    <row r="1082" spans="1:50" s="110" customFormat="1" ht="20" customHeight="1">
      <c r="A1082" s="125" t="s">
        <v>239</v>
      </c>
      <c r="B1082" s="126" t="s">
        <v>67</v>
      </c>
      <c r="C1082" s="127">
        <v>10293</v>
      </c>
      <c r="D1082" s="145">
        <v>100292</v>
      </c>
      <c r="E1082" s="146" t="s">
        <v>4299</v>
      </c>
      <c r="F1082" s="146" t="s">
        <v>4299</v>
      </c>
      <c r="G1082" s="147">
        <v>35000</v>
      </c>
      <c r="H1082" s="147">
        <v>4</v>
      </c>
      <c r="I1082" s="146" t="s">
        <v>209</v>
      </c>
      <c r="J1082" s="146" t="s">
        <v>4300</v>
      </c>
      <c r="K1082" s="146" t="s">
        <v>4299</v>
      </c>
      <c r="L1082" s="147">
        <v>5</v>
      </c>
      <c r="M1082" s="147">
        <v>4</v>
      </c>
      <c r="N1082" s="146" t="s">
        <v>1548</v>
      </c>
      <c r="O1082" s="147">
        <v>8</v>
      </c>
      <c r="P1082" s="147">
        <v>3</v>
      </c>
      <c r="Q1082" s="147">
        <v>17</v>
      </c>
      <c r="R1082" s="146" t="s">
        <v>190</v>
      </c>
      <c r="S1082" s="146" t="s">
        <v>191</v>
      </c>
      <c r="T1082" s="147">
        <v>168</v>
      </c>
      <c r="U1082" s="146" t="s">
        <v>1569</v>
      </c>
      <c r="V1082" s="146" t="s">
        <v>1570</v>
      </c>
      <c r="W1082" s="147">
        <v>1</v>
      </c>
      <c r="X1082" s="147">
        <v>2</v>
      </c>
      <c r="Y1082" s="146" t="s">
        <v>194</v>
      </c>
      <c r="Z1082" s="146" t="s">
        <v>195</v>
      </c>
      <c r="AA1082" s="146" t="s">
        <v>196</v>
      </c>
      <c r="AB1082" s="146" t="s">
        <v>209</v>
      </c>
      <c r="AC1082" s="146" t="s">
        <v>187</v>
      </c>
      <c r="AD1082" s="148"/>
      <c r="AE1082" s="146" t="s">
        <v>209</v>
      </c>
      <c r="AF1082" s="147">
        <v>16.900690000000001</v>
      </c>
      <c r="AG1082" s="149">
        <v>121.00691</v>
      </c>
      <c r="AO1082" s="121"/>
      <c r="AT1082" s="111"/>
      <c r="AX1082" s="121"/>
    </row>
    <row r="1083" spans="1:50" s="110" customFormat="1" ht="20" customHeight="1">
      <c r="A1083" s="125" t="s">
        <v>239</v>
      </c>
      <c r="B1083" s="126" t="s">
        <v>67</v>
      </c>
      <c r="C1083" s="127">
        <v>13137</v>
      </c>
      <c r="D1083" s="145">
        <v>105902</v>
      </c>
      <c r="E1083" s="146" t="s">
        <v>4301</v>
      </c>
      <c r="F1083" s="146" t="s">
        <v>4301</v>
      </c>
      <c r="G1083" s="147">
        <v>35000</v>
      </c>
      <c r="H1083" s="147">
        <v>4</v>
      </c>
      <c r="I1083" s="146" t="s">
        <v>209</v>
      </c>
      <c r="J1083" s="146" t="s">
        <v>4302</v>
      </c>
      <c r="K1083" s="146" t="s">
        <v>4301</v>
      </c>
      <c r="L1083" s="147">
        <v>4</v>
      </c>
      <c r="M1083" s="147">
        <v>4</v>
      </c>
      <c r="N1083" s="146" t="s">
        <v>1548</v>
      </c>
      <c r="O1083" s="147">
        <v>8</v>
      </c>
      <c r="P1083" s="147">
        <v>3.5</v>
      </c>
      <c r="Q1083" s="147">
        <v>17</v>
      </c>
      <c r="R1083" s="146" t="s">
        <v>190</v>
      </c>
      <c r="S1083" s="146" t="s">
        <v>191</v>
      </c>
      <c r="T1083" s="147">
        <v>168</v>
      </c>
      <c r="U1083" s="146" t="s">
        <v>1569</v>
      </c>
      <c r="V1083" s="146" t="s">
        <v>1570</v>
      </c>
      <c r="W1083" s="147">
        <v>1</v>
      </c>
      <c r="X1083" s="147">
        <v>2</v>
      </c>
      <c r="Y1083" s="146" t="s">
        <v>194</v>
      </c>
      <c r="Z1083" s="146" t="s">
        <v>195</v>
      </c>
      <c r="AA1083" s="146" t="s">
        <v>196</v>
      </c>
      <c r="AB1083" s="146" t="s">
        <v>209</v>
      </c>
      <c r="AC1083" s="146" t="s">
        <v>187</v>
      </c>
      <c r="AD1083" s="148"/>
      <c r="AE1083" s="146" t="s">
        <v>209</v>
      </c>
      <c r="AF1083" s="147">
        <v>17.387899999984999</v>
      </c>
      <c r="AG1083" s="149">
        <v>121.03649999987501</v>
      </c>
      <c r="AO1083" s="121"/>
      <c r="AT1083" s="111"/>
      <c r="AX1083" s="121"/>
    </row>
    <row r="1084" spans="1:50" s="110" customFormat="1" ht="20" customHeight="1">
      <c r="A1084" s="125" t="s">
        <v>239</v>
      </c>
      <c r="B1084" s="126" t="s">
        <v>67</v>
      </c>
      <c r="C1084" s="127">
        <v>16047</v>
      </c>
      <c r="D1084" s="145">
        <v>111083</v>
      </c>
      <c r="E1084" s="146" t="s">
        <v>4195</v>
      </c>
      <c r="F1084" s="146" t="s">
        <v>4195</v>
      </c>
      <c r="G1084" s="147">
        <v>28000</v>
      </c>
      <c r="H1084" s="147">
        <v>4</v>
      </c>
      <c r="I1084" s="146" t="s">
        <v>209</v>
      </c>
      <c r="J1084" s="146" t="s">
        <v>4196</v>
      </c>
      <c r="K1084" s="146" t="s">
        <v>4195</v>
      </c>
      <c r="L1084" s="147">
        <v>1</v>
      </c>
      <c r="M1084" s="147">
        <v>4</v>
      </c>
      <c r="N1084" s="146" t="s">
        <v>1548</v>
      </c>
      <c r="O1084" s="147">
        <v>15</v>
      </c>
      <c r="P1084" s="147">
        <v>4</v>
      </c>
      <c r="Q1084" s="147">
        <v>17</v>
      </c>
      <c r="R1084" s="146" t="s">
        <v>190</v>
      </c>
      <c r="S1084" s="146" t="s">
        <v>191</v>
      </c>
      <c r="T1084" s="147">
        <v>168</v>
      </c>
      <c r="U1084" s="146" t="s">
        <v>1569</v>
      </c>
      <c r="V1084" s="146" t="s">
        <v>1570</v>
      </c>
      <c r="W1084" s="147">
        <v>1</v>
      </c>
      <c r="X1084" s="147">
        <v>2</v>
      </c>
      <c r="Y1084" s="146" t="s">
        <v>194</v>
      </c>
      <c r="Z1084" s="146" t="s">
        <v>195</v>
      </c>
      <c r="AA1084" s="146" t="s">
        <v>196</v>
      </c>
      <c r="AB1084" s="146" t="s">
        <v>209</v>
      </c>
      <c r="AC1084" s="146" t="s">
        <v>187</v>
      </c>
      <c r="AD1084" s="148"/>
      <c r="AE1084" s="146" t="s">
        <v>209</v>
      </c>
      <c r="AF1084" s="147">
        <v>16.701490000363201</v>
      </c>
      <c r="AG1084" s="149">
        <v>121.71772999984</v>
      </c>
      <c r="AO1084" s="121"/>
      <c r="AT1084" s="111"/>
      <c r="AX1084" s="121"/>
    </row>
    <row r="1085" spans="1:50" s="110" customFormat="1" ht="20" customHeight="1">
      <c r="A1085" s="125" t="s">
        <v>239</v>
      </c>
      <c r="B1085" s="126" t="s">
        <v>67</v>
      </c>
      <c r="C1085" s="127">
        <v>12194</v>
      </c>
      <c r="D1085" s="145">
        <v>103969</v>
      </c>
      <c r="E1085" s="146" t="s">
        <v>4123</v>
      </c>
      <c r="F1085" s="146" t="s">
        <v>4123</v>
      </c>
      <c r="G1085" s="147">
        <v>24000</v>
      </c>
      <c r="H1085" s="147">
        <v>4</v>
      </c>
      <c r="I1085" s="146" t="s">
        <v>209</v>
      </c>
      <c r="J1085" s="146" t="s">
        <v>4124</v>
      </c>
      <c r="K1085" s="146" t="s">
        <v>4125</v>
      </c>
      <c r="L1085" s="147">
        <v>4</v>
      </c>
      <c r="M1085" s="147">
        <v>4</v>
      </c>
      <c r="N1085" s="146" t="s">
        <v>1548</v>
      </c>
      <c r="O1085" s="147">
        <v>42</v>
      </c>
      <c r="P1085" s="147">
        <v>6</v>
      </c>
      <c r="Q1085" s="147">
        <v>17</v>
      </c>
      <c r="R1085" s="146" t="s">
        <v>190</v>
      </c>
      <c r="S1085" s="146" t="s">
        <v>191</v>
      </c>
      <c r="T1085" s="147">
        <v>168</v>
      </c>
      <c r="U1085" s="146" t="s">
        <v>1569</v>
      </c>
      <c r="V1085" s="146" t="s">
        <v>1570</v>
      </c>
      <c r="W1085" s="147">
        <v>1</v>
      </c>
      <c r="X1085" s="147">
        <v>2</v>
      </c>
      <c r="Y1085" s="146" t="s">
        <v>194</v>
      </c>
      <c r="Z1085" s="146" t="s">
        <v>195</v>
      </c>
      <c r="AA1085" s="146" t="s">
        <v>196</v>
      </c>
      <c r="AB1085" s="146" t="s">
        <v>209</v>
      </c>
      <c r="AC1085" s="146" t="s">
        <v>187</v>
      </c>
      <c r="AD1085" s="148"/>
      <c r="AE1085" s="146" t="s">
        <v>209</v>
      </c>
      <c r="AF1085" s="147">
        <v>17.093860000238799</v>
      </c>
      <c r="AG1085" s="149">
        <v>121.026620000213</v>
      </c>
      <c r="AO1085" s="121"/>
      <c r="AT1085" s="111"/>
      <c r="AX1085" s="121"/>
    </row>
    <row r="1086" spans="1:50" s="110" customFormat="1" ht="20" customHeight="1">
      <c r="A1086" s="125" t="s">
        <v>239</v>
      </c>
      <c r="B1086" s="126" t="s">
        <v>67</v>
      </c>
      <c r="C1086" s="127">
        <v>11551</v>
      </c>
      <c r="D1086" s="145">
        <v>102594</v>
      </c>
      <c r="E1086" s="146" t="s">
        <v>4129</v>
      </c>
      <c r="F1086" s="146" t="s">
        <v>4129</v>
      </c>
      <c r="G1086" s="147">
        <v>24000</v>
      </c>
      <c r="H1086" s="147">
        <v>4</v>
      </c>
      <c r="I1086" s="146" t="s">
        <v>209</v>
      </c>
      <c r="J1086" s="146" t="s">
        <v>4130</v>
      </c>
      <c r="K1086" s="146" t="s">
        <v>4129</v>
      </c>
      <c r="L1086" s="147">
        <v>4</v>
      </c>
      <c r="M1086" s="147">
        <v>4</v>
      </c>
      <c r="N1086" s="146" t="s">
        <v>1548</v>
      </c>
      <c r="O1086" s="147">
        <v>12</v>
      </c>
      <c r="P1086" s="147">
        <v>7</v>
      </c>
      <c r="Q1086" s="147">
        <v>17</v>
      </c>
      <c r="R1086" s="146" t="s">
        <v>190</v>
      </c>
      <c r="S1086" s="146" t="s">
        <v>191</v>
      </c>
      <c r="T1086" s="147">
        <v>168</v>
      </c>
      <c r="U1086" s="146" t="s">
        <v>1569</v>
      </c>
      <c r="V1086" s="146" t="s">
        <v>1570</v>
      </c>
      <c r="W1086" s="147">
        <v>1</v>
      </c>
      <c r="X1086" s="147">
        <v>2</v>
      </c>
      <c r="Y1086" s="146" t="s">
        <v>194</v>
      </c>
      <c r="Z1086" s="146" t="s">
        <v>195</v>
      </c>
      <c r="AA1086" s="146" t="s">
        <v>196</v>
      </c>
      <c r="AB1086" s="146" t="s">
        <v>209</v>
      </c>
      <c r="AC1086" s="146" t="s">
        <v>187</v>
      </c>
      <c r="AD1086" s="148"/>
      <c r="AE1086" s="146" t="s">
        <v>209</v>
      </c>
      <c r="AF1086" s="147">
        <v>7.8566400001358803</v>
      </c>
      <c r="AG1086" s="149">
        <v>126.01816999984599</v>
      </c>
      <c r="AO1086" s="121"/>
      <c r="AT1086" s="111"/>
      <c r="AX1086" s="121"/>
    </row>
    <row r="1087" spans="1:50" s="110" customFormat="1" ht="20" customHeight="1">
      <c r="A1087" s="125" t="s">
        <v>239</v>
      </c>
      <c r="B1087" s="126" t="s">
        <v>67</v>
      </c>
      <c r="C1087" s="127">
        <v>18843</v>
      </c>
      <c r="D1087" s="145">
        <v>103992</v>
      </c>
      <c r="E1087" s="146" t="s">
        <v>4070</v>
      </c>
      <c r="F1087" s="146" t="s">
        <v>4070</v>
      </c>
      <c r="G1087" s="147">
        <v>21000</v>
      </c>
      <c r="H1087" s="147">
        <v>4</v>
      </c>
      <c r="I1087" s="146" t="s">
        <v>209</v>
      </c>
      <c r="J1087" s="146" t="s">
        <v>4071</v>
      </c>
      <c r="K1087" s="146" t="s">
        <v>4070</v>
      </c>
      <c r="L1087" s="147">
        <v>4</v>
      </c>
      <c r="M1087" s="147">
        <v>4</v>
      </c>
      <c r="N1087" s="146" t="s">
        <v>1548</v>
      </c>
      <c r="O1087" s="147">
        <v>11</v>
      </c>
      <c r="P1087" s="147">
        <v>4</v>
      </c>
      <c r="Q1087" s="147">
        <v>17</v>
      </c>
      <c r="R1087" s="146" t="s">
        <v>190</v>
      </c>
      <c r="S1087" s="146" t="s">
        <v>191</v>
      </c>
      <c r="T1087" s="147">
        <v>168</v>
      </c>
      <c r="U1087" s="146" t="s">
        <v>1569</v>
      </c>
      <c r="V1087" s="146" t="s">
        <v>1570</v>
      </c>
      <c r="W1087" s="147">
        <v>1</v>
      </c>
      <c r="X1087" s="147">
        <v>2</v>
      </c>
      <c r="Y1087" s="146" t="s">
        <v>194</v>
      </c>
      <c r="Z1087" s="146" t="s">
        <v>195</v>
      </c>
      <c r="AA1087" s="146" t="s">
        <v>196</v>
      </c>
      <c r="AB1087" s="146" t="s">
        <v>209</v>
      </c>
      <c r="AC1087" s="146" t="s">
        <v>187</v>
      </c>
      <c r="AD1087" s="148"/>
      <c r="AE1087" s="146" t="s">
        <v>209</v>
      </c>
      <c r="AF1087" s="147">
        <v>7.3444799997521999</v>
      </c>
      <c r="AG1087" s="149">
        <v>124.765789999609</v>
      </c>
      <c r="AO1087" s="121"/>
      <c r="AT1087" s="111"/>
      <c r="AX1087" s="121"/>
    </row>
    <row r="1088" spans="1:50" s="110" customFormat="1" ht="20" customHeight="1">
      <c r="A1088" s="125" t="s">
        <v>239</v>
      </c>
      <c r="B1088" s="126" t="s">
        <v>67</v>
      </c>
      <c r="C1088" s="127">
        <v>15045</v>
      </c>
      <c r="D1088" s="145">
        <v>109484</v>
      </c>
      <c r="E1088" s="146" t="s">
        <v>4021</v>
      </c>
      <c r="F1088" s="146" t="s">
        <v>4021</v>
      </c>
      <c r="G1088" s="147">
        <v>19000</v>
      </c>
      <c r="H1088" s="147">
        <v>4</v>
      </c>
      <c r="I1088" s="146" t="s">
        <v>209</v>
      </c>
      <c r="J1088" s="146" t="s">
        <v>4022</v>
      </c>
      <c r="K1088" s="146" t="s">
        <v>4021</v>
      </c>
      <c r="L1088" s="147">
        <v>4</v>
      </c>
      <c r="M1088" s="147">
        <v>4</v>
      </c>
      <c r="N1088" s="146" t="s">
        <v>1548</v>
      </c>
      <c r="O1088" s="147">
        <v>8</v>
      </c>
      <c r="P1088" s="147">
        <v>4</v>
      </c>
      <c r="Q1088" s="147">
        <v>17</v>
      </c>
      <c r="R1088" s="146" t="s">
        <v>190</v>
      </c>
      <c r="S1088" s="146" t="s">
        <v>191</v>
      </c>
      <c r="T1088" s="147">
        <v>168</v>
      </c>
      <c r="U1088" s="146" t="s">
        <v>1569</v>
      </c>
      <c r="V1088" s="146" t="s">
        <v>1570</v>
      </c>
      <c r="W1088" s="147">
        <v>1</v>
      </c>
      <c r="X1088" s="147">
        <v>2</v>
      </c>
      <c r="Y1088" s="146" t="s">
        <v>194</v>
      </c>
      <c r="Z1088" s="146" t="s">
        <v>195</v>
      </c>
      <c r="AA1088" s="146" t="s">
        <v>196</v>
      </c>
      <c r="AB1088" s="146" t="s">
        <v>209</v>
      </c>
      <c r="AC1088" s="146" t="s">
        <v>187</v>
      </c>
      <c r="AD1088" s="148"/>
      <c r="AE1088" s="146" t="s">
        <v>209</v>
      </c>
      <c r="AF1088" s="147">
        <v>17.2935800004167</v>
      </c>
      <c r="AG1088" s="149">
        <v>121.06787000040001</v>
      </c>
      <c r="AO1088" s="121"/>
      <c r="AT1088" s="111"/>
      <c r="AX1088" s="121"/>
    </row>
    <row r="1089" spans="1:50" s="110" customFormat="1" ht="20" customHeight="1">
      <c r="A1089" s="125" t="s">
        <v>239</v>
      </c>
      <c r="B1089" s="126" t="s">
        <v>67</v>
      </c>
      <c r="C1089" s="127">
        <v>12249</v>
      </c>
      <c r="D1089" s="145">
        <v>104059</v>
      </c>
      <c r="E1089" s="146" t="s">
        <v>3961</v>
      </c>
      <c r="F1089" s="146" t="s">
        <v>3962</v>
      </c>
      <c r="G1089" s="147">
        <v>17000</v>
      </c>
      <c r="H1089" s="147">
        <v>4</v>
      </c>
      <c r="I1089" s="146" t="s">
        <v>209</v>
      </c>
      <c r="J1089" s="146" t="s">
        <v>3963</v>
      </c>
      <c r="K1089" s="146" t="s">
        <v>3961</v>
      </c>
      <c r="L1089" s="147">
        <v>4</v>
      </c>
      <c r="M1089" s="147">
        <v>4</v>
      </c>
      <c r="N1089" s="146" t="s">
        <v>1548</v>
      </c>
      <c r="O1089" s="147">
        <v>10</v>
      </c>
      <c r="P1089" s="147">
        <v>5</v>
      </c>
      <c r="Q1089" s="147">
        <v>17</v>
      </c>
      <c r="R1089" s="146" t="s">
        <v>190</v>
      </c>
      <c r="S1089" s="146" t="s">
        <v>191</v>
      </c>
      <c r="T1089" s="147">
        <v>168</v>
      </c>
      <c r="U1089" s="146" t="s">
        <v>1569</v>
      </c>
      <c r="V1089" s="146" t="s">
        <v>1570</v>
      </c>
      <c r="W1089" s="147">
        <v>1</v>
      </c>
      <c r="X1089" s="147">
        <v>2</v>
      </c>
      <c r="Y1089" s="146" t="s">
        <v>194</v>
      </c>
      <c r="Z1089" s="146" t="s">
        <v>195</v>
      </c>
      <c r="AA1089" s="146" t="s">
        <v>196</v>
      </c>
      <c r="AB1089" s="146" t="s">
        <v>209</v>
      </c>
      <c r="AC1089" s="146" t="s">
        <v>187</v>
      </c>
      <c r="AD1089" s="148"/>
      <c r="AE1089" s="146" t="s">
        <v>209</v>
      </c>
      <c r="AF1089" s="147">
        <v>13.3810299996347</v>
      </c>
      <c r="AG1089" s="149">
        <v>120.649950000392</v>
      </c>
      <c r="AO1089" s="121"/>
      <c r="AT1089" s="111"/>
      <c r="AX1089" s="121"/>
    </row>
    <row r="1090" spans="1:50" s="110" customFormat="1" ht="20" customHeight="1">
      <c r="A1090" s="125" t="s">
        <v>239</v>
      </c>
      <c r="B1090" s="126" t="s">
        <v>67</v>
      </c>
      <c r="C1090" s="127">
        <v>13121</v>
      </c>
      <c r="D1090" s="145">
        <v>105884</v>
      </c>
      <c r="E1090" s="146" t="s">
        <v>3964</v>
      </c>
      <c r="F1090" s="146" t="s">
        <v>3964</v>
      </c>
      <c r="G1090" s="147">
        <v>17000</v>
      </c>
      <c r="H1090" s="147">
        <v>4</v>
      </c>
      <c r="I1090" s="146" t="s">
        <v>209</v>
      </c>
      <c r="J1090" s="146" t="s">
        <v>3965</v>
      </c>
      <c r="K1090" s="146" t="s">
        <v>3964</v>
      </c>
      <c r="L1090" s="147">
        <v>4</v>
      </c>
      <c r="M1090" s="147">
        <v>4</v>
      </c>
      <c r="N1090" s="146" t="s">
        <v>1548</v>
      </c>
      <c r="O1090" s="147">
        <v>12</v>
      </c>
      <c r="P1090" s="147">
        <v>2.5</v>
      </c>
      <c r="Q1090" s="147">
        <v>17</v>
      </c>
      <c r="R1090" s="146" t="s">
        <v>190</v>
      </c>
      <c r="S1090" s="146" t="s">
        <v>191</v>
      </c>
      <c r="T1090" s="147">
        <v>168</v>
      </c>
      <c r="U1090" s="146" t="s">
        <v>1569</v>
      </c>
      <c r="V1090" s="146" t="s">
        <v>1570</v>
      </c>
      <c r="W1090" s="147">
        <v>1</v>
      </c>
      <c r="X1090" s="147">
        <v>2</v>
      </c>
      <c r="Y1090" s="146" t="s">
        <v>194</v>
      </c>
      <c r="Z1090" s="146" t="s">
        <v>195</v>
      </c>
      <c r="AA1090" s="146" t="s">
        <v>196</v>
      </c>
      <c r="AB1090" s="146" t="s">
        <v>209</v>
      </c>
      <c r="AC1090" s="146" t="s">
        <v>187</v>
      </c>
      <c r="AD1090" s="148"/>
      <c r="AE1090" s="146" t="s">
        <v>209</v>
      </c>
      <c r="AF1090" s="147">
        <v>17.3440700004302</v>
      </c>
      <c r="AG1090" s="149">
        <v>121.311480000202</v>
      </c>
      <c r="AO1090" s="121"/>
      <c r="AT1090" s="111"/>
      <c r="AX1090" s="121"/>
    </row>
    <row r="1091" spans="1:50" s="110" customFormat="1" ht="20" customHeight="1">
      <c r="A1091" s="125" t="s">
        <v>239</v>
      </c>
      <c r="B1091" s="126" t="s">
        <v>67</v>
      </c>
      <c r="C1091" s="127">
        <v>14020</v>
      </c>
      <c r="D1091" s="145">
        <v>107447</v>
      </c>
      <c r="E1091" s="146" t="s">
        <v>3901</v>
      </c>
      <c r="F1091" s="146" t="s">
        <v>3901</v>
      </c>
      <c r="G1091" s="147">
        <v>15000</v>
      </c>
      <c r="H1091" s="147">
        <v>4</v>
      </c>
      <c r="I1091" s="146" t="s">
        <v>209</v>
      </c>
      <c r="J1091" s="146" t="s">
        <v>3902</v>
      </c>
      <c r="K1091" s="146" t="s">
        <v>3903</v>
      </c>
      <c r="L1091" s="147">
        <v>4</v>
      </c>
      <c r="M1091" s="147">
        <v>4</v>
      </c>
      <c r="N1091" s="146" t="s">
        <v>1548</v>
      </c>
      <c r="O1091" s="147">
        <v>15</v>
      </c>
      <c r="P1091" s="147">
        <v>10</v>
      </c>
      <c r="Q1091" s="147">
        <v>17</v>
      </c>
      <c r="R1091" s="146" t="s">
        <v>190</v>
      </c>
      <c r="S1091" s="146" t="s">
        <v>191</v>
      </c>
      <c r="T1091" s="147">
        <v>168</v>
      </c>
      <c r="U1091" s="146" t="s">
        <v>1569</v>
      </c>
      <c r="V1091" s="146" t="s">
        <v>1570</v>
      </c>
      <c r="W1091" s="147">
        <v>1</v>
      </c>
      <c r="X1091" s="147">
        <v>2</v>
      </c>
      <c r="Y1091" s="146" t="s">
        <v>194</v>
      </c>
      <c r="Z1091" s="146" t="s">
        <v>195</v>
      </c>
      <c r="AA1091" s="146" t="s">
        <v>196</v>
      </c>
      <c r="AB1091" s="146" t="s">
        <v>209</v>
      </c>
      <c r="AC1091" s="146" t="s">
        <v>187</v>
      </c>
      <c r="AD1091" s="148"/>
      <c r="AE1091" s="146" t="s">
        <v>209</v>
      </c>
      <c r="AF1091" s="147">
        <v>17.608129999899599</v>
      </c>
      <c r="AG1091" s="149">
        <v>121.38057000000499</v>
      </c>
      <c r="AO1091" s="121"/>
      <c r="AT1091" s="111"/>
      <c r="AX1091" s="121"/>
    </row>
    <row r="1092" spans="1:50" s="110" customFormat="1" ht="20" customHeight="1">
      <c r="A1092" s="125" t="s">
        <v>239</v>
      </c>
      <c r="B1092" s="126" t="s">
        <v>67</v>
      </c>
      <c r="C1092" s="127">
        <v>15071</v>
      </c>
      <c r="D1092" s="145">
        <v>109522</v>
      </c>
      <c r="E1092" s="146" t="s">
        <v>3904</v>
      </c>
      <c r="F1092" s="146" t="s">
        <v>3904</v>
      </c>
      <c r="G1092" s="147">
        <v>15000</v>
      </c>
      <c r="H1092" s="147">
        <v>4</v>
      </c>
      <c r="I1092" s="146" t="s">
        <v>209</v>
      </c>
      <c r="J1092" s="146" t="s">
        <v>3905</v>
      </c>
      <c r="K1092" s="146" t="s">
        <v>3904</v>
      </c>
      <c r="L1092" s="147">
        <v>4</v>
      </c>
      <c r="M1092" s="147">
        <v>4</v>
      </c>
      <c r="N1092" s="146" t="s">
        <v>1548</v>
      </c>
      <c r="O1092" s="147">
        <v>10</v>
      </c>
      <c r="P1092" s="147">
        <v>8</v>
      </c>
      <c r="Q1092" s="147">
        <v>17</v>
      </c>
      <c r="R1092" s="146" t="s">
        <v>190</v>
      </c>
      <c r="S1092" s="146" t="s">
        <v>191</v>
      </c>
      <c r="T1092" s="147">
        <v>168</v>
      </c>
      <c r="U1092" s="146" t="s">
        <v>1569</v>
      </c>
      <c r="V1092" s="146" t="s">
        <v>1570</v>
      </c>
      <c r="W1092" s="147">
        <v>1</v>
      </c>
      <c r="X1092" s="147">
        <v>2</v>
      </c>
      <c r="Y1092" s="146" t="s">
        <v>194</v>
      </c>
      <c r="Z1092" s="146" t="s">
        <v>195</v>
      </c>
      <c r="AA1092" s="146" t="s">
        <v>196</v>
      </c>
      <c r="AB1092" s="146" t="s">
        <v>209</v>
      </c>
      <c r="AC1092" s="146" t="s">
        <v>187</v>
      </c>
      <c r="AD1092" s="148"/>
      <c r="AE1092" s="146" t="s">
        <v>209</v>
      </c>
      <c r="AF1092" s="147">
        <v>8.6762400003756905</v>
      </c>
      <c r="AG1092" s="149">
        <v>117.360040000146</v>
      </c>
      <c r="AO1092" s="121"/>
      <c r="AT1092" s="111"/>
      <c r="AX1092" s="121"/>
    </row>
    <row r="1093" spans="1:50" s="110" customFormat="1" ht="20" customHeight="1">
      <c r="A1093" s="125" t="s">
        <v>239</v>
      </c>
      <c r="B1093" s="126" t="s">
        <v>67</v>
      </c>
      <c r="C1093" s="127">
        <v>12185</v>
      </c>
      <c r="D1093" s="145">
        <v>103959</v>
      </c>
      <c r="E1093" s="146" t="s">
        <v>3861</v>
      </c>
      <c r="F1093" s="146" t="s">
        <v>3861</v>
      </c>
      <c r="G1093" s="147">
        <v>14000</v>
      </c>
      <c r="H1093" s="147">
        <v>4</v>
      </c>
      <c r="I1093" s="146" t="s">
        <v>209</v>
      </c>
      <c r="J1093" s="146" t="s">
        <v>3862</v>
      </c>
      <c r="K1093" s="146" t="s">
        <v>3861</v>
      </c>
      <c r="L1093" s="147">
        <v>5</v>
      </c>
      <c r="M1093" s="147">
        <v>4</v>
      </c>
      <c r="N1093" s="146" t="s">
        <v>1548</v>
      </c>
      <c r="O1093" s="147">
        <v>10</v>
      </c>
      <c r="P1093" s="147">
        <v>4</v>
      </c>
      <c r="Q1093" s="147">
        <v>17</v>
      </c>
      <c r="R1093" s="146" t="s">
        <v>190</v>
      </c>
      <c r="S1093" s="146" t="s">
        <v>191</v>
      </c>
      <c r="T1093" s="147">
        <v>168</v>
      </c>
      <c r="U1093" s="146" t="s">
        <v>1569</v>
      </c>
      <c r="V1093" s="146" t="s">
        <v>1570</v>
      </c>
      <c r="W1093" s="147">
        <v>1</v>
      </c>
      <c r="X1093" s="147">
        <v>2</v>
      </c>
      <c r="Y1093" s="146" t="s">
        <v>194</v>
      </c>
      <c r="Z1093" s="146" t="s">
        <v>195</v>
      </c>
      <c r="AA1093" s="146" t="s">
        <v>196</v>
      </c>
      <c r="AB1093" s="146" t="s">
        <v>209</v>
      </c>
      <c r="AC1093" s="146" t="s">
        <v>187</v>
      </c>
      <c r="AD1093" s="148"/>
      <c r="AE1093" s="146" t="s">
        <v>209</v>
      </c>
      <c r="AF1093" s="147">
        <v>16.846679999999999</v>
      </c>
      <c r="AG1093" s="149">
        <v>121.26145</v>
      </c>
      <c r="AO1093" s="121"/>
      <c r="AT1093" s="111"/>
      <c r="AX1093" s="121"/>
    </row>
    <row r="1094" spans="1:50" s="110" customFormat="1" ht="20" customHeight="1">
      <c r="A1094" s="125" t="s">
        <v>239</v>
      </c>
      <c r="B1094" s="126" t="s">
        <v>67</v>
      </c>
      <c r="C1094" s="127">
        <v>10135</v>
      </c>
      <c r="D1094" s="145">
        <v>100026</v>
      </c>
      <c r="E1094" s="146" t="s">
        <v>3866</v>
      </c>
      <c r="F1094" s="146" t="s">
        <v>3866</v>
      </c>
      <c r="G1094" s="147">
        <v>14000</v>
      </c>
      <c r="H1094" s="147">
        <v>4</v>
      </c>
      <c r="I1094" s="146" t="s">
        <v>209</v>
      </c>
      <c r="J1094" s="146" t="s">
        <v>3867</v>
      </c>
      <c r="K1094" s="146" t="s">
        <v>3868</v>
      </c>
      <c r="L1094" s="147">
        <v>4</v>
      </c>
      <c r="M1094" s="147">
        <v>4</v>
      </c>
      <c r="N1094" s="146" t="s">
        <v>1548</v>
      </c>
      <c r="O1094" s="147">
        <v>15</v>
      </c>
      <c r="P1094" s="147">
        <v>7</v>
      </c>
      <c r="Q1094" s="147">
        <v>17</v>
      </c>
      <c r="R1094" s="146" t="s">
        <v>190</v>
      </c>
      <c r="S1094" s="146" t="s">
        <v>191</v>
      </c>
      <c r="T1094" s="147">
        <v>168</v>
      </c>
      <c r="U1094" s="146" t="s">
        <v>1569</v>
      </c>
      <c r="V1094" s="146" t="s">
        <v>1570</v>
      </c>
      <c r="W1094" s="147">
        <v>1</v>
      </c>
      <c r="X1094" s="147">
        <v>2</v>
      </c>
      <c r="Y1094" s="146" t="s">
        <v>194</v>
      </c>
      <c r="Z1094" s="146" t="s">
        <v>195</v>
      </c>
      <c r="AA1094" s="146" t="s">
        <v>196</v>
      </c>
      <c r="AB1094" s="146" t="s">
        <v>209</v>
      </c>
      <c r="AC1094" s="146" t="s">
        <v>187</v>
      </c>
      <c r="AD1094" s="148"/>
      <c r="AE1094" s="146" t="s">
        <v>209</v>
      </c>
      <c r="AF1094" s="147">
        <v>9.5426299999745101</v>
      </c>
      <c r="AG1094" s="149">
        <v>118.497360000364</v>
      </c>
      <c r="AO1094" s="121"/>
      <c r="AT1094" s="111"/>
      <c r="AX1094" s="121"/>
    </row>
    <row r="1095" spans="1:50" s="110" customFormat="1" ht="20" customHeight="1">
      <c r="A1095" s="125" t="s">
        <v>239</v>
      </c>
      <c r="B1095" s="126" t="s">
        <v>67</v>
      </c>
      <c r="C1095" s="127">
        <v>19188</v>
      </c>
      <c r="D1095" s="145">
        <v>115482</v>
      </c>
      <c r="E1095" s="146" t="s">
        <v>3824</v>
      </c>
      <c r="F1095" s="146" t="s">
        <v>3824</v>
      </c>
      <c r="G1095" s="147">
        <v>13000</v>
      </c>
      <c r="H1095" s="147">
        <v>4</v>
      </c>
      <c r="I1095" s="146" t="s">
        <v>209</v>
      </c>
      <c r="J1095" s="146" t="s">
        <v>3825</v>
      </c>
      <c r="K1095" s="146" t="s">
        <v>3826</v>
      </c>
      <c r="L1095" s="147">
        <v>4</v>
      </c>
      <c r="M1095" s="147">
        <v>4</v>
      </c>
      <c r="N1095" s="146" t="s">
        <v>1548</v>
      </c>
      <c r="O1095" s="147">
        <v>25</v>
      </c>
      <c r="P1095" s="147">
        <v>7.5</v>
      </c>
      <c r="Q1095" s="147">
        <v>17</v>
      </c>
      <c r="R1095" s="146" t="s">
        <v>190</v>
      </c>
      <c r="S1095" s="146" t="s">
        <v>191</v>
      </c>
      <c r="T1095" s="147">
        <v>168</v>
      </c>
      <c r="U1095" s="146" t="s">
        <v>1569</v>
      </c>
      <c r="V1095" s="146" t="s">
        <v>1570</v>
      </c>
      <c r="W1095" s="147">
        <v>1</v>
      </c>
      <c r="X1095" s="147">
        <v>2</v>
      </c>
      <c r="Y1095" s="146" t="s">
        <v>194</v>
      </c>
      <c r="Z1095" s="146" t="s">
        <v>195</v>
      </c>
      <c r="AA1095" s="146" t="s">
        <v>196</v>
      </c>
      <c r="AB1095" s="146" t="s">
        <v>209</v>
      </c>
      <c r="AC1095" s="146" t="s">
        <v>187</v>
      </c>
      <c r="AD1095" s="148"/>
      <c r="AE1095" s="146" t="s">
        <v>209</v>
      </c>
      <c r="AF1095" s="147">
        <v>7.8294337590606897</v>
      </c>
      <c r="AG1095" s="149">
        <v>125.362851449235</v>
      </c>
      <c r="AO1095" s="121"/>
      <c r="AT1095" s="111"/>
      <c r="AX1095" s="121"/>
    </row>
    <row r="1096" spans="1:50" s="110" customFormat="1" ht="20" customHeight="1">
      <c r="A1096" s="125" t="s">
        <v>239</v>
      </c>
      <c r="B1096" s="126" t="s">
        <v>67</v>
      </c>
      <c r="C1096" s="127">
        <v>20529</v>
      </c>
      <c r="D1096" s="145">
        <v>116841</v>
      </c>
      <c r="E1096" s="146" t="s">
        <v>3764</v>
      </c>
      <c r="F1096" s="146" t="s">
        <v>3764</v>
      </c>
      <c r="G1096" s="147">
        <v>12000</v>
      </c>
      <c r="H1096" s="147">
        <v>4</v>
      </c>
      <c r="I1096" s="146" t="s">
        <v>209</v>
      </c>
      <c r="J1096" s="146" t="s">
        <v>3765</v>
      </c>
      <c r="K1096" s="146" t="s">
        <v>3766</v>
      </c>
      <c r="L1096" s="147">
        <v>0</v>
      </c>
      <c r="M1096" s="147">
        <v>4</v>
      </c>
      <c r="N1096" s="146" t="s">
        <v>1548</v>
      </c>
      <c r="O1096" s="147">
        <v>12</v>
      </c>
      <c r="P1096" s="147">
        <v>5</v>
      </c>
      <c r="Q1096" s="147">
        <v>17</v>
      </c>
      <c r="R1096" s="146" t="s">
        <v>190</v>
      </c>
      <c r="S1096" s="146" t="s">
        <v>191</v>
      </c>
      <c r="T1096" s="147">
        <v>168</v>
      </c>
      <c r="U1096" s="146" t="s">
        <v>1569</v>
      </c>
      <c r="V1096" s="146" t="s">
        <v>1570</v>
      </c>
      <c r="W1096" s="147">
        <v>1</v>
      </c>
      <c r="X1096" s="147">
        <v>2</v>
      </c>
      <c r="Y1096" s="146" t="s">
        <v>194</v>
      </c>
      <c r="Z1096" s="146" t="s">
        <v>195</v>
      </c>
      <c r="AA1096" s="146" t="s">
        <v>196</v>
      </c>
      <c r="AB1096" s="146" t="s">
        <v>209</v>
      </c>
      <c r="AC1096" s="146" t="s">
        <v>187</v>
      </c>
      <c r="AD1096" s="148"/>
      <c r="AE1096" s="146" t="s">
        <v>209</v>
      </c>
      <c r="AF1096" s="147">
        <v>17.161280000000001</v>
      </c>
      <c r="AG1096" s="149">
        <v>121.036952</v>
      </c>
      <c r="AO1096" s="121"/>
      <c r="AT1096" s="111"/>
      <c r="AX1096" s="121"/>
    </row>
    <row r="1097" spans="1:50" s="110" customFormat="1" ht="20" customHeight="1">
      <c r="A1097" s="125" t="s">
        <v>239</v>
      </c>
      <c r="B1097" s="126" t="s">
        <v>67</v>
      </c>
      <c r="C1097" s="127">
        <v>12235</v>
      </c>
      <c r="D1097" s="145">
        <v>104037</v>
      </c>
      <c r="E1097" s="146" t="s">
        <v>3767</v>
      </c>
      <c r="F1097" s="146" t="s">
        <v>3767</v>
      </c>
      <c r="G1097" s="147">
        <v>12000</v>
      </c>
      <c r="H1097" s="147">
        <v>4</v>
      </c>
      <c r="I1097" s="146" t="s">
        <v>209</v>
      </c>
      <c r="J1097" s="146" t="s">
        <v>3768</v>
      </c>
      <c r="K1097" s="146" t="s">
        <v>3767</v>
      </c>
      <c r="L1097" s="147">
        <v>2</v>
      </c>
      <c r="M1097" s="147">
        <v>4</v>
      </c>
      <c r="N1097" s="146" t="s">
        <v>1548</v>
      </c>
      <c r="O1097" s="147">
        <v>40</v>
      </c>
      <c r="P1097" s="147">
        <v>5</v>
      </c>
      <c r="Q1097" s="147">
        <v>17</v>
      </c>
      <c r="R1097" s="146" t="s">
        <v>190</v>
      </c>
      <c r="S1097" s="146" t="s">
        <v>191</v>
      </c>
      <c r="T1097" s="147">
        <v>168</v>
      </c>
      <c r="U1097" s="146" t="s">
        <v>1569</v>
      </c>
      <c r="V1097" s="146" t="s">
        <v>1570</v>
      </c>
      <c r="W1097" s="147">
        <v>1</v>
      </c>
      <c r="X1097" s="147">
        <v>2</v>
      </c>
      <c r="Y1097" s="146" t="s">
        <v>194</v>
      </c>
      <c r="Z1097" s="146" t="s">
        <v>195</v>
      </c>
      <c r="AA1097" s="146" t="s">
        <v>196</v>
      </c>
      <c r="AB1097" s="146" t="s">
        <v>209</v>
      </c>
      <c r="AC1097" s="146" t="s">
        <v>187</v>
      </c>
      <c r="AD1097" s="148"/>
      <c r="AE1097" s="146" t="s">
        <v>209</v>
      </c>
      <c r="AF1097" s="147">
        <v>17.617520000347699</v>
      </c>
      <c r="AG1097" s="149">
        <v>120.653890000423</v>
      </c>
      <c r="AO1097" s="121"/>
      <c r="AT1097" s="111"/>
      <c r="AX1097" s="121"/>
    </row>
    <row r="1098" spans="1:50" s="110" customFormat="1" ht="20" customHeight="1">
      <c r="A1098" s="125" t="s">
        <v>239</v>
      </c>
      <c r="B1098" s="126" t="s">
        <v>67</v>
      </c>
      <c r="C1098" s="127">
        <v>12445</v>
      </c>
      <c r="D1098" s="145">
        <v>104458</v>
      </c>
      <c r="E1098" s="146" t="s">
        <v>3772</v>
      </c>
      <c r="F1098" s="146" t="s">
        <v>3773</v>
      </c>
      <c r="G1098" s="147">
        <v>12000</v>
      </c>
      <c r="H1098" s="147">
        <v>4</v>
      </c>
      <c r="I1098" s="146" t="s">
        <v>209</v>
      </c>
      <c r="J1098" s="146" t="s">
        <v>3774</v>
      </c>
      <c r="K1098" s="146" t="s">
        <v>3775</v>
      </c>
      <c r="L1098" s="147">
        <v>4</v>
      </c>
      <c r="M1098" s="147">
        <v>4</v>
      </c>
      <c r="N1098" s="146" t="s">
        <v>1548</v>
      </c>
      <c r="O1098" s="147">
        <v>7</v>
      </c>
      <c r="P1098" s="147">
        <v>4</v>
      </c>
      <c r="Q1098" s="147">
        <v>17</v>
      </c>
      <c r="R1098" s="146" t="s">
        <v>190</v>
      </c>
      <c r="S1098" s="146" t="s">
        <v>191</v>
      </c>
      <c r="T1098" s="147">
        <v>168</v>
      </c>
      <c r="U1098" s="146" t="s">
        <v>1569</v>
      </c>
      <c r="V1098" s="146" t="s">
        <v>1570</v>
      </c>
      <c r="W1098" s="147">
        <v>1</v>
      </c>
      <c r="X1098" s="147">
        <v>2</v>
      </c>
      <c r="Y1098" s="146" t="s">
        <v>194</v>
      </c>
      <c r="Z1098" s="146" t="s">
        <v>195</v>
      </c>
      <c r="AA1098" s="146" t="s">
        <v>196</v>
      </c>
      <c r="AB1098" s="146" t="s">
        <v>209</v>
      </c>
      <c r="AC1098" s="146" t="s">
        <v>187</v>
      </c>
      <c r="AD1098" s="148"/>
      <c r="AE1098" s="146" t="s">
        <v>209</v>
      </c>
      <c r="AF1098" s="147">
        <v>12.071579999917001</v>
      </c>
      <c r="AG1098" s="149">
        <v>120.09380000026999</v>
      </c>
      <c r="AO1098" s="121"/>
      <c r="AT1098" s="111"/>
      <c r="AX1098" s="121"/>
    </row>
    <row r="1099" spans="1:50" s="110" customFormat="1" ht="20" customHeight="1">
      <c r="A1099" s="125" t="s">
        <v>239</v>
      </c>
      <c r="B1099" s="126" t="s">
        <v>67</v>
      </c>
      <c r="C1099" s="127">
        <v>10351</v>
      </c>
      <c r="D1099" s="145">
        <v>100392</v>
      </c>
      <c r="E1099" s="146" t="s">
        <v>3720</v>
      </c>
      <c r="F1099" s="146" t="s">
        <v>3720</v>
      </c>
      <c r="G1099" s="147">
        <v>11000</v>
      </c>
      <c r="H1099" s="147">
        <v>4</v>
      </c>
      <c r="I1099" s="146" t="s">
        <v>209</v>
      </c>
      <c r="J1099" s="146" t="s">
        <v>3721</v>
      </c>
      <c r="K1099" s="146" t="s">
        <v>3722</v>
      </c>
      <c r="L1099" s="147">
        <v>5</v>
      </c>
      <c r="M1099" s="147">
        <v>4</v>
      </c>
      <c r="N1099" s="146" t="s">
        <v>1548</v>
      </c>
      <c r="O1099" s="147">
        <v>11</v>
      </c>
      <c r="P1099" s="147">
        <v>6</v>
      </c>
      <c r="Q1099" s="147">
        <v>17</v>
      </c>
      <c r="R1099" s="146" t="s">
        <v>190</v>
      </c>
      <c r="S1099" s="146" t="s">
        <v>191</v>
      </c>
      <c r="T1099" s="147">
        <v>168</v>
      </c>
      <c r="U1099" s="146" t="s">
        <v>1569</v>
      </c>
      <c r="V1099" s="146" t="s">
        <v>1570</v>
      </c>
      <c r="W1099" s="147">
        <v>1</v>
      </c>
      <c r="X1099" s="147">
        <v>2</v>
      </c>
      <c r="Y1099" s="146" t="s">
        <v>194</v>
      </c>
      <c r="Z1099" s="146" t="s">
        <v>195</v>
      </c>
      <c r="AA1099" s="146" t="s">
        <v>196</v>
      </c>
      <c r="AB1099" s="146" t="s">
        <v>209</v>
      </c>
      <c r="AC1099" s="146" t="s">
        <v>187</v>
      </c>
      <c r="AD1099" s="148"/>
      <c r="AE1099" s="146" t="s">
        <v>209</v>
      </c>
      <c r="AF1099" s="147">
        <v>16.708929999999999</v>
      </c>
      <c r="AG1099" s="149">
        <v>121.02642</v>
      </c>
      <c r="AO1099" s="121"/>
      <c r="AT1099" s="111"/>
      <c r="AX1099" s="121"/>
    </row>
    <row r="1100" spans="1:50" s="110" customFormat="1" ht="20" customHeight="1">
      <c r="A1100" s="125" t="s">
        <v>239</v>
      </c>
      <c r="B1100" s="126" t="s">
        <v>67</v>
      </c>
      <c r="C1100" s="127">
        <v>13203</v>
      </c>
      <c r="D1100" s="145">
        <v>106006</v>
      </c>
      <c r="E1100" s="146" t="s">
        <v>3725</v>
      </c>
      <c r="F1100" s="146" t="s">
        <v>3726</v>
      </c>
      <c r="G1100" s="147">
        <v>11000</v>
      </c>
      <c r="H1100" s="147">
        <v>4</v>
      </c>
      <c r="I1100" s="146" t="s">
        <v>209</v>
      </c>
      <c r="J1100" s="146" t="s">
        <v>3727</v>
      </c>
      <c r="K1100" s="146" t="s">
        <v>3728</v>
      </c>
      <c r="L1100" s="147">
        <v>1</v>
      </c>
      <c r="M1100" s="147">
        <v>4</v>
      </c>
      <c r="N1100" s="146" t="s">
        <v>1548</v>
      </c>
      <c r="O1100" s="147">
        <v>40</v>
      </c>
      <c r="P1100" s="147">
        <v>5</v>
      </c>
      <c r="Q1100" s="147">
        <v>17</v>
      </c>
      <c r="R1100" s="146" t="s">
        <v>190</v>
      </c>
      <c r="S1100" s="146" t="s">
        <v>191</v>
      </c>
      <c r="T1100" s="147">
        <v>168</v>
      </c>
      <c r="U1100" s="146" t="s">
        <v>1569</v>
      </c>
      <c r="V1100" s="146" t="s">
        <v>1570</v>
      </c>
      <c r="W1100" s="147">
        <v>1</v>
      </c>
      <c r="X1100" s="147">
        <v>2</v>
      </c>
      <c r="Y1100" s="146" t="s">
        <v>194</v>
      </c>
      <c r="Z1100" s="146" t="s">
        <v>195</v>
      </c>
      <c r="AA1100" s="146" t="s">
        <v>196</v>
      </c>
      <c r="AB1100" s="146" t="s">
        <v>209</v>
      </c>
      <c r="AC1100" s="146" t="s">
        <v>187</v>
      </c>
      <c r="AD1100" s="148"/>
      <c r="AE1100" s="146" t="s">
        <v>209</v>
      </c>
      <c r="AF1100" s="147">
        <v>9.4919599997541599</v>
      </c>
      <c r="AG1100" s="149">
        <v>122.76927000041</v>
      </c>
      <c r="AO1100" s="121"/>
      <c r="AT1100" s="111"/>
      <c r="AX1100" s="121"/>
    </row>
    <row r="1101" spans="1:50" s="110" customFormat="1" ht="20" customHeight="1">
      <c r="A1101" s="125" t="s">
        <v>239</v>
      </c>
      <c r="B1101" s="126" t="s">
        <v>67</v>
      </c>
      <c r="C1101" s="127">
        <v>19521</v>
      </c>
      <c r="D1101" s="145">
        <v>108638</v>
      </c>
      <c r="E1101" s="146" t="s">
        <v>3729</v>
      </c>
      <c r="F1101" s="146" t="s">
        <v>3729</v>
      </c>
      <c r="G1101" s="147">
        <v>11000</v>
      </c>
      <c r="H1101" s="147">
        <v>4</v>
      </c>
      <c r="I1101" s="146" t="s">
        <v>209</v>
      </c>
      <c r="J1101" s="146" t="s">
        <v>3311</v>
      </c>
      <c r="K1101" s="146" t="s">
        <v>3312</v>
      </c>
      <c r="L1101" s="147">
        <v>2</v>
      </c>
      <c r="M1101" s="147">
        <v>4</v>
      </c>
      <c r="N1101" s="146" t="s">
        <v>1548</v>
      </c>
      <c r="O1101" s="147">
        <v>14</v>
      </c>
      <c r="P1101" s="147">
        <v>6</v>
      </c>
      <c r="Q1101" s="147">
        <v>17</v>
      </c>
      <c r="R1101" s="146" t="s">
        <v>190</v>
      </c>
      <c r="S1101" s="146" t="s">
        <v>191</v>
      </c>
      <c r="T1101" s="147">
        <v>168</v>
      </c>
      <c r="U1101" s="146" t="s">
        <v>1569</v>
      </c>
      <c r="V1101" s="146" t="s">
        <v>1570</v>
      </c>
      <c r="W1101" s="147">
        <v>1</v>
      </c>
      <c r="X1101" s="147">
        <v>2</v>
      </c>
      <c r="Y1101" s="146" t="s">
        <v>194</v>
      </c>
      <c r="Z1101" s="146" t="s">
        <v>195</v>
      </c>
      <c r="AA1101" s="146" t="s">
        <v>196</v>
      </c>
      <c r="AB1101" s="146" t="s">
        <v>209</v>
      </c>
      <c r="AC1101" s="146" t="s">
        <v>187</v>
      </c>
      <c r="AD1101" s="148"/>
      <c r="AE1101" s="146" t="s">
        <v>209</v>
      </c>
      <c r="AF1101" s="147">
        <v>7.4030100000000001</v>
      </c>
      <c r="AG1101" s="149">
        <v>126.41672</v>
      </c>
      <c r="AO1101" s="121"/>
      <c r="AT1101" s="111"/>
      <c r="AX1101" s="121"/>
    </row>
    <row r="1102" spans="1:50" s="110" customFormat="1" ht="20" customHeight="1">
      <c r="A1102" s="125" t="s">
        <v>239</v>
      </c>
      <c r="B1102" s="126" t="s">
        <v>67</v>
      </c>
      <c r="C1102" s="127">
        <v>14512</v>
      </c>
      <c r="D1102" s="145">
        <v>108264</v>
      </c>
      <c r="E1102" s="146" t="s">
        <v>3730</v>
      </c>
      <c r="F1102" s="146" t="s">
        <v>3730</v>
      </c>
      <c r="G1102" s="147">
        <v>11000</v>
      </c>
      <c r="H1102" s="147">
        <v>4</v>
      </c>
      <c r="I1102" s="146" t="s">
        <v>209</v>
      </c>
      <c r="J1102" s="146" t="s">
        <v>3731</v>
      </c>
      <c r="K1102" s="146" t="s">
        <v>3732</v>
      </c>
      <c r="L1102" s="147">
        <v>1</v>
      </c>
      <c r="M1102" s="147">
        <v>4</v>
      </c>
      <c r="N1102" s="146" t="s">
        <v>1548</v>
      </c>
      <c r="O1102" s="147">
        <v>45</v>
      </c>
      <c r="P1102" s="147">
        <v>4</v>
      </c>
      <c r="Q1102" s="147">
        <v>17</v>
      </c>
      <c r="R1102" s="146" t="s">
        <v>190</v>
      </c>
      <c r="S1102" s="146" t="s">
        <v>191</v>
      </c>
      <c r="T1102" s="147">
        <v>168</v>
      </c>
      <c r="U1102" s="146" t="s">
        <v>1569</v>
      </c>
      <c r="V1102" s="146" t="s">
        <v>1570</v>
      </c>
      <c r="W1102" s="147">
        <v>1</v>
      </c>
      <c r="X1102" s="147">
        <v>2</v>
      </c>
      <c r="Y1102" s="146" t="s">
        <v>194</v>
      </c>
      <c r="Z1102" s="146" t="s">
        <v>195</v>
      </c>
      <c r="AA1102" s="146" t="s">
        <v>196</v>
      </c>
      <c r="AB1102" s="146" t="s">
        <v>209</v>
      </c>
      <c r="AC1102" s="146" t="s">
        <v>187</v>
      </c>
      <c r="AD1102" s="148"/>
      <c r="AE1102" s="146" t="s">
        <v>209</v>
      </c>
      <c r="AF1102" s="147">
        <v>8.2934000002098305</v>
      </c>
      <c r="AG1102" s="149">
        <v>126.26597999997701</v>
      </c>
      <c r="AO1102" s="121"/>
      <c r="AT1102" s="111"/>
      <c r="AX1102" s="121"/>
    </row>
    <row r="1103" spans="1:50" s="110" customFormat="1" ht="20" customHeight="1">
      <c r="A1103" s="125" t="s">
        <v>239</v>
      </c>
      <c r="B1103" s="126" t="s">
        <v>67</v>
      </c>
      <c r="C1103" s="127">
        <v>19186</v>
      </c>
      <c r="D1103" s="145">
        <v>115480</v>
      </c>
      <c r="E1103" s="146" t="s">
        <v>3593</v>
      </c>
      <c r="F1103" s="146" t="s">
        <v>3593</v>
      </c>
      <c r="G1103" s="147">
        <v>9500</v>
      </c>
      <c r="H1103" s="147">
        <v>4</v>
      </c>
      <c r="I1103" s="146" t="s">
        <v>209</v>
      </c>
      <c r="J1103" s="146" t="s">
        <v>3422</v>
      </c>
      <c r="K1103" s="146" t="s">
        <v>3423</v>
      </c>
      <c r="L1103" s="147">
        <v>5</v>
      </c>
      <c r="M1103" s="147">
        <v>4</v>
      </c>
      <c r="N1103" s="146" t="s">
        <v>1548</v>
      </c>
      <c r="O1103" s="147">
        <v>25</v>
      </c>
      <c r="P1103" s="147">
        <v>7</v>
      </c>
      <c r="Q1103" s="147">
        <v>17</v>
      </c>
      <c r="R1103" s="146" t="s">
        <v>190</v>
      </c>
      <c r="S1103" s="146" t="s">
        <v>191</v>
      </c>
      <c r="T1103" s="147">
        <v>168</v>
      </c>
      <c r="U1103" s="146" t="s">
        <v>1569</v>
      </c>
      <c r="V1103" s="146" t="s">
        <v>1570</v>
      </c>
      <c r="W1103" s="147">
        <v>1</v>
      </c>
      <c r="X1103" s="147">
        <v>2</v>
      </c>
      <c r="Y1103" s="146" t="s">
        <v>194</v>
      </c>
      <c r="Z1103" s="146" t="s">
        <v>195</v>
      </c>
      <c r="AA1103" s="146" t="s">
        <v>196</v>
      </c>
      <c r="AB1103" s="146" t="s">
        <v>209</v>
      </c>
      <c r="AC1103" s="146" t="s">
        <v>187</v>
      </c>
      <c r="AD1103" s="148"/>
      <c r="AE1103" s="146" t="s">
        <v>209</v>
      </c>
      <c r="AF1103" s="147">
        <v>7.91583205970176</v>
      </c>
      <c r="AG1103" s="149">
        <v>125.24603363344499</v>
      </c>
      <c r="AO1103" s="121"/>
      <c r="AT1103" s="111"/>
      <c r="AX1103" s="121"/>
    </row>
    <row r="1104" spans="1:50" s="110" customFormat="1" ht="20" customHeight="1">
      <c r="A1104" s="125" t="s">
        <v>239</v>
      </c>
      <c r="B1104" s="126" t="s">
        <v>67</v>
      </c>
      <c r="C1104" s="127">
        <v>11711</v>
      </c>
      <c r="D1104" s="145">
        <v>102867</v>
      </c>
      <c r="E1104" s="146" t="s">
        <v>3438</v>
      </c>
      <c r="F1104" s="146" t="s">
        <v>3438</v>
      </c>
      <c r="G1104" s="147">
        <v>7500</v>
      </c>
      <c r="H1104" s="147">
        <v>4</v>
      </c>
      <c r="I1104" s="146" t="s">
        <v>209</v>
      </c>
      <c r="J1104" s="146" t="s">
        <v>3439</v>
      </c>
      <c r="K1104" s="146" t="s">
        <v>3440</v>
      </c>
      <c r="L1104" s="147">
        <v>4</v>
      </c>
      <c r="M1104" s="147">
        <v>4</v>
      </c>
      <c r="N1104" s="146" t="s">
        <v>1548</v>
      </c>
      <c r="O1104" s="147">
        <v>11</v>
      </c>
      <c r="P1104" s="147">
        <v>7</v>
      </c>
      <c r="Q1104" s="147">
        <v>17</v>
      </c>
      <c r="R1104" s="146" t="s">
        <v>190</v>
      </c>
      <c r="S1104" s="146" t="s">
        <v>191</v>
      </c>
      <c r="T1104" s="147">
        <v>168</v>
      </c>
      <c r="U1104" s="146" t="s">
        <v>1569</v>
      </c>
      <c r="V1104" s="146" t="s">
        <v>1570</v>
      </c>
      <c r="W1104" s="147">
        <v>1</v>
      </c>
      <c r="X1104" s="147">
        <v>2</v>
      </c>
      <c r="Y1104" s="146" t="s">
        <v>194</v>
      </c>
      <c r="Z1104" s="146" t="s">
        <v>195</v>
      </c>
      <c r="AA1104" s="146" t="s">
        <v>196</v>
      </c>
      <c r="AB1104" s="146" t="s">
        <v>209</v>
      </c>
      <c r="AC1104" s="146" t="s">
        <v>187</v>
      </c>
      <c r="AD1104" s="148"/>
      <c r="AE1104" s="146" t="s">
        <v>209</v>
      </c>
      <c r="AF1104" s="147">
        <v>17.0319299996697</v>
      </c>
      <c r="AG1104" s="149">
        <v>121.110480000352</v>
      </c>
      <c r="AO1104" s="121"/>
      <c r="AT1104" s="111"/>
      <c r="AX1104" s="121"/>
    </row>
    <row r="1105" spans="1:50" s="110" customFormat="1" ht="20" customHeight="1">
      <c r="A1105" s="125" t="s">
        <v>239</v>
      </c>
      <c r="B1105" s="126" t="s">
        <v>67</v>
      </c>
      <c r="C1105" s="127">
        <v>19187</v>
      </c>
      <c r="D1105" s="145">
        <v>115481</v>
      </c>
      <c r="E1105" s="146" t="s">
        <v>3421</v>
      </c>
      <c r="F1105" s="146" t="s">
        <v>3421</v>
      </c>
      <c r="G1105" s="147">
        <v>7200</v>
      </c>
      <c r="H1105" s="147">
        <v>4</v>
      </c>
      <c r="I1105" s="146" t="s">
        <v>209</v>
      </c>
      <c r="J1105" s="146" t="s">
        <v>3422</v>
      </c>
      <c r="K1105" s="146" t="s">
        <v>3423</v>
      </c>
      <c r="L1105" s="147">
        <v>5</v>
      </c>
      <c r="M1105" s="147">
        <v>4</v>
      </c>
      <c r="N1105" s="146" t="s">
        <v>1548</v>
      </c>
      <c r="O1105" s="147">
        <v>25</v>
      </c>
      <c r="P1105" s="147">
        <v>7</v>
      </c>
      <c r="Q1105" s="147">
        <v>17</v>
      </c>
      <c r="R1105" s="146" t="s">
        <v>190</v>
      </c>
      <c r="S1105" s="146" t="s">
        <v>191</v>
      </c>
      <c r="T1105" s="147">
        <v>168</v>
      </c>
      <c r="U1105" s="146" t="s">
        <v>1569</v>
      </c>
      <c r="V1105" s="146" t="s">
        <v>1570</v>
      </c>
      <c r="W1105" s="147">
        <v>1</v>
      </c>
      <c r="X1105" s="147">
        <v>2</v>
      </c>
      <c r="Y1105" s="146" t="s">
        <v>194</v>
      </c>
      <c r="Z1105" s="146" t="s">
        <v>195</v>
      </c>
      <c r="AA1105" s="146" t="s">
        <v>196</v>
      </c>
      <c r="AB1105" s="146" t="s">
        <v>209</v>
      </c>
      <c r="AC1105" s="146" t="s">
        <v>187</v>
      </c>
      <c r="AD1105" s="148"/>
      <c r="AE1105" s="146" t="s">
        <v>209</v>
      </c>
      <c r="AF1105" s="147">
        <v>8.3205398686200205</v>
      </c>
      <c r="AG1105" s="149">
        <v>125.362560887275</v>
      </c>
      <c r="AO1105" s="121"/>
      <c r="AT1105" s="111"/>
      <c r="AX1105" s="121"/>
    </row>
    <row r="1106" spans="1:50" s="110" customFormat="1" ht="20" customHeight="1">
      <c r="A1106" s="125" t="s">
        <v>239</v>
      </c>
      <c r="B1106" s="126" t="s">
        <v>67</v>
      </c>
      <c r="C1106" s="127">
        <v>10142</v>
      </c>
      <c r="D1106" s="145">
        <v>100033</v>
      </c>
      <c r="E1106" s="146" t="s">
        <v>3305</v>
      </c>
      <c r="F1106" s="146" t="s">
        <v>3305</v>
      </c>
      <c r="G1106" s="147">
        <v>6000</v>
      </c>
      <c r="H1106" s="147">
        <v>4</v>
      </c>
      <c r="I1106" s="146" t="s">
        <v>209</v>
      </c>
      <c r="J1106" s="146" t="s">
        <v>3306</v>
      </c>
      <c r="K1106" s="146" t="s">
        <v>3305</v>
      </c>
      <c r="L1106" s="147">
        <v>3</v>
      </c>
      <c r="M1106" s="147">
        <v>4</v>
      </c>
      <c r="N1106" s="146" t="s">
        <v>1548</v>
      </c>
      <c r="O1106" s="147">
        <v>35</v>
      </c>
      <c r="P1106" s="147">
        <v>5</v>
      </c>
      <c r="Q1106" s="147">
        <v>17</v>
      </c>
      <c r="R1106" s="146" t="s">
        <v>190</v>
      </c>
      <c r="S1106" s="146" t="s">
        <v>191</v>
      </c>
      <c r="T1106" s="147">
        <v>168</v>
      </c>
      <c r="U1106" s="146" t="s">
        <v>1569</v>
      </c>
      <c r="V1106" s="146" t="s">
        <v>1570</v>
      </c>
      <c r="W1106" s="147">
        <v>1</v>
      </c>
      <c r="X1106" s="147">
        <v>2</v>
      </c>
      <c r="Y1106" s="146" t="s">
        <v>194</v>
      </c>
      <c r="Z1106" s="146" t="s">
        <v>195</v>
      </c>
      <c r="AA1106" s="146" t="s">
        <v>196</v>
      </c>
      <c r="AB1106" s="146" t="s">
        <v>209</v>
      </c>
      <c r="AC1106" s="146" t="s">
        <v>187</v>
      </c>
      <c r="AD1106" s="148"/>
      <c r="AE1106" s="146" t="s">
        <v>209</v>
      </c>
      <c r="AF1106" s="147">
        <v>15.4131399997112</v>
      </c>
      <c r="AG1106" s="149">
        <v>120.20036000041399</v>
      </c>
      <c r="AO1106" s="121"/>
      <c r="AT1106" s="111"/>
      <c r="AX1106" s="121"/>
    </row>
    <row r="1107" spans="1:50" s="110" customFormat="1" ht="20" customHeight="1">
      <c r="A1107" s="125" t="s">
        <v>239</v>
      </c>
      <c r="B1107" s="126" t="s">
        <v>67</v>
      </c>
      <c r="C1107" s="127">
        <v>10155</v>
      </c>
      <c r="D1107" s="145">
        <v>100055</v>
      </c>
      <c r="E1107" s="146" t="s">
        <v>3307</v>
      </c>
      <c r="F1107" s="146" t="s">
        <v>3307</v>
      </c>
      <c r="G1107" s="147">
        <v>6000</v>
      </c>
      <c r="H1107" s="147">
        <v>4</v>
      </c>
      <c r="I1107" s="146" t="s">
        <v>209</v>
      </c>
      <c r="J1107" s="146" t="s">
        <v>3308</v>
      </c>
      <c r="K1107" s="146" t="s">
        <v>3309</v>
      </c>
      <c r="L1107" s="147">
        <v>4</v>
      </c>
      <c r="M1107" s="147">
        <v>4</v>
      </c>
      <c r="N1107" s="146" t="s">
        <v>1548</v>
      </c>
      <c r="O1107" s="147">
        <v>17</v>
      </c>
      <c r="P1107" s="147">
        <v>7</v>
      </c>
      <c r="Q1107" s="147">
        <v>17</v>
      </c>
      <c r="R1107" s="146" t="s">
        <v>190</v>
      </c>
      <c r="S1107" s="146" t="s">
        <v>191</v>
      </c>
      <c r="T1107" s="147">
        <v>168</v>
      </c>
      <c r="U1107" s="146" t="s">
        <v>1569</v>
      </c>
      <c r="V1107" s="146" t="s">
        <v>1570</v>
      </c>
      <c r="W1107" s="147">
        <v>1</v>
      </c>
      <c r="X1107" s="147">
        <v>2</v>
      </c>
      <c r="Y1107" s="146" t="s">
        <v>194</v>
      </c>
      <c r="Z1107" s="146" t="s">
        <v>195</v>
      </c>
      <c r="AA1107" s="146" t="s">
        <v>196</v>
      </c>
      <c r="AB1107" s="146" t="s">
        <v>209</v>
      </c>
      <c r="AC1107" s="146" t="s">
        <v>187</v>
      </c>
      <c r="AD1107" s="148"/>
      <c r="AE1107" s="146" t="s">
        <v>209</v>
      </c>
      <c r="AF1107" s="147">
        <v>17.8187299999895</v>
      </c>
      <c r="AG1107" s="149">
        <v>120.905280000172</v>
      </c>
      <c r="AO1107" s="121"/>
      <c r="AT1107" s="111"/>
      <c r="AX1107" s="121"/>
    </row>
    <row r="1108" spans="1:50" s="110" customFormat="1" ht="20" customHeight="1">
      <c r="A1108" s="125" t="s">
        <v>239</v>
      </c>
      <c r="B1108" s="126" t="s">
        <v>67</v>
      </c>
      <c r="C1108" s="127">
        <v>15709</v>
      </c>
      <c r="D1108" s="145">
        <v>110398</v>
      </c>
      <c r="E1108" s="146" t="s">
        <v>3169</v>
      </c>
      <c r="F1108" s="146" t="s">
        <v>3169</v>
      </c>
      <c r="G1108" s="147">
        <v>4800</v>
      </c>
      <c r="H1108" s="147">
        <v>4</v>
      </c>
      <c r="I1108" s="146" t="s">
        <v>209</v>
      </c>
      <c r="J1108" s="146" t="s">
        <v>3170</v>
      </c>
      <c r="K1108" s="146" t="s">
        <v>3171</v>
      </c>
      <c r="L1108" s="147">
        <v>4</v>
      </c>
      <c r="M1108" s="147">
        <v>4</v>
      </c>
      <c r="N1108" s="146" t="s">
        <v>1548</v>
      </c>
      <c r="O1108" s="147">
        <v>8</v>
      </c>
      <c r="P1108" s="147">
        <v>4</v>
      </c>
      <c r="Q1108" s="147">
        <v>17</v>
      </c>
      <c r="R1108" s="146" t="s">
        <v>190</v>
      </c>
      <c r="S1108" s="146" t="s">
        <v>191</v>
      </c>
      <c r="T1108" s="147">
        <v>168</v>
      </c>
      <c r="U1108" s="146" t="s">
        <v>1569</v>
      </c>
      <c r="V1108" s="146" t="s">
        <v>1570</v>
      </c>
      <c r="W1108" s="147">
        <v>1</v>
      </c>
      <c r="X1108" s="147">
        <v>2</v>
      </c>
      <c r="Y1108" s="146" t="s">
        <v>194</v>
      </c>
      <c r="Z1108" s="146" t="s">
        <v>195</v>
      </c>
      <c r="AA1108" s="146" t="s">
        <v>196</v>
      </c>
      <c r="AB1108" s="146" t="s">
        <v>209</v>
      </c>
      <c r="AC1108" s="146" t="s">
        <v>187</v>
      </c>
      <c r="AD1108" s="148"/>
      <c r="AE1108" s="146" t="s">
        <v>209</v>
      </c>
      <c r="AF1108" s="147">
        <v>14.875690000393201</v>
      </c>
      <c r="AG1108" s="149">
        <v>121.508139999561</v>
      </c>
      <c r="AO1108" s="121"/>
      <c r="AT1108" s="111"/>
      <c r="AX1108" s="121"/>
    </row>
    <row r="1109" spans="1:50" s="110" customFormat="1" ht="20" customHeight="1">
      <c r="A1109" s="125" t="s">
        <v>239</v>
      </c>
      <c r="B1109" s="126" t="s">
        <v>67</v>
      </c>
      <c r="C1109" s="127">
        <v>12295</v>
      </c>
      <c r="D1109" s="145">
        <v>104124</v>
      </c>
      <c r="E1109" s="146" t="s">
        <v>3145</v>
      </c>
      <c r="F1109" s="146" t="s">
        <v>3145</v>
      </c>
      <c r="G1109" s="147">
        <v>4700</v>
      </c>
      <c r="H1109" s="147">
        <v>4</v>
      </c>
      <c r="I1109" s="146" t="s">
        <v>209</v>
      </c>
      <c r="J1109" s="146" t="s">
        <v>3146</v>
      </c>
      <c r="K1109" s="146" t="s">
        <v>3147</v>
      </c>
      <c r="L1109" s="147">
        <v>2</v>
      </c>
      <c r="M1109" s="147">
        <v>4</v>
      </c>
      <c r="N1109" s="146" t="s">
        <v>1548</v>
      </c>
      <c r="O1109" s="147">
        <v>7</v>
      </c>
      <c r="P1109" s="147">
        <v>5</v>
      </c>
      <c r="Q1109" s="147">
        <v>17</v>
      </c>
      <c r="R1109" s="146" t="s">
        <v>190</v>
      </c>
      <c r="S1109" s="146" t="s">
        <v>191</v>
      </c>
      <c r="T1109" s="147">
        <v>168</v>
      </c>
      <c r="U1109" s="146" t="s">
        <v>1569</v>
      </c>
      <c r="V1109" s="146" t="s">
        <v>1570</v>
      </c>
      <c r="W1109" s="147">
        <v>1</v>
      </c>
      <c r="X1109" s="147">
        <v>2</v>
      </c>
      <c r="Y1109" s="146" t="s">
        <v>194</v>
      </c>
      <c r="Z1109" s="146" t="s">
        <v>195</v>
      </c>
      <c r="AA1109" s="146" t="s">
        <v>196</v>
      </c>
      <c r="AB1109" s="146" t="s">
        <v>209</v>
      </c>
      <c r="AC1109" s="146" t="s">
        <v>187</v>
      </c>
      <c r="AD1109" s="148"/>
      <c r="AE1109" s="146" t="s">
        <v>209</v>
      </c>
      <c r="AF1109" s="147">
        <v>16.304479999652202</v>
      </c>
      <c r="AG1109" s="149">
        <v>120.78632999973</v>
      </c>
      <c r="AO1109" s="121"/>
      <c r="AT1109" s="111"/>
      <c r="AX1109" s="121"/>
    </row>
    <row r="1110" spans="1:50" s="110" customFormat="1" ht="20" customHeight="1">
      <c r="A1110" s="125" t="s">
        <v>239</v>
      </c>
      <c r="B1110" s="126" t="s">
        <v>67</v>
      </c>
      <c r="C1110" s="127">
        <v>14541</v>
      </c>
      <c r="D1110" s="145">
        <v>108352</v>
      </c>
      <c r="E1110" s="146" t="s">
        <v>2983</v>
      </c>
      <c r="F1110" s="146" t="s">
        <v>2983</v>
      </c>
      <c r="G1110" s="147">
        <v>3600</v>
      </c>
      <c r="H1110" s="147">
        <v>4</v>
      </c>
      <c r="I1110" s="146" t="s">
        <v>209</v>
      </c>
      <c r="J1110" s="146" t="s">
        <v>2984</v>
      </c>
      <c r="K1110" s="146" t="s">
        <v>2985</v>
      </c>
      <c r="L1110" s="147">
        <v>0</v>
      </c>
      <c r="M1110" s="147">
        <v>4</v>
      </c>
      <c r="N1110" s="146" t="s">
        <v>1548</v>
      </c>
      <c r="O1110" s="147">
        <v>28</v>
      </c>
      <c r="P1110" s="147">
        <v>3.5</v>
      </c>
      <c r="Q1110" s="147">
        <v>17</v>
      </c>
      <c r="R1110" s="146" t="s">
        <v>190</v>
      </c>
      <c r="S1110" s="146" t="s">
        <v>191</v>
      </c>
      <c r="T1110" s="147">
        <v>168</v>
      </c>
      <c r="U1110" s="146" t="s">
        <v>1569</v>
      </c>
      <c r="V1110" s="146" t="s">
        <v>1570</v>
      </c>
      <c r="W1110" s="147">
        <v>1</v>
      </c>
      <c r="X1110" s="147">
        <v>2</v>
      </c>
      <c r="Y1110" s="146" t="s">
        <v>194</v>
      </c>
      <c r="Z1110" s="146" t="s">
        <v>195</v>
      </c>
      <c r="AA1110" s="146" t="s">
        <v>196</v>
      </c>
      <c r="AB1110" s="146" t="s">
        <v>209</v>
      </c>
      <c r="AC1110" s="146" t="s">
        <v>187</v>
      </c>
      <c r="AD1110" s="148"/>
      <c r="AE1110" s="146" t="s">
        <v>209</v>
      </c>
      <c r="AF1110" s="147">
        <v>14.6254099996717</v>
      </c>
      <c r="AG1110" s="149">
        <v>121.453229999865</v>
      </c>
      <c r="AO1110" s="121"/>
      <c r="AT1110" s="111"/>
      <c r="AX1110" s="121"/>
    </row>
    <row r="1111" spans="1:50" s="110" customFormat="1" ht="20" customHeight="1">
      <c r="A1111" s="125" t="s">
        <v>239</v>
      </c>
      <c r="B1111" s="126" t="s">
        <v>67</v>
      </c>
      <c r="C1111" s="127">
        <v>20530</v>
      </c>
      <c r="D1111" s="145">
        <v>116842</v>
      </c>
      <c r="E1111" s="146" t="s">
        <v>2937</v>
      </c>
      <c r="F1111" s="146" t="s">
        <v>2937</v>
      </c>
      <c r="G1111" s="147">
        <v>3300</v>
      </c>
      <c r="H1111" s="147">
        <v>4</v>
      </c>
      <c r="I1111" s="146" t="s">
        <v>209</v>
      </c>
      <c r="J1111" s="146" t="s">
        <v>2938</v>
      </c>
      <c r="K1111" s="146" t="s">
        <v>2939</v>
      </c>
      <c r="L1111" s="147">
        <v>1</v>
      </c>
      <c r="M1111" s="147">
        <v>4</v>
      </c>
      <c r="N1111" s="146" t="s">
        <v>1548</v>
      </c>
      <c r="O1111" s="147">
        <v>15</v>
      </c>
      <c r="P1111" s="147">
        <v>5</v>
      </c>
      <c r="Q1111" s="147">
        <v>17</v>
      </c>
      <c r="R1111" s="146" t="s">
        <v>190</v>
      </c>
      <c r="S1111" s="146" t="s">
        <v>191</v>
      </c>
      <c r="T1111" s="147">
        <v>168</v>
      </c>
      <c r="U1111" s="146" t="s">
        <v>1569</v>
      </c>
      <c r="V1111" s="146" t="s">
        <v>1570</v>
      </c>
      <c r="W1111" s="147">
        <v>1</v>
      </c>
      <c r="X1111" s="147">
        <v>2</v>
      </c>
      <c r="Y1111" s="146" t="s">
        <v>194</v>
      </c>
      <c r="Z1111" s="146" t="s">
        <v>195</v>
      </c>
      <c r="AA1111" s="146" t="s">
        <v>196</v>
      </c>
      <c r="AB1111" s="146" t="s">
        <v>209</v>
      </c>
      <c r="AC1111" s="146" t="s">
        <v>187</v>
      </c>
      <c r="AD1111" s="148"/>
      <c r="AE1111" s="146" t="s">
        <v>209</v>
      </c>
      <c r="AF1111" s="147">
        <v>17.046309000000001</v>
      </c>
      <c r="AG1111" s="149">
        <v>121.006726</v>
      </c>
      <c r="AO1111" s="121"/>
      <c r="AT1111" s="111"/>
      <c r="AX1111" s="121"/>
    </row>
    <row r="1112" spans="1:50" s="110" customFormat="1" ht="20" customHeight="1">
      <c r="A1112" s="125" t="s">
        <v>239</v>
      </c>
      <c r="B1112" s="126" t="s">
        <v>67</v>
      </c>
      <c r="C1112" s="127">
        <v>10275</v>
      </c>
      <c r="D1112" s="145">
        <v>100263</v>
      </c>
      <c r="E1112" s="146" t="s">
        <v>2930</v>
      </c>
      <c r="F1112" s="146" t="s">
        <v>2930</v>
      </c>
      <c r="G1112" s="147">
        <v>3200</v>
      </c>
      <c r="H1112" s="147">
        <v>4</v>
      </c>
      <c r="I1112" s="146" t="s">
        <v>209</v>
      </c>
      <c r="J1112" s="146" t="s">
        <v>2931</v>
      </c>
      <c r="K1112" s="146" t="s">
        <v>2930</v>
      </c>
      <c r="L1112" s="147">
        <v>3</v>
      </c>
      <c r="M1112" s="147">
        <v>4</v>
      </c>
      <c r="N1112" s="146" t="s">
        <v>1548</v>
      </c>
      <c r="O1112" s="147">
        <v>14</v>
      </c>
      <c r="P1112" s="147">
        <v>5</v>
      </c>
      <c r="Q1112" s="147">
        <v>17</v>
      </c>
      <c r="R1112" s="146" t="s">
        <v>190</v>
      </c>
      <c r="S1112" s="146" t="s">
        <v>191</v>
      </c>
      <c r="T1112" s="147">
        <v>168</v>
      </c>
      <c r="U1112" s="146" t="s">
        <v>1569</v>
      </c>
      <c r="V1112" s="146" t="s">
        <v>1570</v>
      </c>
      <c r="W1112" s="147">
        <v>1</v>
      </c>
      <c r="X1112" s="147">
        <v>2</v>
      </c>
      <c r="Y1112" s="146" t="s">
        <v>194</v>
      </c>
      <c r="Z1112" s="146" t="s">
        <v>195</v>
      </c>
      <c r="AA1112" s="146" t="s">
        <v>196</v>
      </c>
      <c r="AB1112" s="146" t="s">
        <v>209</v>
      </c>
      <c r="AC1112" s="146" t="s">
        <v>187</v>
      </c>
      <c r="AD1112" s="148"/>
      <c r="AE1112" s="146" t="s">
        <v>209</v>
      </c>
      <c r="AF1112" s="147">
        <v>14.815580000116899</v>
      </c>
      <c r="AG1112" s="149">
        <v>120.283390000048</v>
      </c>
      <c r="AO1112" s="121"/>
      <c r="AT1112" s="111"/>
      <c r="AX1112" s="121"/>
    </row>
    <row r="1113" spans="1:50" s="110" customFormat="1" ht="20" customHeight="1">
      <c r="A1113" s="125" t="s">
        <v>239</v>
      </c>
      <c r="B1113" s="126" t="s">
        <v>67</v>
      </c>
      <c r="C1113" s="127">
        <v>20531</v>
      </c>
      <c r="D1113" s="145">
        <v>116843</v>
      </c>
      <c r="E1113" s="146" t="s">
        <v>2889</v>
      </c>
      <c r="F1113" s="146" t="s">
        <v>2889</v>
      </c>
      <c r="G1113" s="147">
        <v>3000</v>
      </c>
      <c r="H1113" s="147">
        <v>4</v>
      </c>
      <c r="I1113" s="146" t="s">
        <v>209</v>
      </c>
      <c r="J1113" s="146" t="s">
        <v>2890</v>
      </c>
      <c r="K1113" s="146" t="s">
        <v>2891</v>
      </c>
      <c r="L1113" s="147">
        <v>0</v>
      </c>
      <c r="M1113" s="147">
        <v>4</v>
      </c>
      <c r="N1113" s="146" t="s">
        <v>1548</v>
      </c>
      <c r="O1113" s="147">
        <v>16</v>
      </c>
      <c r="P1113" s="147">
        <v>6</v>
      </c>
      <c r="Q1113" s="147">
        <v>17</v>
      </c>
      <c r="R1113" s="146" t="s">
        <v>190</v>
      </c>
      <c r="S1113" s="146" t="s">
        <v>191</v>
      </c>
      <c r="T1113" s="147">
        <v>168</v>
      </c>
      <c r="U1113" s="146" t="s">
        <v>1569</v>
      </c>
      <c r="V1113" s="146" t="s">
        <v>1570</v>
      </c>
      <c r="W1113" s="147">
        <v>1</v>
      </c>
      <c r="X1113" s="147">
        <v>2</v>
      </c>
      <c r="Y1113" s="146" t="s">
        <v>194</v>
      </c>
      <c r="Z1113" s="146" t="s">
        <v>195</v>
      </c>
      <c r="AA1113" s="146" t="s">
        <v>196</v>
      </c>
      <c r="AB1113" s="146" t="s">
        <v>209</v>
      </c>
      <c r="AC1113" s="146" t="s">
        <v>187</v>
      </c>
      <c r="AD1113" s="148"/>
      <c r="AE1113" s="146" t="s">
        <v>209</v>
      </c>
      <c r="AF1113" s="147">
        <v>17.09216</v>
      </c>
      <c r="AG1113" s="149">
        <v>120.977121</v>
      </c>
      <c r="AO1113" s="121"/>
      <c r="AT1113" s="111"/>
      <c r="AX1113" s="121"/>
    </row>
    <row r="1114" spans="1:50" s="110" customFormat="1" ht="20" customHeight="1">
      <c r="A1114" s="125" t="s">
        <v>239</v>
      </c>
      <c r="B1114" s="126" t="s">
        <v>67</v>
      </c>
      <c r="C1114" s="127">
        <v>20541</v>
      </c>
      <c r="D1114" s="145">
        <v>116828</v>
      </c>
      <c r="E1114" s="146" t="s">
        <v>2703</v>
      </c>
      <c r="F1114" s="146" t="s">
        <v>2703</v>
      </c>
      <c r="G1114" s="147">
        <v>2000</v>
      </c>
      <c r="H1114" s="147">
        <v>4</v>
      </c>
      <c r="I1114" s="146" t="s">
        <v>209</v>
      </c>
      <c r="J1114" s="146" t="s">
        <v>2704</v>
      </c>
      <c r="K1114" s="146" t="s">
        <v>2703</v>
      </c>
      <c r="L1114" s="147">
        <v>4</v>
      </c>
      <c r="M1114" s="147">
        <v>4</v>
      </c>
      <c r="N1114" s="146" t="s">
        <v>1548</v>
      </c>
      <c r="O1114" s="147">
        <v>20</v>
      </c>
      <c r="P1114" s="147">
        <v>6</v>
      </c>
      <c r="Q1114" s="147">
        <v>17</v>
      </c>
      <c r="R1114" s="146" t="s">
        <v>190</v>
      </c>
      <c r="S1114" s="146" t="s">
        <v>191</v>
      </c>
      <c r="T1114" s="147">
        <v>168</v>
      </c>
      <c r="U1114" s="146" t="s">
        <v>1569</v>
      </c>
      <c r="V1114" s="146" t="s">
        <v>1570</v>
      </c>
      <c r="W1114" s="147">
        <v>1</v>
      </c>
      <c r="X1114" s="147">
        <v>2</v>
      </c>
      <c r="Y1114" s="146" t="s">
        <v>194</v>
      </c>
      <c r="Z1114" s="146" t="s">
        <v>195</v>
      </c>
      <c r="AA1114" s="146" t="s">
        <v>196</v>
      </c>
      <c r="AB1114" s="146" t="s">
        <v>209</v>
      </c>
      <c r="AC1114" s="146" t="s">
        <v>187</v>
      </c>
      <c r="AD1114" s="148"/>
      <c r="AE1114" s="146" t="s">
        <v>209</v>
      </c>
      <c r="AF1114" s="147">
        <v>16.991519</v>
      </c>
      <c r="AG1114" s="149">
        <v>122.383996</v>
      </c>
      <c r="AO1114" s="121"/>
      <c r="AT1114" s="111"/>
      <c r="AX1114" s="121"/>
    </row>
    <row r="1115" spans="1:50" s="110" customFormat="1" ht="20" customHeight="1">
      <c r="A1115" s="125" t="s">
        <v>239</v>
      </c>
      <c r="B1115" s="126" t="s">
        <v>67</v>
      </c>
      <c r="C1115" s="127">
        <v>10180</v>
      </c>
      <c r="D1115" s="145">
        <v>100120</v>
      </c>
      <c r="E1115" s="146" t="s">
        <v>2653</v>
      </c>
      <c r="F1115" s="146" t="s">
        <v>2653</v>
      </c>
      <c r="G1115" s="147">
        <v>1800</v>
      </c>
      <c r="H1115" s="147">
        <v>4</v>
      </c>
      <c r="I1115" s="146" t="s">
        <v>209</v>
      </c>
      <c r="J1115" s="146" t="s">
        <v>2654</v>
      </c>
      <c r="K1115" s="146" t="s">
        <v>2653</v>
      </c>
      <c r="L1115" s="147">
        <v>4</v>
      </c>
      <c r="M1115" s="147">
        <v>4</v>
      </c>
      <c r="N1115" s="146" t="s">
        <v>1548</v>
      </c>
      <c r="O1115" s="147">
        <v>10</v>
      </c>
      <c r="P1115" s="147">
        <v>3</v>
      </c>
      <c r="Q1115" s="147">
        <v>17</v>
      </c>
      <c r="R1115" s="146" t="s">
        <v>190</v>
      </c>
      <c r="S1115" s="146" t="s">
        <v>191</v>
      </c>
      <c r="T1115" s="147">
        <v>168</v>
      </c>
      <c r="U1115" s="146" t="s">
        <v>1569</v>
      </c>
      <c r="V1115" s="146" t="s">
        <v>1570</v>
      </c>
      <c r="W1115" s="147">
        <v>1</v>
      </c>
      <c r="X1115" s="147">
        <v>2</v>
      </c>
      <c r="Y1115" s="146" t="s">
        <v>194</v>
      </c>
      <c r="Z1115" s="146" t="s">
        <v>195</v>
      </c>
      <c r="AA1115" s="146" t="s">
        <v>196</v>
      </c>
      <c r="AB1115" s="146" t="s">
        <v>209</v>
      </c>
      <c r="AC1115" s="146" t="s">
        <v>187</v>
      </c>
      <c r="AD1115" s="148"/>
      <c r="AE1115" s="146" t="s">
        <v>209</v>
      </c>
      <c r="AF1115" s="147">
        <v>17.374769999735701</v>
      </c>
      <c r="AG1115" s="149">
        <v>122.188120000338</v>
      </c>
      <c r="AO1115" s="121"/>
      <c r="AT1115" s="111"/>
      <c r="AX1115" s="121"/>
    </row>
    <row r="1116" spans="1:50" s="110" customFormat="1" ht="20" customHeight="1">
      <c r="A1116" s="125" t="s">
        <v>239</v>
      </c>
      <c r="B1116" s="126" t="s">
        <v>67</v>
      </c>
      <c r="C1116" s="127">
        <v>14012</v>
      </c>
      <c r="D1116" s="145">
        <v>107437</v>
      </c>
      <c r="E1116" s="146" t="s">
        <v>2529</v>
      </c>
      <c r="F1116" s="146" t="s">
        <v>2529</v>
      </c>
      <c r="G1116" s="147">
        <v>1500</v>
      </c>
      <c r="H1116" s="147">
        <v>4</v>
      </c>
      <c r="I1116" s="146" t="s">
        <v>209</v>
      </c>
      <c r="J1116" s="146" t="s">
        <v>2530</v>
      </c>
      <c r="K1116" s="146" t="s">
        <v>2531</v>
      </c>
      <c r="L1116" s="147">
        <v>4</v>
      </c>
      <c r="M1116" s="147">
        <v>4</v>
      </c>
      <c r="N1116" s="146" t="s">
        <v>1548</v>
      </c>
      <c r="O1116" s="147">
        <v>20</v>
      </c>
      <c r="P1116" s="147">
        <v>7</v>
      </c>
      <c r="Q1116" s="147">
        <v>17</v>
      </c>
      <c r="R1116" s="146" t="s">
        <v>190</v>
      </c>
      <c r="S1116" s="146" t="s">
        <v>191</v>
      </c>
      <c r="T1116" s="147">
        <v>168</v>
      </c>
      <c r="U1116" s="146" t="s">
        <v>1569</v>
      </c>
      <c r="V1116" s="146" t="s">
        <v>1570</v>
      </c>
      <c r="W1116" s="147">
        <v>1</v>
      </c>
      <c r="X1116" s="147">
        <v>2</v>
      </c>
      <c r="Y1116" s="146" t="s">
        <v>194</v>
      </c>
      <c r="Z1116" s="146" t="s">
        <v>195</v>
      </c>
      <c r="AA1116" s="146" t="s">
        <v>196</v>
      </c>
      <c r="AB1116" s="146" t="s">
        <v>209</v>
      </c>
      <c r="AC1116" s="146" t="s">
        <v>187</v>
      </c>
      <c r="AD1116" s="148"/>
      <c r="AE1116" s="146" t="s">
        <v>209</v>
      </c>
      <c r="AF1116" s="147">
        <v>18.473810000031399</v>
      </c>
      <c r="AG1116" s="149">
        <v>121.29955000043201</v>
      </c>
      <c r="AO1116" s="121"/>
      <c r="AT1116" s="111"/>
      <c r="AX1116" s="121"/>
    </row>
    <row r="1117" spans="1:50" s="110" customFormat="1" ht="20" customHeight="1">
      <c r="A1117" s="125" t="s">
        <v>239</v>
      </c>
      <c r="B1117" s="126" t="s">
        <v>67</v>
      </c>
      <c r="C1117" s="127">
        <v>11118</v>
      </c>
      <c r="D1117" s="145">
        <v>101914</v>
      </c>
      <c r="E1117" s="146" t="s">
        <v>2381</v>
      </c>
      <c r="F1117" s="146" t="s">
        <v>2381</v>
      </c>
      <c r="G1117" s="147">
        <v>1100</v>
      </c>
      <c r="H1117" s="147">
        <v>4</v>
      </c>
      <c r="I1117" s="146" t="s">
        <v>209</v>
      </c>
      <c r="J1117" s="146" t="s">
        <v>2382</v>
      </c>
      <c r="K1117" s="146" t="s">
        <v>2381</v>
      </c>
      <c r="L1117" s="147">
        <v>4</v>
      </c>
      <c r="M1117" s="147">
        <v>4</v>
      </c>
      <c r="N1117" s="146" t="s">
        <v>1548</v>
      </c>
      <c r="O1117" s="147">
        <v>12</v>
      </c>
      <c r="P1117" s="147">
        <v>8</v>
      </c>
      <c r="Q1117" s="147">
        <v>17</v>
      </c>
      <c r="R1117" s="146" t="s">
        <v>190</v>
      </c>
      <c r="S1117" s="146" t="s">
        <v>191</v>
      </c>
      <c r="T1117" s="147">
        <v>168</v>
      </c>
      <c r="U1117" s="146" t="s">
        <v>1569</v>
      </c>
      <c r="V1117" s="146" t="s">
        <v>1570</v>
      </c>
      <c r="W1117" s="147">
        <v>1</v>
      </c>
      <c r="X1117" s="147">
        <v>2</v>
      </c>
      <c r="Y1117" s="146" t="s">
        <v>194</v>
      </c>
      <c r="Z1117" s="146" t="s">
        <v>195</v>
      </c>
      <c r="AA1117" s="146" t="s">
        <v>196</v>
      </c>
      <c r="AB1117" s="146" t="s">
        <v>209</v>
      </c>
      <c r="AC1117" s="146" t="s">
        <v>187</v>
      </c>
      <c r="AD1117" s="148"/>
      <c r="AE1117" s="146" t="s">
        <v>209</v>
      </c>
      <c r="AF1117" s="147">
        <v>17.957089999803699</v>
      </c>
      <c r="AG1117" s="149">
        <v>121.85716000043401</v>
      </c>
      <c r="AO1117" s="121"/>
      <c r="AT1117" s="111"/>
      <c r="AX1117" s="121"/>
    </row>
    <row r="1118" spans="1:50" s="110" customFormat="1" ht="20" customHeight="1">
      <c r="A1118" s="125" t="s">
        <v>239</v>
      </c>
      <c r="B1118" s="126" t="s">
        <v>67</v>
      </c>
      <c r="C1118" s="127">
        <v>10715</v>
      </c>
      <c r="D1118" s="145">
        <v>101120</v>
      </c>
      <c r="E1118" s="146" t="s">
        <v>2386</v>
      </c>
      <c r="F1118" s="146" t="s">
        <v>2386</v>
      </c>
      <c r="G1118" s="147">
        <v>1100</v>
      </c>
      <c r="H1118" s="147">
        <v>4</v>
      </c>
      <c r="I1118" s="146" t="s">
        <v>209</v>
      </c>
      <c r="J1118" s="146" t="s">
        <v>2387</v>
      </c>
      <c r="K1118" s="146" t="s">
        <v>2388</v>
      </c>
      <c r="L1118" s="147">
        <v>1</v>
      </c>
      <c r="M1118" s="147">
        <v>4</v>
      </c>
      <c r="N1118" s="146" t="s">
        <v>1548</v>
      </c>
      <c r="O1118" s="147">
        <v>8</v>
      </c>
      <c r="P1118" s="147">
        <v>3</v>
      </c>
      <c r="Q1118" s="147">
        <v>17</v>
      </c>
      <c r="R1118" s="146" t="s">
        <v>190</v>
      </c>
      <c r="S1118" s="146" t="s">
        <v>191</v>
      </c>
      <c r="T1118" s="147">
        <v>168</v>
      </c>
      <c r="U1118" s="146" t="s">
        <v>1569</v>
      </c>
      <c r="V1118" s="146" t="s">
        <v>1570</v>
      </c>
      <c r="W1118" s="147">
        <v>1</v>
      </c>
      <c r="X1118" s="147">
        <v>2</v>
      </c>
      <c r="Y1118" s="146" t="s">
        <v>194</v>
      </c>
      <c r="Z1118" s="146" t="s">
        <v>195</v>
      </c>
      <c r="AA1118" s="146" t="s">
        <v>196</v>
      </c>
      <c r="AB1118" s="146" t="s">
        <v>209</v>
      </c>
      <c r="AC1118" s="146" t="s">
        <v>187</v>
      </c>
      <c r="AD1118" s="148"/>
      <c r="AE1118" s="146" t="s">
        <v>209</v>
      </c>
      <c r="AF1118" s="147">
        <v>14.435157</v>
      </c>
      <c r="AG1118" s="149">
        <v>120.47645</v>
      </c>
      <c r="AO1118" s="121"/>
      <c r="AT1118" s="111"/>
      <c r="AX1118" s="121"/>
    </row>
    <row r="1119" spans="1:50" s="110" customFormat="1" ht="20" customHeight="1">
      <c r="A1119" s="125" t="s">
        <v>239</v>
      </c>
      <c r="B1119" s="126" t="s">
        <v>67</v>
      </c>
      <c r="C1119" s="127">
        <v>11552</v>
      </c>
      <c r="D1119" s="145">
        <v>102595</v>
      </c>
      <c r="E1119" s="146" t="s">
        <v>2058</v>
      </c>
      <c r="F1119" s="146" t="s">
        <v>2058</v>
      </c>
      <c r="G1119" s="147">
        <v>600</v>
      </c>
      <c r="H1119" s="147">
        <v>4</v>
      </c>
      <c r="I1119" s="146" t="s">
        <v>209</v>
      </c>
      <c r="J1119" s="146" t="s">
        <v>2059</v>
      </c>
      <c r="K1119" s="146" t="s">
        <v>2060</v>
      </c>
      <c r="L1119" s="147">
        <v>4</v>
      </c>
      <c r="M1119" s="147">
        <v>4</v>
      </c>
      <c r="N1119" s="146" t="s">
        <v>1548</v>
      </c>
      <c r="O1119" s="147">
        <v>45</v>
      </c>
      <c r="P1119" s="147">
        <v>8</v>
      </c>
      <c r="Q1119" s="147">
        <v>17</v>
      </c>
      <c r="R1119" s="146" t="s">
        <v>190</v>
      </c>
      <c r="S1119" s="146" t="s">
        <v>191</v>
      </c>
      <c r="T1119" s="147">
        <v>168</v>
      </c>
      <c r="U1119" s="146" t="s">
        <v>1569</v>
      </c>
      <c r="V1119" s="146" t="s">
        <v>1570</v>
      </c>
      <c r="W1119" s="147">
        <v>1</v>
      </c>
      <c r="X1119" s="147">
        <v>2</v>
      </c>
      <c r="Y1119" s="146" t="s">
        <v>194</v>
      </c>
      <c r="Z1119" s="146" t="s">
        <v>195</v>
      </c>
      <c r="AA1119" s="146" t="s">
        <v>196</v>
      </c>
      <c r="AB1119" s="146" t="s">
        <v>209</v>
      </c>
      <c r="AC1119" s="146" t="s">
        <v>187</v>
      </c>
      <c r="AD1119" s="148"/>
      <c r="AE1119" s="146" t="s">
        <v>209</v>
      </c>
      <c r="AF1119" s="147">
        <v>18.213869999900599</v>
      </c>
      <c r="AG1119" s="149">
        <v>121.15989999958499</v>
      </c>
      <c r="AO1119" s="121"/>
      <c r="AT1119" s="111"/>
      <c r="AX1119" s="121"/>
    </row>
    <row r="1120" spans="1:50" s="110" customFormat="1" ht="20" customHeight="1">
      <c r="A1120" s="125" t="s">
        <v>239</v>
      </c>
      <c r="B1120" s="126" t="s">
        <v>67</v>
      </c>
      <c r="C1120" s="127">
        <v>19310</v>
      </c>
      <c r="D1120" s="145">
        <v>100206</v>
      </c>
      <c r="E1120" s="146" t="s">
        <v>1566</v>
      </c>
      <c r="F1120" s="146" t="s">
        <v>1566</v>
      </c>
      <c r="G1120" s="147">
        <v>80</v>
      </c>
      <c r="H1120" s="147">
        <v>4</v>
      </c>
      <c r="I1120" s="146" t="s">
        <v>209</v>
      </c>
      <c r="J1120" s="146" t="s">
        <v>1567</v>
      </c>
      <c r="K1120" s="146" t="s">
        <v>1568</v>
      </c>
      <c r="L1120" s="147">
        <v>5</v>
      </c>
      <c r="M1120" s="147">
        <v>4</v>
      </c>
      <c r="N1120" s="146" t="s">
        <v>1548</v>
      </c>
      <c r="O1120" s="147">
        <v>8</v>
      </c>
      <c r="P1120" s="147">
        <v>4</v>
      </c>
      <c r="Q1120" s="147">
        <v>17</v>
      </c>
      <c r="R1120" s="146" t="s">
        <v>190</v>
      </c>
      <c r="S1120" s="146" t="s">
        <v>191</v>
      </c>
      <c r="T1120" s="147">
        <v>168</v>
      </c>
      <c r="U1120" s="146" t="s">
        <v>1569</v>
      </c>
      <c r="V1120" s="146" t="s">
        <v>1570</v>
      </c>
      <c r="W1120" s="147">
        <v>1</v>
      </c>
      <c r="X1120" s="147">
        <v>2</v>
      </c>
      <c r="Y1120" s="146" t="s">
        <v>194</v>
      </c>
      <c r="Z1120" s="146" t="s">
        <v>195</v>
      </c>
      <c r="AA1120" s="146" t="s">
        <v>196</v>
      </c>
      <c r="AB1120" s="146" t="s">
        <v>209</v>
      </c>
      <c r="AC1120" s="146" t="s">
        <v>187</v>
      </c>
      <c r="AD1120" s="148"/>
      <c r="AE1120" s="146" t="s">
        <v>209</v>
      </c>
      <c r="AF1120" s="147">
        <v>14.12006</v>
      </c>
      <c r="AG1120" s="149">
        <v>122.01706</v>
      </c>
      <c r="AO1120" s="121"/>
      <c r="AT1120" s="111"/>
      <c r="AX1120" s="121"/>
    </row>
    <row r="1121" spans="1:50" s="110" customFormat="1" ht="20" customHeight="1">
      <c r="A1121" s="125" t="s">
        <v>239</v>
      </c>
      <c r="B1121" s="126" t="s">
        <v>67</v>
      </c>
      <c r="C1121" s="127">
        <v>12497</v>
      </c>
      <c r="D1121" s="128">
        <v>104586</v>
      </c>
      <c r="E1121" s="129" t="s">
        <v>4773</v>
      </c>
      <c r="F1121" s="129" t="s">
        <v>4774</v>
      </c>
      <c r="G1121" s="130">
        <v>259000</v>
      </c>
      <c r="H1121" s="130">
        <v>5</v>
      </c>
      <c r="I1121" s="129" t="s">
        <v>209</v>
      </c>
      <c r="J1121" s="129" t="s">
        <v>4775</v>
      </c>
      <c r="K1121" s="129" t="s">
        <v>4773</v>
      </c>
      <c r="L1121" s="130">
        <v>4</v>
      </c>
      <c r="M1121" s="130">
        <v>4</v>
      </c>
      <c r="N1121" s="129" t="s">
        <v>1548</v>
      </c>
      <c r="O1121" s="130">
        <v>45</v>
      </c>
      <c r="P1121" s="130">
        <v>15</v>
      </c>
      <c r="Q1121" s="130">
        <v>17</v>
      </c>
      <c r="R1121" s="129" t="s">
        <v>190</v>
      </c>
      <c r="S1121" s="129" t="s">
        <v>191</v>
      </c>
      <c r="T1121" s="130">
        <v>168</v>
      </c>
      <c r="U1121" s="129" t="s">
        <v>1569</v>
      </c>
      <c r="V1121" s="129" t="s">
        <v>1570</v>
      </c>
      <c r="W1121" s="130">
        <v>1</v>
      </c>
      <c r="X1121" s="130">
        <v>2</v>
      </c>
      <c r="Y1121" s="129" t="s">
        <v>194</v>
      </c>
      <c r="Z1121" s="129" t="s">
        <v>195</v>
      </c>
      <c r="AA1121" s="129" t="s">
        <v>196</v>
      </c>
      <c r="AB1121" s="129" t="s">
        <v>209</v>
      </c>
      <c r="AC1121" s="129" t="s">
        <v>187</v>
      </c>
      <c r="AD1121" s="131"/>
      <c r="AE1121" s="129" t="s">
        <v>209</v>
      </c>
      <c r="AF1121" s="130">
        <v>16.854799999820099</v>
      </c>
      <c r="AG1121" s="132">
        <v>120.68924000012601</v>
      </c>
      <c r="AO1121" s="121"/>
      <c r="AT1121" s="111"/>
      <c r="AX1121" s="121"/>
    </row>
    <row r="1122" spans="1:50" s="110" customFormat="1" ht="20" customHeight="1">
      <c r="A1122" s="125" t="s">
        <v>239</v>
      </c>
      <c r="B1122" s="126" t="s">
        <v>67</v>
      </c>
      <c r="C1122" s="127">
        <v>11138</v>
      </c>
      <c r="D1122" s="128">
        <v>101936</v>
      </c>
      <c r="E1122" s="129" t="s">
        <v>4742</v>
      </c>
      <c r="F1122" s="129" t="s">
        <v>4742</v>
      </c>
      <c r="G1122" s="130">
        <v>200000</v>
      </c>
      <c r="H1122" s="130">
        <v>5</v>
      </c>
      <c r="I1122" s="129" t="s">
        <v>209</v>
      </c>
      <c r="J1122" s="129" t="s">
        <v>4743</v>
      </c>
      <c r="K1122" s="129" t="s">
        <v>4742</v>
      </c>
      <c r="L1122" s="130">
        <v>4</v>
      </c>
      <c r="M1122" s="130">
        <v>4</v>
      </c>
      <c r="N1122" s="129" t="s">
        <v>1548</v>
      </c>
      <c r="O1122" s="130">
        <v>40</v>
      </c>
      <c r="P1122" s="130">
        <v>14</v>
      </c>
      <c r="Q1122" s="130">
        <v>17</v>
      </c>
      <c r="R1122" s="129" t="s">
        <v>190</v>
      </c>
      <c r="S1122" s="129" t="s">
        <v>191</v>
      </c>
      <c r="T1122" s="130">
        <v>168</v>
      </c>
      <c r="U1122" s="129" t="s">
        <v>1569</v>
      </c>
      <c r="V1122" s="129" t="s">
        <v>1570</v>
      </c>
      <c r="W1122" s="130">
        <v>1</v>
      </c>
      <c r="X1122" s="130">
        <v>2</v>
      </c>
      <c r="Y1122" s="129" t="s">
        <v>194</v>
      </c>
      <c r="Z1122" s="129" t="s">
        <v>195</v>
      </c>
      <c r="AA1122" s="129" t="s">
        <v>196</v>
      </c>
      <c r="AB1122" s="129" t="s">
        <v>209</v>
      </c>
      <c r="AC1122" s="129" t="s">
        <v>187</v>
      </c>
      <c r="AD1122" s="131"/>
      <c r="AE1122" s="129" t="s">
        <v>209</v>
      </c>
      <c r="AF1122" s="130">
        <v>8.1270100001113992</v>
      </c>
      <c r="AG1122" s="132">
        <v>123.017649999848</v>
      </c>
      <c r="AO1122" s="121"/>
      <c r="AT1122" s="111"/>
      <c r="AX1122" s="121"/>
    </row>
    <row r="1123" spans="1:50" s="110" customFormat="1" ht="20" customHeight="1">
      <c r="A1123" s="125" t="s">
        <v>239</v>
      </c>
      <c r="B1123" s="126" t="s">
        <v>67</v>
      </c>
      <c r="C1123" s="127">
        <v>10862</v>
      </c>
      <c r="D1123" s="128">
        <v>101469</v>
      </c>
      <c r="E1123" s="129" t="s">
        <v>4729</v>
      </c>
      <c r="F1123" s="129" t="s">
        <v>4729</v>
      </c>
      <c r="G1123" s="130">
        <v>190000</v>
      </c>
      <c r="H1123" s="130">
        <v>5</v>
      </c>
      <c r="I1123" s="129" t="s">
        <v>209</v>
      </c>
      <c r="J1123" s="129" t="s">
        <v>4730</v>
      </c>
      <c r="K1123" s="129" t="s">
        <v>4731</v>
      </c>
      <c r="L1123" s="130">
        <v>4</v>
      </c>
      <c r="M1123" s="130">
        <v>4</v>
      </c>
      <c r="N1123" s="129" t="s">
        <v>1548</v>
      </c>
      <c r="O1123" s="130">
        <v>40</v>
      </c>
      <c r="P1123" s="130">
        <v>15</v>
      </c>
      <c r="Q1123" s="130">
        <v>17</v>
      </c>
      <c r="R1123" s="129" t="s">
        <v>190</v>
      </c>
      <c r="S1123" s="129" t="s">
        <v>191</v>
      </c>
      <c r="T1123" s="130">
        <v>168</v>
      </c>
      <c r="U1123" s="129" t="s">
        <v>1569</v>
      </c>
      <c r="V1123" s="129" t="s">
        <v>1570</v>
      </c>
      <c r="W1123" s="130">
        <v>1</v>
      </c>
      <c r="X1123" s="130">
        <v>2</v>
      </c>
      <c r="Y1123" s="129" t="s">
        <v>194</v>
      </c>
      <c r="Z1123" s="129" t="s">
        <v>195</v>
      </c>
      <c r="AA1123" s="129" t="s">
        <v>196</v>
      </c>
      <c r="AB1123" s="129" t="s">
        <v>209</v>
      </c>
      <c r="AC1123" s="129" t="s">
        <v>187</v>
      </c>
      <c r="AD1123" s="131"/>
      <c r="AE1123" s="129" t="s">
        <v>209</v>
      </c>
      <c r="AF1123" s="130">
        <v>8.1593300003792102</v>
      </c>
      <c r="AG1123" s="132">
        <v>124.89245000036701</v>
      </c>
      <c r="AO1123" s="121"/>
      <c r="AT1123" s="111"/>
      <c r="AX1123" s="121"/>
    </row>
    <row r="1124" spans="1:50" s="110" customFormat="1" ht="20" customHeight="1">
      <c r="A1124" s="125" t="s">
        <v>239</v>
      </c>
      <c r="B1124" s="126" t="s">
        <v>67</v>
      </c>
      <c r="C1124" s="127">
        <v>12800</v>
      </c>
      <c r="D1124" s="128">
        <v>105240</v>
      </c>
      <c r="E1124" s="129" t="s">
        <v>4462</v>
      </c>
      <c r="F1124" s="129" t="s">
        <v>4462</v>
      </c>
      <c r="G1124" s="130">
        <v>125000</v>
      </c>
      <c r="H1124" s="130">
        <v>5</v>
      </c>
      <c r="I1124" s="129" t="s">
        <v>209</v>
      </c>
      <c r="J1124" s="129" t="s">
        <v>4461</v>
      </c>
      <c r="K1124" s="129" t="s">
        <v>4462</v>
      </c>
      <c r="L1124" s="130">
        <v>4</v>
      </c>
      <c r="M1124" s="130">
        <v>4</v>
      </c>
      <c r="N1124" s="129" t="s">
        <v>1548</v>
      </c>
      <c r="O1124" s="130">
        <v>35</v>
      </c>
      <c r="P1124" s="130">
        <v>11</v>
      </c>
      <c r="Q1124" s="130">
        <v>17</v>
      </c>
      <c r="R1124" s="129" t="s">
        <v>190</v>
      </c>
      <c r="S1124" s="129" t="s">
        <v>191</v>
      </c>
      <c r="T1124" s="130">
        <v>168</v>
      </c>
      <c r="U1124" s="129" t="s">
        <v>1569</v>
      </c>
      <c r="V1124" s="129" t="s">
        <v>1570</v>
      </c>
      <c r="W1124" s="130">
        <v>1</v>
      </c>
      <c r="X1124" s="130">
        <v>2</v>
      </c>
      <c r="Y1124" s="129" t="s">
        <v>194</v>
      </c>
      <c r="Z1124" s="129" t="s">
        <v>195</v>
      </c>
      <c r="AA1124" s="129" t="s">
        <v>196</v>
      </c>
      <c r="AB1124" s="129" t="s">
        <v>209</v>
      </c>
      <c r="AC1124" s="129" t="s">
        <v>187</v>
      </c>
      <c r="AD1124" s="131"/>
      <c r="AE1124" s="129" t="s">
        <v>209</v>
      </c>
      <c r="AF1124" s="130">
        <v>6.2052899996337496</v>
      </c>
      <c r="AG1124" s="132">
        <v>125.006639999836</v>
      </c>
      <c r="AO1124" s="121"/>
      <c r="AT1124" s="111"/>
      <c r="AX1124" s="121"/>
    </row>
    <row r="1125" spans="1:50" s="110" customFormat="1" ht="20" customHeight="1">
      <c r="A1125" s="125" t="s">
        <v>239</v>
      </c>
      <c r="B1125" s="126" t="s">
        <v>67</v>
      </c>
      <c r="C1125" s="127">
        <v>12594</v>
      </c>
      <c r="D1125" s="128">
        <v>104783</v>
      </c>
      <c r="E1125" s="129" t="s">
        <v>4613</v>
      </c>
      <c r="F1125" s="129" t="s">
        <v>4613</v>
      </c>
      <c r="G1125" s="130">
        <v>103000</v>
      </c>
      <c r="H1125" s="130">
        <v>5</v>
      </c>
      <c r="I1125" s="129" t="s">
        <v>209</v>
      </c>
      <c r="J1125" s="129" t="s">
        <v>3864</v>
      </c>
      <c r="K1125" s="129" t="s">
        <v>3865</v>
      </c>
      <c r="L1125" s="130">
        <v>4</v>
      </c>
      <c r="M1125" s="130">
        <v>4</v>
      </c>
      <c r="N1125" s="129" t="s">
        <v>1548</v>
      </c>
      <c r="O1125" s="130">
        <v>33</v>
      </c>
      <c r="P1125" s="130">
        <v>15</v>
      </c>
      <c r="Q1125" s="130">
        <v>17</v>
      </c>
      <c r="R1125" s="129" t="s">
        <v>190</v>
      </c>
      <c r="S1125" s="129" t="s">
        <v>191</v>
      </c>
      <c r="T1125" s="130">
        <v>168</v>
      </c>
      <c r="U1125" s="129" t="s">
        <v>1569</v>
      </c>
      <c r="V1125" s="129" t="s">
        <v>1570</v>
      </c>
      <c r="W1125" s="130">
        <v>1</v>
      </c>
      <c r="X1125" s="130">
        <v>2</v>
      </c>
      <c r="Y1125" s="129" t="s">
        <v>194</v>
      </c>
      <c r="Z1125" s="129" t="s">
        <v>195</v>
      </c>
      <c r="AA1125" s="129" t="s">
        <v>196</v>
      </c>
      <c r="AB1125" s="129" t="s">
        <v>209</v>
      </c>
      <c r="AC1125" s="129" t="s">
        <v>187</v>
      </c>
      <c r="AD1125" s="131"/>
      <c r="AE1125" s="129" t="s">
        <v>209</v>
      </c>
      <c r="AF1125" s="130">
        <v>16.3209999997502</v>
      </c>
      <c r="AG1125" s="132">
        <v>120.900029999984</v>
      </c>
      <c r="AO1125" s="121"/>
      <c r="AT1125" s="111"/>
      <c r="AX1125" s="121"/>
    </row>
    <row r="1126" spans="1:50" s="110" customFormat="1" ht="20" customHeight="1">
      <c r="A1126" s="125" t="s">
        <v>239</v>
      </c>
      <c r="B1126" s="126" t="s">
        <v>67</v>
      </c>
      <c r="C1126" s="127">
        <v>11885</v>
      </c>
      <c r="D1126" s="128">
        <v>103353</v>
      </c>
      <c r="E1126" s="129" t="s">
        <v>4591</v>
      </c>
      <c r="F1126" s="129" t="s">
        <v>4591</v>
      </c>
      <c r="G1126" s="130">
        <v>97000</v>
      </c>
      <c r="H1126" s="130">
        <v>5</v>
      </c>
      <c r="I1126" s="129" t="s">
        <v>209</v>
      </c>
      <c r="J1126" s="129" t="s">
        <v>4592</v>
      </c>
      <c r="K1126" s="129" t="s">
        <v>4593</v>
      </c>
      <c r="L1126" s="130">
        <v>0</v>
      </c>
      <c r="M1126" s="130">
        <v>4</v>
      </c>
      <c r="N1126" s="129" t="s">
        <v>1548</v>
      </c>
      <c r="O1126" s="130">
        <v>41</v>
      </c>
      <c r="P1126" s="130">
        <v>16</v>
      </c>
      <c r="Q1126" s="130">
        <v>17</v>
      </c>
      <c r="R1126" s="129" t="s">
        <v>190</v>
      </c>
      <c r="S1126" s="129" t="s">
        <v>191</v>
      </c>
      <c r="T1126" s="130">
        <v>168</v>
      </c>
      <c r="U1126" s="129" t="s">
        <v>1569</v>
      </c>
      <c r="V1126" s="129" t="s">
        <v>1570</v>
      </c>
      <c r="W1126" s="130">
        <v>1</v>
      </c>
      <c r="X1126" s="130">
        <v>2</v>
      </c>
      <c r="Y1126" s="129" t="s">
        <v>194</v>
      </c>
      <c r="Z1126" s="129" t="s">
        <v>195</v>
      </c>
      <c r="AA1126" s="129" t="s">
        <v>196</v>
      </c>
      <c r="AB1126" s="129" t="s">
        <v>209</v>
      </c>
      <c r="AC1126" s="129" t="s">
        <v>187</v>
      </c>
      <c r="AD1126" s="131"/>
      <c r="AE1126" s="129" t="s">
        <v>209</v>
      </c>
      <c r="AF1126" s="130">
        <v>6.9996699996707399</v>
      </c>
      <c r="AG1126" s="132">
        <v>125.359100000165</v>
      </c>
      <c r="AO1126" s="121"/>
      <c r="AT1126" s="111"/>
      <c r="AX1126" s="121"/>
    </row>
    <row r="1127" spans="1:50" s="110" customFormat="1" ht="20" customHeight="1">
      <c r="A1127" s="125" t="s">
        <v>239</v>
      </c>
      <c r="B1127" s="126" t="s">
        <v>67</v>
      </c>
      <c r="C1127" s="127">
        <v>12214</v>
      </c>
      <c r="D1127" s="128">
        <v>103999</v>
      </c>
      <c r="E1127" s="129" t="s">
        <v>4579</v>
      </c>
      <c r="F1127" s="129" t="s">
        <v>4579</v>
      </c>
      <c r="G1127" s="130">
        <v>90000</v>
      </c>
      <c r="H1127" s="130">
        <v>5</v>
      </c>
      <c r="I1127" s="129" t="s">
        <v>209</v>
      </c>
      <c r="J1127" s="129" t="s">
        <v>4580</v>
      </c>
      <c r="K1127" s="129" t="s">
        <v>4581</v>
      </c>
      <c r="L1127" s="130">
        <v>4</v>
      </c>
      <c r="M1127" s="130">
        <v>4</v>
      </c>
      <c r="N1127" s="129" t="s">
        <v>1548</v>
      </c>
      <c r="O1127" s="130">
        <v>27</v>
      </c>
      <c r="P1127" s="130">
        <v>12</v>
      </c>
      <c r="Q1127" s="130">
        <v>17</v>
      </c>
      <c r="R1127" s="129" t="s">
        <v>190</v>
      </c>
      <c r="S1127" s="129" t="s">
        <v>191</v>
      </c>
      <c r="T1127" s="130">
        <v>168</v>
      </c>
      <c r="U1127" s="129" t="s">
        <v>1569</v>
      </c>
      <c r="V1127" s="129" t="s">
        <v>1570</v>
      </c>
      <c r="W1127" s="130">
        <v>1</v>
      </c>
      <c r="X1127" s="130">
        <v>2</v>
      </c>
      <c r="Y1127" s="129" t="s">
        <v>194</v>
      </c>
      <c r="Z1127" s="129" t="s">
        <v>195</v>
      </c>
      <c r="AA1127" s="129" t="s">
        <v>196</v>
      </c>
      <c r="AB1127" s="129" t="s">
        <v>209</v>
      </c>
      <c r="AC1127" s="129" t="s">
        <v>187</v>
      </c>
      <c r="AD1127" s="131"/>
      <c r="AE1127" s="129" t="s">
        <v>209</v>
      </c>
      <c r="AF1127" s="130">
        <v>16.3784600001289</v>
      </c>
      <c r="AG1127" s="132">
        <v>121.54727000001</v>
      </c>
      <c r="AO1127" s="121"/>
      <c r="AT1127" s="111"/>
      <c r="AX1127" s="121"/>
    </row>
    <row r="1128" spans="1:50" s="110" customFormat="1" ht="20" customHeight="1">
      <c r="A1128" s="125" t="s">
        <v>239</v>
      </c>
      <c r="B1128" s="126" t="s">
        <v>67</v>
      </c>
      <c r="C1128" s="127">
        <v>14767</v>
      </c>
      <c r="D1128" s="128">
        <v>108716</v>
      </c>
      <c r="E1128" s="129" t="s">
        <v>4549</v>
      </c>
      <c r="F1128" s="129" t="s">
        <v>4549</v>
      </c>
      <c r="G1128" s="130">
        <v>81000</v>
      </c>
      <c r="H1128" s="130">
        <v>5</v>
      </c>
      <c r="I1128" s="129" t="s">
        <v>209</v>
      </c>
      <c r="J1128" s="129" t="s">
        <v>4550</v>
      </c>
      <c r="K1128" s="129" t="s">
        <v>4549</v>
      </c>
      <c r="L1128" s="130">
        <v>4</v>
      </c>
      <c r="M1128" s="130">
        <v>4</v>
      </c>
      <c r="N1128" s="129" t="s">
        <v>1548</v>
      </c>
      <c r="O1128" s="130">
        <v>40</v>
      </c>
      <c r="P1128" s="130">
        <v>15</v>
      </c>
      <c r="Q1128" s="130">
        <v>17</v>
      </c>
      <c r="R1128" s="129" t="s">
        <v>190</v>
      </c>
      <c r="S1128" s="129" t="s">
        <v>191</v>
      </c>
      <c r="T1128" s="130">
        <v>168</v>
      </c>
      <c r="U1128" s="129" t="s">
        <v>1569</v>
      </c>
      <c r="V1128" s="129" t="s">
        <v>1570</v>
      </c>
      <c r="W1128" s="130">
        <v>1</v>
      </c>
      <c r="X1128" s="130">
        <v>2</v>
      </c>
      <c r="Y1128" s="129" t="s">
        <v>194</v>
      </c>
      <c r="Z1128" s="129" t="s">
        <v>195</v>
      </c>
      <c r="AA1128" s="129" t="s">
        <v>196</v>
      </c>
      <c r="AB1128" s="129" t="s">
        <v>209</v>
      </c>
      <c r="AC1128" s="129" t="s">
        <v>187</v>
      </c>
      <c r="AD1128" s="131"/>
      <c r="AE1128" s="129" t="s">
        <v>209</v>
      </c>
      <c r="AF1128" s="130">
        <v>5.8490300003342099</v>
      </c>
      <c r="AG1128" s="132">
        <v>125.499019999973</v>
      </c>
      <c r="AO1128" s="121"/>
      <c r="AT1128" s="111"/>
      <c r="AX1128" s="121"/>
    </row>
    <row r="1129" spans="1:50" s="110" customFormat="1" ht="20" customHeight="1">
      <c r="A1129" s="125" t="s">
        <v>239</v>
      </c>
      <c r="B1129" s="126" t="s">
        <v>67</v>
      </c>
      <c r="C1129" s="127">
        <v>19180</v>
      </c>
      <c r="D1129" s="128">
        <v>115694</v>
      </c>
      <c r="E1129" s="129" t="s">
        <v>4460</v>
      </c>
      <c r="F1129" s="129" t="s">
        <v>4460</v>
      </c>
      <c r="G1129" s="130">
        <v>59000</v>
      </c>
      <c r="H1129" s="130">
        <v>5</v>
      </c>
      <c r="I1129" s="129" t="s">
        <v>209</v>
      </c>
      <c r="J1129" s="129" t="s">
        <v>4461</v>
      </c>
      <c r="K1129" s="129" t="s">
        <v>4462</v>
      </c>
      <c r="L1129" s="130">
        <v>4</v>
      </c>
      <c r="M1129" s="130">
        <v>4</v>
      </c>
      <c r="N1129" s="129" t="s">
        <v>1548</v>
      </c>
      <c r="O1129" s="130">
        <v>40</v>
      </c>
      <c r="P1129" s="130">
        <v>13</v>
      </c>
      <c r="Q1129" s="130">
        <v>17</v>
      </c>
      <c r="R1129" s="129" t="s">
        <v>190</v>
      </c>
      <c r="S1129" s="129" t="s">
        <v>191</v>
      </c>
      <c r="T1129" s="130">
        <v>168</v>
      </c>
      <c r="U1129" s="129" t="s">
        <v>1569</v>
      </c>
      <c r="V1129" s="129" t="s">
        <v>1570</v>
      </c>
      <c r="W1129" s="130">
        <v>1</v>
      </c>
      <c r="X1129" s="130">
        <v>2</v>
      </c>
      <c r="Y1129" s="129" t="s">
        <v>194</v>
      </c>
      <c r="Z1129" s="129" t="s">
        <v>195</v>
      </c>
      <c r="AA1129" s="129" t="s">
        <v>196</v>
      </c>
      <c r="AB1129" s="129" t="s">
        <v>209</v>
      </c>
      <c r="AC1129" s="129" t="s">
        <v>187</v>
      </c>
      <c r="AD1129" s="131"/>
      <c r="AE1129" s="129" t="s">
        <v>209</v>
      </c>
      <c r="AF1129" s="130">
        <v>6.4038782695664596</v>
      </c>
      <c r="AG1129" s="132">
        <v>125.195436460324</v>
      </c>
      <c r="AO1129" s="121"/>
      <c r="AT1129" s="111"/>
      <c r="AX1129" s="121"/>
    </row>
    <row r="1130" spans="1:50" s="110" customFormat="1" ht="20" customHeight="1">
      <c r="A1130" s="125" t="s">
        <v>239</v>
      </c>
      <c r="B1130" s="126" t="s">
        <v>67</v>
      </c>
      <c r="C1130" s="127">
        <v>11386</v>
      </c>
      <c r="D1130" s="128">
        <v>102231</v>
      </c>
      <c r="E1130" s="129" t="s">
        <v>4349</v>
      </c>
      <c r="F1130" s="129" t="s">
        <v>4349</v>
      </c>
      <c r="G1130" s="130">
        <v>38000</v>
      </c>
      <c r="H1130" s="130">
        <v>5</v>
      </c>
      <c r="I1130" s="129" t="s">
        <v>209</v>
      </c>
      <c r="J1130" s="129" t="s">
        <v>4350</v>
      </c>
      <c r="K1130" s="129" t="s">
        <v>4351</v>
      </c>
      <c r="L1130" s="130">
        <v>0</v>
      </c>
      <c r="M1130" s="130">
        <v>4</v>
      </c>
      <c r="N1130" s="129" t="s">
        <v>1548</v>
      </c>
      <c r="O1130" s="130">
        <v>40</v>
      </c>
      <c r="P1130" s="130">
        <v>15</v>
      </c>
      <c r="Q1130" s="130">
        <v>17</v>
      </c>
      <c r="R1130" s="129" t="s">
        <v>190</v>
      </c>
      <c r="S1130" s="129" t="s">
        <v>191</v>
      </c>
      <c r="T1130" s="130">
        <v>168</v>
      </c>
      <c r="U1130" s="129" t="s">
        <v>1569</v>
      </c>
      <c r="V1130" s="129" t="s">
        <v>1570</v>
      </c>
      <c r="W1130" s="130">
        <v>1</v>
      </c>
      <c r="X1130" s="130">
        <v>2</v>
      </c>
      <c r="Y1130" s="129" t="s">
        <v>194</v>
      </c>
      <c r="Z1130" s="129" t="s">
        <v>195</v>
      </c>
      <c r="AA1130" s="129" t="s">
        <v>196</v>
      </c>
      <c r="AB1130" s="129" t="s">
        <v>209</v>
      </c>
      <c r="AC1130" s="129" t="s">
        <v>187</v>
      </c>
      <c r="AD1130" s="131"/>
      <c r="AE1130" s="129" t="s">
        <v>209</v>
      </c>
      <c r="AF1130" s="130">
        <v>9.1793000001948108</v>
      </c>
      <c r="AG1130" s="132">
        <v>124.721280000172</v>
      </c>
      <c r="AO1130" s="121"/>
      <c r="AT1130" s="111"/>
      <c r="AX1130" s="121"/>
    </row>
    <row r="1131" spans="1:50" s="110" customFormat="1" ht="20" customHeight="1">
      <c r="A1131" s="125" t="s">
        <v>239</v>
      </c>
      <c r="B1131" s="126" t="s">
        <v>67</v>
      </c>
      <c r="C1131" s="127">
        <v>13607</v>
      </c>
      <c r="D1131" s="128">
        <v>106446</v>
      </c>
      <c r="E1131" s="129" t="s">
        <v>4337</v>
      </c>
      <c r="F1131" s="129" t="s">
        <v>4337</v>
      </c>
      <c r="G1131" s="130">
        <v>37000</v>
      </c>
      <c r="H1131" s="130">
        <v>5</v>
      </c>
      <c r="I1131" s="129" t="s">
        <v>209</v>
      </c>
      <c r="J1131" s="129" t="s">
        <v>4338</v>
      </c>
      <c r="K1131" s="129" t="s">
        <v>4337</v>
      </c>
      <c r="L1131" s="130">
        <v>4</v>
      </c>
      <c r="M1131" s="130">
        <v>4</v>
      </c>
      <c r="N1131" s="129" t="s">
        <v>1548</v>
      </c>
      <c r="O1131" s="130">
        <v>40</v>
      </c>
      <c r="P1131" s="130">
        <v>12</v>
      </c>
      <c r="Q1131" s="130">
        <v>17</v>
      </c>
      <c r="R1131" s="129" t="s">
        <v>190</v>
      </c>
      <c r="S1131" s="129" t="s">
        <v>191</v>
      </c>
      <c r="T1131" s="130">
        <v>168</v>
      </c>
      <c r="U1131" s="129" t="s">
        <v>1569</v>
      </c>
      <c r="V1131" s="129" t="s">
        <v>1570</v>
      </c>
      <c r="W1131" s="130">
        <v>1</v>
      </c>
      <c r="X1131" s="130">
        <v>2</v>
      </c>
      <c r="Y1131" s="129" t="s">
        <v>194</v>
      </c>
      <c r="Z1131" s="129" t="s">
        <v>195</v>
      </c>
      <c r="AA1131" s="129" t="s">
        <v>196</v>
      </c>
      <c r="AB1131" s="129" t="s">
        <v>209</v>
      </c>
      <c r="AC1131" s="129" t="s">
        <v>187</v>
      </c>
      <c r="AD1131" s="131"/>
      <c r="AE1131" s="129" t="s">
        <v>209</v>
      </c>
      <c r="AF1131" s="130">
        <v>16.99362</v>
      </c>
      <c r="AG1131" s="132">
        <v>121.28455</v>
      </c>
      <c r="AO1131" s="121"/>
      <c r="AT1131" s="111"/>
      <c r="AX1131" s="121"/>
    </row>
    <row r="1132" spans="1:50" s="110" customFormat="1" ht="20" customHeight="1">
      <c r="A1132" s="125" t="s">
        <v>239</v>
      </c>
      <c r="B1132" s="126" t="s">
        <v>67</v>
      </c>
      <c r="C1132" s="127">
        <v>15115</v>
      </c>
      <c r="D1132" s="128">
        <v>109594</v>
      </c>
      <c r="E1132" s="129" t="s">
        <v>4247</v>
      </c>
      <c r="F1132" s="129" t="s">
        <v>4247</v>
      </c>
      <c r="G1132" s="130">
        <v>31000</v>
      </c>
      <c r="H1132" s="130">
        <v>5</v>
      </c>
      <c r="I1132" s="129" t="s">
        <v>209</v>
      </c>
      <c r="J1132" s="129" t="s">
        <v>4248</v>
      </c>
      <c r="K1132" s="129" t="s">
        <v>4247</v>
      </c>
      <c r="L1132" s="130">
        <v>0</v>
      </c>
      <c r="M1132" s="130">
        <v>4</v>
      </c>
      <c r="N1132" s="129" t="s">
        <v>1548</v>
      </c>
      <c r="O1132" s="130">
        <v>28</v>
      </c>
      <c r="P1132" s="130">
        <v>15</v>
      </c>
      <c r="Q1132" s="130">
        <v>17</v>
      </c>
      <c r="R1132" s="129" t="s">
        <v>190</v>
      </c>
      <c r="S1132" s="129" t="s">
        <v>191</v>
      </c>
      <c r="T1132" s="130">
        <v>168</v>
      </c>
      <c r="U1132" s="129" t="s">
        <v>1569</v>
      </c>
      <c r="V1132" s="129" t="s">
        <v>1570</v>
      </c>
      <c r="W1132" s="130">
        <v>1</v>
      </c>
      <c r="X1132" s="130">
        <v>2</v>
      </c>
      <c r="Y1132" s="129" t="s">
        <v>194</v>
      </c>
      <c r="Z1132" s="129" t="s">
        <v>195</v>
      </c>
      <c r="AA1132" s="129" t="s">
        <v>196</v>
      </c>
      <c r="AB1132" s="129" t="s">
        <v>209</v>
      </c>
      <c r="AC1132" s="129" t="s">
        <v>187</v>
      </c>
      <c r="AD1132" s="131"/>
      <c r="AE1132" s="129" t="s">
        <v>209</v>
      </c>
      <c r="AF1132" s="130">
        <v>11.2472799996722</v>
      </c>
      <c r="AG1132" s="132">
        <v>122.55112999975</v>
      </c>
      <c r="AO1132" s="121"/>
      <c r="AT1132" s="111"/>
      <c r="AX1132" s="121"/>
    </row>
    <row r="1133" spans="1:50" s="110" customFormat="1" ht="20" customHeight="1">
      <c r="A1133" s="125" t="s">
        <v>239</v>
      </c>
      <c r="B1133" s="126" t="s">
        <v>67</v>
      </c>
      <c r="C1133" s="127">
        <v>10601</v>
      </c>
      <c r="D1133" s="128">
        <v>100836</v>
      </c>
      <c r="E1133" s="129" t="s">
        <v>4224</v>
      </c>
      <c r="F1133" s="129" t="s">
        <v>4224</v>
      </c>
      <c r="G1133" s="130">
        <v>30000</v>
      </c>
      <c r="H1133" s="130">
        <v>5</v>
      </c>
      <c r="I1133" s="129" t="s">
        <v>209</v>
      </c>
      <c r="J1133" s="129" t="s">
        <v>4225</v>
      </c>
      <c r="K1133" s="129" t="s">
        <v>4226</v>
      </c>
      <c r="L1133" s="130">
        <v>4</v>
      </c>
      <c r="M1133" s="130">
        <v>4</v>
      </c>
      <c r="N1133" s="129" t="s">
        <v>1548</v>
      </c>
      <c r="O1133" s="130">
        <v>34</v>
      </c>
      <c r="P1133" s="130">
        <v>17</v>
      </c>
      <c r="Q1133" s="130">
        <v>17</v>
      </c>
      <c r="R1133" s="129" t="s">
        <v>190</v>
      </c>
      <c r="S1133" s="129" t="s">
        <v>191</v>
      </c>
      <c r="T1133" s="130">
        <v>168</v>
      </c>
      <c r="U1133" s="129" t="s">
        <v>1569</v>
      </c>
      <c r="V1133" s="129" t="s">
        <v>1570</v>
      </c>
      <c r="W1133" s="130">
        <v>1</v>
      </c>
      <c r="X1133" s="130">
        <v>2</v>
      </c>
      <c r="Y1133" s="129" t="s">
        <v>194</v>
      </c>
      <c r="Z1133" s="129" t="s">
        <v>195</v>
      </c>
      <c r="AA1133" s="129" t="s">
        <v>196</v>
      </c>
      <c r="AB1133" s="129" t="s">
        <v>209</v>
      </c>
      <c r="AC1133" s="129" t="s">
        <v>187</v>
      </c>
      <c r="AD1133" s="131"/>
      <c r="AE1133" s="129" t="s">
        <v>209</v>
      </c>
      <c r="AF1133" s="130">
        <v>17.099369999825601</v>
      </c>
      <c r="AG1133" s="132">
        <v>121.27185999963901</v>
      </c>
      <c r="AO1133" s="121"/>
      <c r="AT1133" s="111"/>
      <c r="AX1133" s="121"/>
    </row>
    <row r="1134" spans="1:50" s="110" customFormat="1" ht="20" customHeight="1">
      <c r="A1134" s="125" t="s">
        <v>239</v>
      </c>
      <c r="B1134" s="126" t="s">
        <v>67</v>
      </c>
      <c r="C1134" s="127">
        <v>13204</v>
      </c>
      <c r="D1134" s="128">
        <v>106007</v>
      </c>
      <c r="E1134" s="129" t="s">
        <v>3855</v>
      </c>
      <c r="F1134" s="129" t="s">
        <v>3855</v>
      </c>
      <c r="G1134" s="130">
        <v>14000</v>
      </c>
      <c r="H1134" s="130">
        <v>5</v>
      </c>
      <c r="I1134" s="129" t="s">
        <v>209</v>
      </c>
      <c r="J1134" s="129" t="s">
        <v>3856</v>
      </c>
      <c r="K1134" s="129" t="s">
        <v>3857</v>
      </c>
      <c r="L1134" s="130">
        <v>4</v>
      </c>
      <c r="M1134" s="130">
        <v>4</v>
      </c>
      <c r="N1134" s="129" t="s">
        <v>1548</v>
      </c>
      <c r="O1134" s="130">
        <v>40</v>
      </c>
      <c r="P1134" s="130">
        <v>11</v>
      </c>
      <c r="Q1134" s="130">
        <v>17</v>
      </c>
      <c r="R1134" s="129" t="s">
        <v>190</v>
      </c>
      <c r="S1134" s="129" t="s">
        <v>191</v>
      </c>
      <c r="T1134" s="130">
        <v>168</v>
      </c>
      <c r="U1134" s="129" t="s">
        <v>1569</v>
      </c>
      <c r="V1134" s="129" t="s">
        <v>1570</v>
      </c>
      <c r="W1134" s="130">
        <v>1</v>
      </c>
      <c r="X1134" s="130">
        <v>2</v>
      </c>
      <c r="Y1134" s="129" t="s">
        <v>194</v>
      </c>
      <c r="Z1134" s="129" t="s">
        <v>195</v>
      </c>
      <c r="AA1134" s="129" t="s">
        <v>196</v>
      </c>
      <c r="AB1134" s="129" t="s">
        <v>209</v>
      </c>
      <c r="AC1134" s="129" t="s">
        <v>187</v>
      </c>
      <c r="AD1134" s="131"/>
      <c r="AE1134" s="129" t="s">
        <v>209</v>
      </c>
      <c r="AF1134" s="130">
        <v>15.195409999971501</v>
      </c>
      <c r="AG1134" s="132">
        <v>120.459490000063</v>
      </c>
      <c r="AO1134" s="121"/>
      <c r="AT1134" s="111"/>
      <c r="AX1134" s="121"/>
    </row>
    <row r="1135" spans="1:50" s="110" customFormat="1" ht="20" customHeight="1">
      <c r="A1135" s="125" t="s">
        <v>239</v>
      </c>
      <c r="B1135" s="126" t="s">
        <v>67</v>
      </c>
      <c r="C1135" s="127">
        <v>19181</v>
      </c>
      <c r="D1135" s="128">
        <v>115476</v>
      </c>
      <c r="E1135" s="129" t="s">
        <v>3863</v>
      </c>
      <c r="F1135" s="129" t="s">
        <v>3863</v>
      </c>
      <c r="G1135" s="130">
        <v>14000</v>
      </c>
      <c r="H1135" s="130">
        <v>5</v>
      </c>
      <c r="I1135" s="129" t="s">
        <v>209</v>
      </c>
      <c r="J1135" s="129" t="s">
        <v>3864</v>
      </c>
      <c r="K1135" s="129" t="s">
        <v>3865</v>
      </c>
      <c r="L1135" s="130">
        <v>4</v>
      </c>
      <c r="M1135" s="130">
        <v>4</v>
      </c>
      <c r="N1135" s="129" t="s">
        <v>1548</v>
      </c>
      <c r="O1135" s="130">
        <v>40</v>
      </c>
      <c r="P1135" s="130">
        <v>11</v>
      </c>
      <c r="Q1135" s="130">
        <v>17</v>
      </c>
      <c r="R1135" s="129" t="s">
        <v>190</v>
      </c>
      <c r="S1135" s="129" t="s">
        <v>191</v>
      </c>
      <c r="T1135" s="130">
        <v>168</v>
      </c>
      <c r="U1135" s="129" t="s">
        <v>1569</v>
      </c>
      <c r="V1135" s="129" t="s">
        <v>1570</v>
      </c>
      <c r="W1135" s="130">
        <v>1</v>
      </c>
      <c r="X1135" s="130">
        <v>2</v>
      </c>
      <c r="Y1135" s="129" t="s">
        <v>194</v>
      </c>
      <c r="Z1135" s="129" t="s">
        <v>195</v>
      </c>
      <c r="AA1135" s="129" t="s">
        <v>196</v>
      </c>
      <c r="AB1135" s="129" t="s">
        <v>209</v>
      </c>
      <c r="AC1135" s="129" t="s">
        <v>187</v>
      </c>
      <c r="AD1135" s="131"/>
      <c r="AE1135" s="129" t="s">
        <v>209</v>
      </c>
      <c r="AF1135" s="130">
        <v>16.789859999839098</v>
      </c>
      <c r="AG1135" s="132">
        <v>120.993780000247</v>
      </c>
      <c r="AO1135" s="121"/>
      <c r="AT1135" s="111"/>
      <c r="AX1135" s="121"/>
    </row>
    <row r="1136" spans="1:50" s="110" customFormat="1" ht="20" customHeight="1">
      <c r="A1136" s="125" t="s">
        <v>239</v>
      </c>
      <c r="B1136" s="126" t="s">
        <v>67</v>
      </c>
      <c r="C1136" s="127">
        <v>11130</v>
      </c>
      <c r="D1136" s="128">
        <v>101926</v>
      </c>
      <c r="E1136" s="129" t="s">
        <v>1984</v>
      </c>
      <c r="F1136" s="129" t="s">
        <v>1984</v>
      </c>
      <c r="G1136" s="130">
        <v>12000</v>
      </c>
      <c r="H1136" s="130">
        <v>5</v>
      </c>
      <c r="I1136" s="129" t="s">
        <v>209</v>
      </c>
      <c r="J1136" s="129" t="s">
        <v>1983</v>
      </c>
      <c r="K1136" s="129" t="s">
        <v>1984</v>
      </c>
      <c r="L1136" s="130">
        <v>4</v>
      </c>
      <c r="M1136" s="130">
        <v>4</v>
      </c>
      <c r="N1136" s="129" t="s">
        <v>1548</v>
      </c>
      <c r="O1136" s="130">
        <v>40</v>
      </c>
      <c r="P1136" s="130">
        <v>13</v>
      </c>
      <c r="Q1136" s="130">
        <v>17</v>
      </c>
      <c r="R1136" s="129" t="s">
        <v>190</v>
      </c>
      <c r="S1136" s="129" t="s">
        <v>191</v>
      </c>
      <c r="T1136" s="130">
        <v>168</v>
      </c>
      <c r="U1136" s="129" t="s">
        <v>1569</v>
      </c>
      <c r="V1136" s="129" t="s">
        <v>1570</v>
      </c>
      <c r="W1136" s="130">
        <v>1</v>
      </c>
      <c r="X1136" s="130">
        <v>2</v>
      </c>
      <c r="Y1136" s="129" t="s">
        <v>194</v>
      </c>
      <c r="Z1136" s="129" t="s">
        <v>195</v>
      </c>
      <c r="AA1136" s="129" t="s">
        <v>196</v>
      </c>
      <c r="AB1136" s="129" t="s">
        <v>209</v>
      </c>
      <c r="AC1136" s="129" t="s">
        <v>187</v>
      </c>
      <c r="AD1136" s="131"/>
      <c r="AE1136" s="129" t="s">
        <v>209</v>
      </c>
      <c r="AF1136" s="130">
        <v>8.7701299998995506</v>
      </c>
      <c r="AG1136" s="132">
        <v>117.838149999623</v>
      </c>
      <c r="AO1136" s="121"/>
      <c r="AT1136" s="111"/>
      <c r="AX1136" s="121"/>
    </row>
    <row r="1137" spans="1:50" s="110" customFormat="1" ht="20" customHeight="1">
      <c r="A1137" s="125" t="s">
        <v>239</v>
      </c>
      <c r="B1137" s="126" t="s">
        <v>67</v>
      </c>
      <c r="C1137" s="127">
        <v>13562</v>
      </c>
      <c r="D1137" s="128">
        <v>106371</v>
      </c>
      <c r="E1137" s="129" t="s">
        <v>3647</v>
      </c>
      <c r="F1137" s="129" t="s">
        <v>3647</v>
      </c>
      <c r="G1137" s="130">
        <v>10000</v>
      </c>
      <c r="H1137" s="130">
        <v>5</v>
      </c>
      <c r="I1137" s="129" t="s">
        <v>209</v>
      </c>
      <c r="J1137" s="129" t="s">
        <v>3648</v>
      </c>
      <c r="K1137" s="129" t="s">
        <v>3647</v>
      </c>
      <c r="L1137" s="130">
        <v>0</v>
      </c>
      <c r="M1137" s="130">
        <v>4</v>
      </c>
      <c r="N1137" s="129" t="s">
        <v>1548</v>
      </c>
      <c r="O1137" s="130">
        <v>47</v>
      </c>
      <c r="P1137" s="130">
        <v>15</v>
      </c>
      <c r="Q1137" s="130">
        <v>17</v>
      </c>
      <c r="R1137" s="129" t="s">
        <v>190</v>
      </c>
      <c r="S1137" s="129" t="s">
        <v>191</v>
      </c>
      <c r="T1137" s="130">
        <v>168</v>
      </c>
      <c r="U1137" s="129" t="s">
        <v>1569</v>
      </c>
      <c r="V1137" s="129" t="s">
        <v>1570</v>
      </c>
      <c r="W1137" s="130">
        <v>1</v>
      </c>
      <c r="X1137" s="130">
        <v>2</v>
      </c>
      <c r="Y1137" s="129" t="s">
        <v>194</v>
      </c>
      <c r="Z1137" s="129" t="s">
        <v>195</v>
      </c>
      <c r="AA1137" s="129" t="s">
        <v>196</v>
      </c>
      <c r="AB1137" s="129" t="s">
        <v>209</v>
      </c>
      <c r="AC1137" s="129" t="s">
        <v>187</v>
      </c>
      <c r="AD1137" s="131"/>
      <c r="AE1137" s="129" t="s">
        <v>209</v>
      </c>
      <c r="AF1137" s="130">
        <v>17.4501000004147</v>
      </c>
      <c r="AG1137" s="132">
        <v>120.829449999818</v>
      </c>
      <c r="AO1137" s="121"/>
      <c r="AT1137" s="111"/>
      <c r="AX1137" s="121"/>
    </row>
    <row r="1138" spans="1:50" s="110" customFormat="1" ht="20" customHeight="1">
      <c r="A1138" s="125" t="s">
        <v>239</v>
      </c>
      <c r="B1138" s="126" t="s">
        <v>67</v>
      </c>
      <c r="C1138" s="127">
        <v>18844</v>
      </c>
      <c r="D1138" s="128">
        <v>114656</v>
      </c>
      <c r="E1138" s="129" t="s">
        <v>2783</v>
      </c>
      <c r="F1138" s="129" t="s">
        <v>2783</v>
      </c>
      <c r="G1138" s="130">
        <v>2300</v>
      </c>
      <c r="H1138" s="130">
        <v>5</v>
      </c>
      <c r="I1138" s="129" t="s">
        <v>209</v>
      </c>
      <c r="J1138" s="129" t="s">
        <v>2784</v>
      </c>
      <c r="K1138" s="129" t="s">
        <v>2785</v>
      </c>
      <c r="L1138" s="130">
        <v>4</v>
      </c>
      <c r="M1138" s="130">
        <v>4</v>
      </c>
      <c r="N1138" s="129" t="s">
        <v>1548</v>
      </c>
      <c r="O1138" s="130">
        <v>30</v>
      </c>
      <c r="P1138" s="130">
        <v>15</v>
      </c>
      <c r="Q1138" s="130">
        <v>17</v>
      </c>
      <c r="R1138" s="129" t="s">
        <v>190</v>
      </c>
      <c r="S1138" s="129" t="s">
        <v>191</v>
      </c>
      <c r="T1138" s="130">
        <v>168</v>
      </c>
      <c r="U1138" s="129" t="s">
        <v>1569</v>
      </c>
      <c r="V1138" s="129" t="s">
        <v>1570</v>
      </c>
      <c r="W1138" s="130">
        <v>1</v>
      </c>
      <c r="X1138" s="130">
        <v>2</v>
      </c>
      <c r="Y1138" s="129" t="s">
        <v>194</v>
      </c>
      <c r="Z1138" s="129" t="s">
        <v>195</v>
      </c>
      <c r="AA1138" s="129" t="s">
        <v>196</v>
      </c>
      <c r="AB1138" s="129" t="s">
        <v>209</v>
      </c>
      <c r="AC1138" s="129" t="s">
        <v>187</v>
      </c>
      <c r="AD1138" s="131"/>
      <c r="AE1138" s="129" t="s">
        <v>209</v>
      </c>
      <c r="AF1138" s="130">
        <v>6.4111840965687703</v>
      </c>
      <c r="AG1138" s="132">
        <v>124.33716028092201</v>
      </c>
      <c r="AO1138" s="121"/>
      <c r="AT1138" s="111"/>
      <c r="AX1138" s="121"/>
    </row>
    <row r="1139" spans="1:50" s="110" customFormat="1" ht="20" customHeight="1">
      <c r="A1139" s="125" t="s">
        <v>239</v>
      </c>
      <c r="B1139" s="126" t="s">
        <v>67</v>
      </c>
      <c r="C1139" s="127">
        <v>11571</v>
      </c>
      <c r="D1139" s="128">
        <v>102632</v>
      </c>
      <c r="E1139" s="129" t="s">
        <v>2289</v>
      </c>
      <c r="F1139" s="129" t="s">
        <v>2289</v>
      </c>
      <c r="G1139" s="130">
        <v>900</v>
      </c>
      <c r="H1139" s="130">
        <v>5</v>
      </c>
      <c r="I1139" s="129" t="s">
        <v>209</v>
      </c>
      <c r="J1139" s="129" t="s">
        <v>2290</v>
      </c>
      <c r="K1139" s="129" t="s">
        <v>2291</v>
      </c>
      <c r="L1139" s="130">
        <v>3</v>
      </c>
      <c r="M1139" s="130">
        <v>4</v>
      </c>
      <c r="N1139" s="129" t="s">
        <v>1548</v>
      </c>
      <c r="O1139" s="130">
        <v>15</v>
      </c>
      <c r="P1139" s="130">
        <v>11</v>
      </c>
      <c r="Q1139" s="130">
        <v>17</v>
      </c>
      <c r="R1139" s="129" t="s">
        <v>190</v>
      </c>
      <c r="S1139" s="129" t="s">
        <v>191</v>
      </c>
      <c r="T1139" s="130">
        <v>168</v>
      </c>
      <c r="U1139" s="129" t="s">
        <v>1569</v>
      </c>
      <c r="V1139" s="129" t="s">
        <v>1570</v>
      </c>
      <c r="W1139" s="130">
        <v>1</v>
      </c>
      <c r="X1139" s="130">
        <v>2</v>
      </c>
      <c r="Y1139" s="129" t="s">
        <v>194</v>
      </c>
      <c r="Z1139" s="129" t="s">
        <v>195</v>
      </c>
      <c r="AA1139" s="129" t="s">
        <v>196</v>
      </c>
      <c r="AB1139" s="129" t="s">
        <v>209</v>
      </c>
      <c r="AC1139" s="129" t="s">
        <v>187</v>
      </c>
      <c r="AD1139" s="131"/>
      <c r="AE1139" s="129" t="s">
        <v>209</v>
      </c>
      <c r="AF1139" s="130">
        <v>15.6913000000949</v>
      </c>
      <c r="AG1139" s="132">
        <v>121.453940000231</v>
      </c>
      <c r="AO1139" s="121"/>
      <c r="AT1139" s="111"/>
      <c r="AX1139" s="121"/>
    </row>
    <row r="1140" spans="1:50" s="110" customFormat="1" ht="20" customHeight="1">
      <c r="A1140" s="125" t="s">
        <v>185</v>
      </c>
      <c r="B1140" s="126" t="s">
        <v>59</v>
      </c>
      <c r="C1140" s="127">
        <v>18966</v>
      </c>
      <c r="D1140" s="163">
        <v>115418</v>
      </c>
      <c r="E1140" s="164" t="s">
        <v>3579</v>
      </c>
      <c r="F1140" s="164" t="s">
        <v>3579</v>
      </c>
      <c r="G1140" s="165">
        <v>9300</v>
      </c>
      <c r="H1140" s="165">
        <v>1</v>
      </c>
      <c r="I1140" s="164" t="s">
        <v>187</v>
      </c>
      <c r="J1140" s="164" t="s">
        <v>3580</v>
      </c>
      <c r="K1140" s="164" t="s">
        <v>3579</v>
      </c>
      <c r="L1140" s="165">
        <v>1</v>
      </c>
      <c r="M1140" s="165">
        <v>4</v>
      </c>
      <c r="N1140" s="164" t="s">
        <v>1548</v>
      </c>
      <c r="O1140" s="165">
        <v>5</v>
      </c>
      <c r="P1140" s="165">
        <v>0</v>
      </c>
      <c r="Q1140" s="165">
        <v>17</v>
      </c>
      <c r="R1140" s="164" t="s">
        <v>190</v>
      </c>
      <c r="S1140" s="164" t="s">
        <v>191</v>
      </c>
      <c r="T1140" s="165">
        <v>171</v>
      </c>
      <c r="U1140" s="164" t="s">
        <v>251</v>
      </c>
      <c r="V1140" s="164" t="s">
        <v>252</v>
      </c>
      <c r="W1140" s="165">
        <v>1</v>
      </c>
      <c r="X1140" s="165">
        <v>2</v>
      </c>
      <c r="Y1140" s="164" t="s">
        <v>194</v>
      </c>
      <c r="Z1140" s="164" t="s">
        <v>195</v>
      </c>
      <c r="AA1140" s="164" t="s">
        <v>196</v>
      </c>
      <c r="AB1140" s="164" t="s">
        <v>187</v>
      </c>
      <c r="AC1140" s="164" t="s">
        <v>187</v>
      </c>
      <c r="AD1140" s="165">
        <v>1</v>
      </c>
      <c r="AE1140" s="164" t="s">
        <v>209</v>
      </c>
      <c r="AF1140" s="165">
        <v>-8.5024599999999992</v>
      </c>
      <c r="AG1140" s="166">
        <v>123.31516999999999</v>
      </c>
      <c r="AO1140" s="121"/>
      <c r="AT1140" s="111"/>
      <c r="AX1140" s="121"/>
    </row>
    <row r="1141" spans="1:50" s="110" customFormat="1" ht="20" customHeight="1">
      <c r="A1141" s="125" t="s">
        <v>185</v>
      </c>
      <c r="B1141" s="126" t="s">
        <v>59</v>
      </c>
      <c r="C1141" s="127">
        <v>21003</v>
      </c>
      <c r="D1141" s="163">
        <v>117721</v>
      </c>
      <c r="E1141" s="164" t="s">
        <v>3318</v>
      </c>
      <c r="F1141" s="164" t="s">
        <v>3318</v>
      </c>
      <c r="G1141" s="165">
        <v>6200</v>
      </c>
      <c r="H1141" s="165">
        <v>1</v>
      </c>
      <c r="I1141" s="164" t="s">
        <v>187</v>
      </c>
      <c r="J1141" s="164" t="s">
        <v>3319</v>
      </c>
      <c r="K1141" s="164" t="s">
        <v>3318</v>
      </c>
      <c r="L1141" s="165">
        <v>1</v>
      </c>
      <c r="M1141" s="165">
        <v>4</v>
      </c>
      <c r="N1141" s="164" t="s">
        <v>1548</v>
      </c>
      <c r="O1141" s="165">
        <v>5</v>
      </c>
      <c r="P1141" s="165">
        <v>2</v>
      </c>
      <c r="Q1141" s="165">
        <v>17</v>
      </c>
      <c r="R1141" s="164" t="s">
        <v>190</v>
      </c>
      <c r="S1141" s="164" t="s">
        <v>191</v>
      </c>
      <c r="T1141" s="165">
        <v>171</v>
      </c>
      <c r="U1141" s="164" t="s">
        <v>251</v>
      </c>
      <c r="V1141" s="164" t="s">
        <v>252</v>
      </c>
      <c r="W1141" s="165">
        <v>1</v>
      </c>
      <c r="X1141" s="165">
        <v>2</v>
      </c>
      <c r="Y1141" s="164" t="s">
        <v>194</v>
      </c>
      <c r="Z1141" s="164" t="s">
        <v>195</v>
      </c>
      <c r="AA1141" s="164" t="s">
        <v>196</v>
      </c>
      <c r="AB1141" s="164" t="s">
        <v>187</v>
      </c>
      <c r="AC1141" s="164" t="s">
        <v>187</v>
      </c>
      <c r="AD1141" s="165">
        <v>1</v>
      </c>
      <c r="AE1141" s="164" t="s">
        <v>209</v>
      </c>
      <c r="AF1141" s="165">
        <v>-8.5530000000000008</v>
      </c>
      <c r="AG1141" s="166">
        <v>122.74</v>
      </c>
      <c r="AO1141" s="121"/>
      <c r="AT1141" s="111"/>
      <c r="AX1141" s="121"/>
    </row>
    <row r="1142" spans="1:50" s="110" customFormat="1" ht="20" customHeight="1">
      <c r="A1142" s="125" t="s">
        <v>185</v>
      </c>
      <c r="B1142" s="126" t="s">
        <v>59</v>
      </c>
      <c r="C1142" s="127">
        <v>18968</v>
      </c>
      <c r="D1142" s="163">
        <v>115415</v>
      </c>
      <c r="E1142" s="164" t="s">
        <v>3112</v>
      </c>
      <c r="F1142" s="164" t="s">
        <v>3112</v>
      </c>
      <c r="G1142" s="165">
        <v>4600</v>
      </c>
      <c r="H1142" s="165">
        <v>1</v>
      </c>
      <c r="I1142" s="164" t="s">
        <v>187</v>
      </c>
      <c r="J1142" s="164" t="s">
        <v>3113</v>
      </c>
      <c r="K1142" s="164" t="s">
        <v>3112</v>
      </c>
      <c r="L1142" s="165">
        <v>1</v>
      </c>
      <c r="M1142" s="165">
        <v>4</v>
      </c>
      <c r="N1142" s="164" t="s">
        <v>1548</v>
      </c>
      <c r="O1142" s="165">
        <v>5</v>
      </c>
      <c r="P1142" s="165">
        <v>0</v>
      </c>
      <c r="Q1142" s="165">
        <v>17</v>
      </c>
      <c r="R1142" s="164" t="s">
        <v>190</v>
      </c>
      <c r="S1142" s="164" t="s">
        <v>191</v>
      </c>
      <c r="T1142" s="165">
        <v>171</v>
      </c>
      <c r="U1142" s="164" t="s">
        <v>251</v>
      </c>
      <c r="V1142" s="164" t="s">
        <v>252</v>
      </c>
      <c r="W1142" s="165">
        <v>1</v>
      </c>
      <c r="X1142" s="165">
        <v>2</v>
      </c>
      <c r="Y1142" s="164" t="s">
        <v>194</v>
      </c>
      <c r="Z1142" s="164" t="s">
        <v>195</v>
      </c>
      <c r="AA1142" s="164" t="s">
        <v>196</v>
      </c>
      <c r="AB1142" s="164" t="s">
        <v>187</v>
      </c>
      <c r="AC1142" s="164" t="s">
        <v>187</v>
      </c>
      <c r="AD1142" s="165">
        <v>1</v>
      </c>
      <c r="AE1142" s="164" t="s">
        <v>209</v>
      </c>
      <c r="AF1142" s="165">
        <v>-8.54847</v>
      </c>
      <c r="AG1142" s="166">
        <v>123.42843000000001</v>
      </c>
      <c r="AO1142" s="121"/>
      <c r="AT1142" s="111"/>
      <c r="AX1142" s="121"/>
    </row>
    <row r="1143" spans="1:50" s="110" customFormat="1" ht="20" customHeight="1">
      <c r="A1143" s="125" t="s">
        <v>185</v>
      </c>
      <c r="B1143" s="126" t="s">
        <v>59</v>
      </c>
      <c r="C1143" s="127">
        <v>13302</v>
      </c>
      <c r="D1143" s="163">
        <v>107185</v>
      </c>
      <c r="E1143" s="164" t="s">
        <v>2641</v>
      </c>
      <c r="F1143" s="164" t="s">
        <v>2641</v>
      </c>
      <c r="G1143" s="165">
        <v>1800</v>
      </c>
      <c r="H1143" s="165">
        <v>1</v>
      </c>
      <c r="I1143" s="164" t="s">
        <v>187</v>
      </c>
      <c r="J1143" s="164" t="s">
        <v>2642</v>
      </c>
      <c r="K1143" s="164" t="s">
        <v>2641</v>
      </c>
      <c r="L1143" s="165">
        <v>2</v>
      </c>
      <c r="M1143" s="165">
        <v>4</v>
      </c>
      <c r="N1143" s="164" t="s">
        <v>1548</v>
      </c>
      <c r="O1143" s="165">
        <v>5</v>
      </c>
      <c r="P1143" s="165">
        <v>1</v>
      </c>
      <c r="Q1143" s="165">
        <v>17</v>
      </c>
      <c r="R1143" s="164" t="s">
        <v>190</v>
      </c>
      <c r="S1143" s="164" t="s">
        <v>191</v>
      </c>
      <c r="T1143" s="165">
        <v>171</v>
      </c>
      <c r="U1143" s="164" t="s">
        <v>251</v>
      </c>
      <c r="V1143" s="164" t="s">
        <v>252</v>
      </c>
      <c r="W1143" s="165">
        <v>1</v>
      </c>
      <c r="X1143" s="165">
        <v>2</v>
      </c>
      <c r="Y1143" s="164" t="s">
        <v>194</v>
      </c>
      <c r="Z1143" s="164" t="s">
        <v>195</v>
      </c>
      <c r="AA1143" s="164" t="s">
        <v>196</v>
      </c>
      <c r="AB1143" s="164" t="s">
        <v>187</v>
      </c>
      <c r="AC1143" s="164" t="s">
        <v>187</v>
      </c>
      <c r="AD1143" s="165">
        <v>1</v>
      </c>
      <c r="AE1143" s="164" t="s">
        <v>209</v>
      </c>
      <c r="AF1143" s="165">
        <v>-8.2787500000000005</v>
      </c>
      <c r="AG1143" s="166">
        <v>124.19829</v>
      </c>
      <c r="AO1143" s="121"/>
      <c r="AT1143" s="111"/>
      <c r="AX1143" s="121"/>
    </row>
    <row r="1144" spans="1:50" s="110" customFormat="1" ht="20" customHeight="1">
      <c r="A1144" s="125" t="s">
        <v>185</v>
      </c>
      <c r="B1144" s="126" t="s">
        <v>59</v>
      </c>
      <c r="C1144" s="127">
        <v>15443</v>
      </c>
      <c r="D1144" s="163">
        <v>109967</v>
      </c>
      <c r="E1144" s="164" t="s">
        <v>2362</v>
      </c>
      <c r="F1144" s="164" t="s">
        <v>2362</v>
      </c>
      <c r="G1144" s="165">
        <v>1100</v>
      </c>
      <c r="H1144" s="165">
        <v>1</v>
      </c>
      <c r="I1144" s="164" t="s">
        <v>187</v>
      </c>
      <c r="J1144" s="164" t="s">
        <v>2363</v>
      </c>
      <c r="K1144" s="164" t="s">
        <v>2362</v>
      </c>
      <c r="L1144" s="165">
        <v>1</v>
      </c>
      <c r="M1144" s="165">
        <v>4</v>
      </c>
      <c r="N1144" s="164" t="s">
        <v>1548</v>
      </c>
      <c r="O1144" s="165">
        <v>0</v>
      </c>
      <c r="P1144" s="165">
        <v>0</v>
      </c>
      <c r="Q1144" s="165">
        <v>17</v>
      </c>
      <c r="R1144" s="164" t="s">
        <v>190</v>
      </c>
      <c r="S1144" s="164" t="s">
        <v>191</v>
      </c>
      <c r="T1144" s="165">
        <v>171</v>
      </c>
      <c r="U1144" s="164" t="s">
        <v>251</v>
      </c>
      <c r="V1144" s="164" t="s">
        <v>252</v>
      </c>
      <c r="W1144" s="165">
        <v>1</v>
      </c>
      <c r="X1144" s="165">
        <v>2</v>
      </c>
      <c r="Y1144" s="164" t="s">
        <v>194</v>
      </c>
      <c r="Z1144" s="164" t="s">
        <v>195</v>
      </c>
      <c r="AA1144" s="164" t="s">
        <v>196</v>
      </c>
      <c r="AB1144" s="164" t="s">
        <v>187</v>
      </c>
      <c r="AC1144" s="164" t="s">
        <v>187</v>
      </c>
      <c r="AD1144" s="165">
        <v>1</v>
      </c>
      <c r="AE1144" s="164" t="s">
        <v>187</v>
      </c>
      <c r="AF1144" s="165">
        <v>-8.4814229999999995</v>
      </c>
      <c r="AG1144" s="166">
        <v>124.280348</v>
      </c>
      <c r="AO1144" s="121"/>
      <c r="AT1144" s="111"/>
      <c r="AX1144" s="121"/>
    </row>
    <row r="1145" spans="1:50" s="110" customFormat="1" ht="20" customHeight="1">
      <c r="A1145" s="125" t="s">
        <v>185</v>
      </c>
      <c r="B1145" s="126" t="s">
        <v>59</v>
      </c>
      <c r="C1145" s="127">
        <v>14625</v>
      </c>
      <c r="D1145" s="157">
        <v>108493</v>
      </c>
      <c r="E1145" s="158" t="s">
        <v>4698</v>
      </c>
      <c r="F1145" s="158" t="s">
        <v>4699</v>
      </c>
      <c r="G1145" s="159">
        <v>150000</v>
      </c>
      <c r="H1145" s="159">
        <v>2</v>
      </c>
      <c r="I1145" s="158" t="s">
        <v>209</v>
      </c>
      <c r="J1145" s="158" t="s">
        <v>4700</v>
      </c>
      <c r="K1145" s="158" t="s">
        <v>4701</v>
      </c>
      <c r="L1145" s="159">
        <v>4</v>
      </c>
      <c r="M1145" s="159">
        <v>4</v>
      </c>
      <c r="N1145" s="158" t="s">
        <v>1548</v>
      </c>
      <c r="O1145" s="159">
        <v>9</v>
      </c>
      <c r="P1145" s="159">
        <v>2</v>
      </c>
      <c r="Q1145" s="159">
        <v>17</v>
      </c>
      <c r="R1145" s="158" t="s">
        <v>190</v>
      </c>
      <c r="S1145" s="158" t="s">
        <v>191</v>
      </c>
      <c r="T1145" s="159">
        <v>171</v>
      </c>
      <c r="U1145" s="158" t="s">
        <v>251</v>
      </c>
      <c r="V1145" s="158" t="s">
        <v>252</v>
      </c>
      <c r="W1145" s="159">
        <v>1</v>
      </c>
      <c r="X1145" s="159">
        <v>2</v>
      </c>
      <c r="Y1145" s="158" t="s">
        <v>194</v>
      </c>
      <c r="Z1145" s="158" t="s">
        <v>195</v>
      </c>
      <c r="AA1145" s="158" t="s">
        <v>196</v>
      </c>
      <c r="AB1145" s="158" t="s">
        <v>187</v>
      </c>
      <c r="AC1145" s="158" t="s">
        <v>187</v>
      </c>
      <c r="AD1145" s="160"/>
      <c r="AE1145" s="158" t="s">
        <v>209</v>
      </c>
      <c r="AF1145" s="159">
        <v>-9.9154365678433596</v>
      </c>
      <c r="AG1145" s="161">
        <v>120.660159268835</v>
      </c>
      <c r="AO1145" s="121"/>
      <c r="AT1145" s="111"/>
      <c r="AX1145" s="121"/>
    </row>
    <row r="1146" spans="1:50" s="110" customFormat="1" ht="20" customHeight="1">
      <c r="A1146" s="125" t="s">
        <v>185</v>
      </c>
      <c r="B1146" s="126" t="s">
        <v>59</v>
      </c>
      <c r="C1146" s="127">
        <v>13011</v>
      </c>
      <c r="D1146" s="157">
        <v>105679</v>
      </c>
      <c r="E1146" s="158" t="s">
        <v>3837</v>
      </c>
      <c r="F1146" s="158" t="s">
        <v>3837</v>
      </c>
      <c r="G1146" s="159">
        <v>14000</v>
      </c>
      <c r="H1146" s="159">
        <v>2</v>
      </c>
      <c r="I1146" s="158" t="s">
        <v>209</v>
      </c>
      <c r="J1146" s="158" t="s">
        <v>3838</v>
      </c>
      <c r="K1146" s="158" t="s">
        <v>3837</v>
      </c>
      <c r="L1146" s="159">
        <v>1</v>
      </c>
      <c r="M1146" s="159">
        <v>4</v>
      </c>
      <c r="N1146" s="158" t="s">
        <v>1548</v>
      </c>
      <c r="O1146" s="159">
        <v>10</v>
      </c>
      <c r="P1146" s="159">
        <v>1</v>
      </c>
      <c r="Q1146" s="159">
        <v>17</v>
      </c>
      <c r="R1146" s="158" t="s">
        <v>190</v>
      </c>
      <c r="S1146" s="158" t="s">
        <v>191</v>
      </c>
      <c r="T1146" s="159">
        <v>171</v>
      </c>
      <c r="U1146" s="158" t="s">
        <v>251</v>
      </c>
      <c r="V1146" s="158" t="s">
        <v>252</v>
      </c>
      <c r="W1146" s="159">
        <v>1</v>
      </c>
      <c r="X1146" s="159">
        <v>2</v>
      </c>
      <c r="Y1146" s="158" t="s">
        <v>194</v>
      </c>
      <c r="Z1146" s="158" t="s">
        <v>195</v>
      </c>
      <c r="AA1146" s="158" t="s">
        <v>196</v>
      </c>
      <c r="AB1146" s="158" t="s">
        <v>187</v>
      </c>
      <c r="AC1146" s="158" t="s">
        <v>187</v>
      </c>
      <c r="AD1146" s="160"/>
      <c r="AE1146" s="158" t="s">
        <v>209</v>
      </c>
      <c r="AF1146" s="159">
        <v>-9.4384499999999996</v>
      </c>
      <c r="AG1146" s="161">
        <v>119.1986</v>
      </c>
      <c r="AO1146" s="121"/>
      <c r="AT1146" s="111"/>
      <c r="AX1146" s="121"/>
    </row>
    <row r="1147" spans="1:50" s="110" customFormat="1" ht="20" customHeight="1">
      <c r="A1147" s="125" t="s">
        <v>185</v>
      </c>
      <c r="B1147" s="126" t="s">
        <v>59</v>
      </c>
      <c r="C1147" s="127">
        <v>13469</v>
      </c>
      <c r="D1147" s="157">
        <v>106198</v>
      </c>
      <c r="E1147" s="158" t="s">
        <v>3747</v>
      </c>
      <c r="F1147" s="158" t="s">
        <v>3747</v>
      </c>
      <c r="G1147" s="159">
        <v>12000</v>
      </c>
      <c r="H1147" s="159">
        <v>2</v>
      </c>
      <c r="I1147" s="158" t="s">
        <v>209</v>
      </c>
      <c r="J1147" s="158" t="s">
        <v>3748</v>
      </c>
      <c r="K1147" s="158" t="s">
        <v>3747</v>
      </c>
      <c r="L1147" s="159">
        <v>2</v>
      </c>
      <c r="M1147" s="159">
        <v>4</v>
      </c>
      <c r="N1147" s="158" t="s">
        <v>1548</v>
      </c>
      <c r="O1147" s="159">
        <v>40</v>
      </c>
      <c r="P1147" s="159">
        <v>1</v>
      </c>
      <c r="Q1147" s="159">
        <v>17</v>
      </c>
      <c r="R1147" s="158" t="s">
        <v>190</v>
      </c>
      <c r="S1147" s="158" t="s">
        <v>191</v>
      </c>
      <c r="T1147" s="159">
        <v>171</v>
      </c>
      <c r="U1147" s="158" t="s">
        <v>251</v>
      </c>
      <c r="V1147" s="158" t="s">
        <v>252</v>
      </c>
      <c r="W1147" s="159">
        <v>1</v>
      </c>
      <c r="X1147" s="159">
        <v>2</v>
      </c>
      <c r="Y1147" s="158" t="s">
        <v>194</v>
      </c>
      <c r="Z1147" s="158" t="s">
        <v>195</v>
      </c>
      <c r="AA1147" s="158" t="s">
        <v>196</v>
      </c>
      <c r="AB1147" s="158" t="s">
        <v>187</v>
      </c>
      <c r="AC1147" s="158" t="s">
        <v>187</v>
      </c>
      <c r="AD1147" s="160"/>
      <c r="AE1147" s="158" t="s">
        <v>209</v>
      </c>
      <c r="AF1147" s="159">
        <v>-9.4157299999999999</v>
      </c>
      <c r="AG1147" s="161">
        <v>119.55897</v>
      </c>
      <c r="AO1147" s="121"/>
      <c r="AT1147" s="111"/>
      <c r="AX1147" s="121"/>
    </row>
    <row r="1148" spans="1:50" s="110" customFormat="1" ht="20" customHeight="1">
      <c r="A1148" s="125" t="s">
        <v>185</v>
      </c>
      <c r="B1148" s="126" t="s">
        <v>59</v>
      </c>
      <c r="C1148" s="127">
        <v>12734</v>
      </c>
      <c r="D1148" s="145">
        <v>105075</v>
      </c>
      <c r="E1148" s="146" t="s">
        <v>4140</v>
      </c>
      <c r="F1148" s="146" t="s">
        <v>4140</v>
      </c>
      <c r="G1148" s="147">
        <v>25000</v>
      </c>
      <c r="H1148" s="147">
        <v>4</v>
      </c>
      <c r="I1148" s="146" t="s">
        <v>209</v>
      </c>
      <c r="J1148" s="146" t="s">
        <v>4141</v>
      </c>
      <c r="K1148" s="146" t="s">
        <v>4140</v>
      </c>
      <c r="L1148" s="147">
        <v>1</v>
      </c>
      <c r="M1148" s="147">
        <v>4</v>
      </c>
      <c r="N1148" s="146" t="s">
        <v>1548</v>
      </c>
      <c r="O1148" s="147">
        <v>9</v>
      </c>
      <c r="P1148" s="147">
        <v>3.7749999999999999</v>
      </c>
      <c r="Q1148" s="147">
        <v>17</v>
      </c>
      <c r="R1148" s="146" t="s">
        <v>190</v>
      </c>
      <c r="S1148" s="146" t="s">
        <v>191</v>
      </c>
      <c r="T1148" s="147">
        <v>171</v>
      </c>
      <c r="U1148" s="146" t="s">
        <v>251</v>
      </c>
      <c r="V1148" s="146" t="s">
        <v>252</v>
      </c>
      <c r="W1148" s="147">
        <v>1</v>
      </c>
      <c r="X1148" s="147">
        <v>2</v>
      </c>
      <c r="Y1148" s="146" t="s">
        <v>194</v>
      </c>
      <c r="Z1148" s="146" t="s">
        <v>195</v>
      </c>
      <c r="AA1148" s="146" t="s">
        <v>196</v>
      </c>
      <c r="AB1148" s="146" t="s">
        <v>187</v>
      </c>
      <c r="AC1148" s="146" t="s">
        <v>187</v>
      </c>
      <c r="AD1148" s="148"/>
      <c r="AE1148" s="146" t="s">
        <v>209</v>
      </c>
      <c r="AF1148" s="147">
        <v>-9.6258400000000002</v>
      </c>
      <c r="AG1148" s="149">
        <v>119.10789</v>
      </c>
      <c r="AO1148" s="121"/>
      <c r="AT1148" s="111"/>
      <c r="AX1148" s="121"/>
    </row>
    <row r="1149" spans="1:50" s="110" customFormat="1" ht="20" customHeight="1">
      <c r="A1149" s="125" t="s">
        <v>185</v>
      </c>
      <c r="B1149" s="126" t="s">
        <v>59</v>
      </c>
      <c r="C1149" s="127">
        <v>15859</v>
      </c>
      <c r="D1149" s="145">
        <v>110680</v>
      </c>
      <c r="E1149" s="146" t="s">
        <v>3987</v>
      </c>
      <c r="F1149" s="146" t="s">
        <v>3987</v>
      </c>
      <c r="G1149" s="147">
        <v>18000</v>
      </c>
      <c r="H1149" s="147">
        <v>4</v>
      </c>
      <c r="I1149" s="146" t="s">
        <v>209</v>
      </c>
      <c r="J1149" s="146" t="s">
        <v>3988</v>
      </c>
      <c r="K1149" s="146" t="s">
        <v>3987</v>
      </c>
      <c r="L1149" s="147">
        <v>2</v>
      </c>
      <c r="M1149" s="147">
        <v>4</v>
      </c>
      <c r="N1149" s="146" t="s">
        <v>1548</v>
      </c>
      <c r="O1149" s="147">
        <v>45</v>
      </c>
      <c r="P1149" s="147">
        <v>5</v>
      </c>
      <c r="Q1149" s="147">
        <v>17</v>
      </c>
      <c r="R1149" s="146" t="s">
        <v>190</v>
      </c>
      <c r="S1149" s="146" t="s">
        <v>191</v>
      </c>
      <c r="T1149" s="147">
        <v>171</v>
      </c>
      <c r="U1149" s="146" t="s">
        <v>251</v>
      </c>
      <c r="V1149" s="146" t="s">
        <v>252</v>
      </c>
      <c r="W1149" s="147">
        <v>1</v>
      </c>
      <c r="X1149" s="147">
        <v>2</v>
      </c>
      <c r="Y1149" s="146" t="s">
        <v>194</v>
      </c>
      <c r="Z1149" s="146" t="s">
        <v>195</v>
      </c>
      <c r="AA1149" s="146" t="s">
        <v>196</v>
      </c>
      <c r="AB1149" s="146" t="s">
        <v>187</v>
      </c>
      <c r="AC1149" s="146" t="s">
        <v>187</v>
      </c>
      <c r="AD1149" s="148"/>
      <c r="AE1149" s="146" t="s">
        <v>209</v>
      </c>
      <c r="AF1149" s="147">
        <v>-9.6963500000000007</v>
      </c>
      <c r="AG1149" s="149">
        <v>119.45896</v>
      </c>
      <c r="AO1149" s="121"/>
      <c r="AT1149" s="111"/>
      <c r="AX1149" s="121"/>
    </row>
    <row r="1150" spans="1:50" s="110" customFormat="1" ht="20" customHeight="1">
      <c r="A1150" s="125" t="s">
        <v>185</v>
      </c>
      <c r="B1150" s="126" t="s">
        <v>59</v>
      </c>
      <c r="C1150" s="127">
        <v>12974</v>
      </c>
      <c r="D1150" s="145">
        <v>105623</v>
      </c>
      <c r="E1150" s="146" t="s">
        <v>3915</v>
      </c>
      <c r="F1150" s="146" t="s">
        <v>3915</v>
      </c>
      <c r="G1150" s="147">
        <v>16000</v>
      </c>
      <c r="H1150" s="147">
        <v>4</v>
      </c>
      <c r="I1150" s="146" t="s">
        <v>209</v>
      </c>
      <c r="J1150" s="146" t="s">
        <v>3916</v>
      </c>
      <c r="K1150" s="146" t="s">
        <v>3917</v>
      </c>
      <c r="L1150" s="147">
        <v>1</v>
      </c>
      <c r="M1150" s="147">
        <v>4</v>
      </c>
      <c r="N1150" s="146" t="s">
        <v>1548</v>
      </c>
      <c r="O1150" s="147">
        <v>8</v>
      </c>
      <c r="P1150" s="147">
        <v>3.4</v>
      </c>
      <c r="Q1150" s="147">
        <v>17</v>
      </c>
      <c r="R1150" s="146" t="s">
        <v>190</v>
      </c>
      <c r="S1150" s="146" t="s">
        <v>191</v>
      </c>
      <c r="T1150" s="147">
        <v>171</v>
      </c>
      <c r="U1150" s="146" t="s">
        <v>251</v>
      </c>
      <c r="V1150" s="146" t="s">
        <v>252</v>
      </c>
      <c r="W1150" s="147">
        <v>1</v>
      </c>
      <c r="X1150" s="147">
        <v>2</v>
      </c>
      <c r="Y1150" s="146" t="s">
        <v>194</v>
      </c>
      <c r="Z1150" s="146" t="s">
        <v>195</v>
      </c>
      <c r="AA1150" s="146" t="s">
        <v>196</v>
      </c>
      <c r="AB1150" s="146" t="s">
        <v>187</v>
      </c>
      <c r="AC1150" s="146" t="s">
        <v>187</v>
      </c>
      <c r="AD1150" s="148"/>
      <c r="AE1150" s="146" t="s">
        <v>209</v>
      </c>
      <c r="AF1150" s="147">
        <v>-8.4321699999999993</v>
      </c>
      <c r="AG1150" s="149">
        <v>124.05913</v>
      </c>
      <c r="AO1150" s="121"/>
      <c r="AT1150" s="111"/>
      <c r="AX1150" s="121"/>
    </row>
    <row r="1151" spans="1:50" s="110" customFormat="1" ht="20" customHeight="1">
      <c r="A1151" s="125" t="s">
        <v>185</v>
      </c>
      <c r="B1151" s="126" t="s">
        <v>59</v>
      </c>
      <c r="C1151" s="127">
        <v>15455</v>
      </c>
      <c r="D1151" s="145">
        <v>109984</v>
      </c>
      <c r="E1151" s="146" t="s">
        <v>3123</v>
      </c>
      <c r="F1151" s="146" t="s">
        <v>3123</v>
      </c>
      <c r="G1151" s="147">
        <v>4600</v>
      </c>
      <c r="H1151" s="147">
        <v>4</v>
      </c>
      <c r="I1151" s="146" t="s">
        <v>209</v>
      </c>
      <c r="J1151" s="146" t="s">
        <v>3124</v>
      </c>
      <c r="K1151" s="146" t="s">
        <v>3125</v>
      </c>
      <c r="L1151" s="147">
        <v>2</v>
      </c>
      <c r="M1151" s="147">
        <v>4</v>
      </c>
      <c r="N1151" s="146" t="s">
        <v>1548</v>
      </c>
      <c r="O1151" s="147">
        <v>15</v>
      </c>
      <c r="P1151" s="147">
        <v>3</v>
      </c>
      <c r="Q1151" s="147">
        <v>17</v>
      </c>
      <c r="R1151" s="146" t="s">
        <v>190</v>
      </c>
      <c r="S1151" s="146" t="s">
        <v>191</v>
      </c>
      <c r="T1151" s="147">
        <v>171</v>
      </c>
      <c r="U1151" s="146" t="s">
        <v>251</v>
      </c>
      <c r="V1151" s="146" t="s">
        <v>252</v>
      </c>
      <c r="W1151" s="147">
        <v>1</v>
      </c>
      <c r="X1151" s="147">
        <v>2</v>
      </c>
      <c r="Y1151" s="146" t="s">
        <v>194</v>
      </c>
      <c r="Z1151" s="146" t="s">
        <v>195</v>
      </c>
      <c r="AA1151" s="146" t="s">
        <v>196</v>
      </c>
      <c r="AB1151" s="146" t="s">
        <v>187</v>
      </c>
      <c r="AC1151" s="146" t="s">
        <v>187</v>
      </c>
      <c r="AD1151" s="148"/>
      <c r="AE1151" s="146" t="s">
        <v>209</v>
      </c>
      <c r="AF1151" s="147">
        <v>-8.3497699999999995</v>
      </c>
      <c r="AG1151" s="149">
        <v>124.17922</v>
      </c>
      <c r="AO1151" s="121"/>
      <c r="AT1151" s="111"/>
      <c r="AX1151" s="121"/>
    </row>
    <row r="1152" spans="1:50" s="110" customFormat="1" ht="20" customHeight="1">
      <c r="A1152" s="125" t="s">
        <v>471</v>
      </c>
      <c r="B1152" s="126" t="s">
        <v>65</v>
      </c>
      <c r="C1152" s="127">
        <v>10223</v>
      </c>
      <c r="D1152" s="163">
        <v>100185</v>
      </c>
      <c r="E1152" s="164" t="s">
        <v>3275</v>
      </c>
      <c r="F1152" s="164" t="s">
        <v>3275</v>
      </c>
      <c r="G1152" s="165">
        <v>114000</v>
      </c>
      <c r="H1152" s="165">
        <v>1</v>
      </c>
      <c r="I1152" s="164" t="s">
        <v>187</v>
      </c>
      <c r="J1152" s="164" t="s">
        <v>3274</v>
      </c>
      <c r="K1152" s="164" t="s">
        <v>3275</v>
      </c>
      <c r="L1152" s="165">
        <v>5</v>
      </c>
      <c r="M1152" s="165">
        <v>4</v>
      </c>
      <c r="N1152" s="164" t="s">
        <v>1548</v>
      </c>
      <c r="O1152" s="165">
        <v>3</v>
      </c>
      <c r="P1152" s="165">
        <v>2</v>
      </c>
      <c r="Q1152" s="165">
        <v>23</v>
      </c>
      <c r="R1152" s="164" t="s">
        <v>1623</v>
      </c>
      <c r="S1152" s="164" t="s">
        <v>1624</v>
      </c>
      <c r="T1152" s="165">
        <v>185</v>
      </c>
      <c r="U1152" s="164" t="s">
        <v>1951</v>
      </c>
      <c r="V1152" s="164" t="s">
        <v>1952</v>
      </c>
      <c r="W1152" s="165">
        <v>5</v>
      </c>
      <c r="X1152" s="165">
        <v>2</v>
      </c>
      <c r="Y1152" s="164" t="s">
        <v>194</v>
      </c>
      <c r="Z1152" s="164" t="s">
        <v>195</v>
      </c>
      <c r="AA1152" s="164" t="s">
        <v>196</v>
      </c>
      <c r="AB1152" s="164" t="s">
        <v>187</v>
      </c>
      <c r="AC1152" s="164" t="s">
        <v>187</v>
      </c>
      <c r="AD1152" s="165">
        <v>2</v>
      </c>
      <c r="AE1152" s="164" t="s">
        <v>209</v>
      </c>
      <c r="AF1152" s="165">
        <v>21.489835474927201</v>
      </c>
      <c r="AG1152" s="166">
        <v>101.84576514894199</v>
      </c>
      <c r="AO1152" s="121"/>
      <c r="AT1152" s="111"/>
      <c r="AX1152" s="121"/>
    </row>
    <row r="1153" spans="1:50" s="110" customFormat="1" ht="20" customHeight="1">
      <c r="A1153" s="125" t="s">
        <v>471</v>
      </c>
      <c r="B1153" s="126" t="s">
        <v>65</v>
      </c>
      <c r="C1153" s="127">
        <v>18516</v>
      </c>
      <c r="D1153" s="163">
        <v>114129</v>
      </c>
      <c r="E1153" s="164" t="s">
        <v>3173</v>
      </c>
      <c r="F1153" s="164" t="s">
        <v>3173</v>
      </c>
      <c r="G1153" s="165">
        <v>4900</v>
      </c>
      <c r="H1153" s="165">
        <v>1</v>
      </c>
      <c r="I1153" s="164" t="s">
        <v>187</v>
      </c>
      <c r="J1153" s="164" t="s">
        <v>3174</v>
      </c>
      <c r="K1153" s="164" t="s">
        <v>3175</v>
      </c>
      <c r="L1153" s="165">
        <v>3</v>
      </c>
      <c r="M1153" s="165">
        <v>4</v>
      </c>
      <c r="N1153" s="164" t="s">
        <v>1548</v>
      </c>
      <c r="O1153" s="165">
        <v>1</v>
      </c>
      <c r="P1153" s="165">
        <v>0.5</v>
      </c>
      <c r="Q1153" s="165">
        <v>23</v>
      </c>
      <c r="R1153" s="164" t="s">
        <v>1623</v>
      </c>
      <c r="S1153" s="164" t="s">
        <v>1624</v>
      </c>
      <c r="T1153" s="165">
        <v>185</v>
      </c>
      <c r="U1153" s="164" t="s">
        <v>1951</v>
      </c>
      <c r="V1153" s="164" t="s">
        <v>1952</v>
      </c>
      <c r="W1153" s="165">
        <v>2</v>
      </c>
      <c r="X1153" s="165">
        <v>2</v>
      </c>
      <c r="Y1153" s="164" t="s">
        <v>194</v>
      </c>
      <c r="Z1153" s="164" t="s">
        <v>195</v>
      </c>
      <c r="AA1153" s="164" t="s">
        <v>196</v>
      </c>
      <c r="AB1153" s="164" t="s">
        <v>187</v>
      </c>
      <c r="AC1153" s="164" t="s">
        <v>187</v>
      </c>
      <c r="AD1153" s="165">
        <v>1</v>
      </c>
      <c r="AE1153" s="164" t="s">
        <v>209</v>
      </c>
      <c r="AF1153" s="165">
        <v>22.430212999999998</v>
      </c>
      <c r="AG1153" s="166">
        <v>101.74970500000001</v>
      </c>
      <c r="AO1153" s="121"/>
      <c r="AT1153" s="111"/>
      <c r="AX1153" s="121"/>
    </row>
    <row r="1154" spans="1:50" s="110" customFormat="1" ht="20" customHeight="1">
      <c r="A1154" s="125" t="s">
        <v>471</v>
      </c>
      <c r="B1154" s="126" t="s">
        <v>65</v>
      </c>
      <c r="C1154" s="127">
        <v>12062</v>
      </c>
      <c r="D1154" s="163">
        <v>103712</v>
      </c>
      <c r="E1154" s="164" t="s">
        <v>1952</v>
      </c>
      <c r="F1154" s="164" t="s">
        <v>1952</v>
      </c>
      <c r="G1154" s="165">
        <v>700</v>
      </c>
      <c r="H1154" s="165">
        <v>1</v>
      </c>
      <c r="I1154" s="164" t="s">
        <v>187</v>
      </c>
      <c r="J1154" s="164" t="s">
        <v>2121</v>
      </c>
      <c r="K1154" s="164" t="s">
        <v>1952</v>
      </c>
      <c r="L1154" s="165">
        <v>3</v>
      </c>
      <c r="M1154" s="165">
        <v>4</v>
      </c>
      <c r="N1154" s="164" t="s">
        <v>1548</v>
      </c>
      <c r="O1154" s="165">
        <v>0</v>
      </c>
      <c r="P1154" s="165">
        <v>0</v>
      </c>
      <c r="Q1154" s="165">
        <v>23</v>
      </c>
      <c r="R1154" s="164" t="s">
        <v>1623</v>
      </c>
      <c r="S1154" s="164" t="s">
        <v>1624</v>
      </c>
      <c r="T1154" s="165">
        <v>185</v>
      </c>
      <c r="U1154" s="164" t="s">
        <v>1951</v>
      </c>
      <c r="V1154" s="164" t="s">
        <v>1952</v>
      </c>
      <c r="W1154" s="165">
        <v>3</v>
      </c>
      <c r="X1154" s="165">
        <v>2</v>
      </c>
      <c r="Y1154" s="164" t="s">
        <v>194</v>
      </c>
      <c r="Z1154" s="164" t="s">
        <v>195</v>
      </c>
      <c r="AA1154" s="164" t="s">
        <v>196</v>
      </c>
      <c r="AB1154" s="164" t="s">
        <v>187</v>
      </c>
      <c r="AC1154" s="164" t="s">
        <v>209</v>
      </c>
      <c r="AD1154" s="165">
        <v>1</v>
      </c>
      <c r="AE1154" s="164" t="s">
        <v>187</v>
      </c>
      <c r="AF1154" s="165">
        <v>22.405209536390998</v>
      </c>
      <c r="AG1154" s="166">
        <v>102.06236340224901</v>
      </c>
      <c r="AO1154" s="121"/>
      <c r="AT1154" s="111"/>
      <c r="AX1154" s="121"/>
    </row>
    <row r="1155" spans="1:50" s="110" customFormat="1" ht="20" customHeight="1">
      <c r="A1155" s="125" t="s">
        <v>471</v>
      </c>
      <c r="B1155" s="126" t="s">
        <v>65</v>
      </c>
      <c r="C1155" s="127">
        <v>18892</v>
      </c>
      <c r="D1155" s="163">
        <v>114840</v>
      </c>
      <c r="E1155" s="164" t="s">
        <v>1948</v>
      </c>
      <c r="F1155" s="164" t="s">
        <v>1948</v>
      </c>
      <c r="G1155" s="165">
        <v>500</v>
      </c>
      <c r="H1155" s="165">
        <v>1</v>
      </c>
      <c r="I1155" s="164" t="s">
        <v>187</v>
      </c>
      <c r="J1155" s="164" t="s">
        <v>1949</v>
      </c>
      <c r="K1155" s="164" t="s">
        <v>1950</v>
      </c>
      <c r="L1155" s="165">
        <v>1</v>
      </c>
      <c r="M1155" s="165">
        <v>4</v>
      </c>
      <c r="N1155" s="164" t="s">
        <v>1548</v>
      </c>
      <c r="O1155" s="165">
        <v>0</v>
      </c>
      <c r="P1155" s="165">
        <v>0</v>
      </c>
      <c r="Q1155" s="165">
        <v>23</v>
      </c>
      <c r="R1155" s="164" t="s">
        <v>1623</v>
      </c>
      <c r="S1155" s="164" t="s">
        <v>1624</v>
      </c>
      <c r="T1155" s="165">
        <v>185</v>
      </c>
      <c r="U1155" s="164" t="s">
        <v>1951</v>
      </c>
      <c r="V1155" s="164" t="s">
        <v>1952</v>
      </c>
      <c r="W1155" s="165">
        <v>2</v>
      </c>
      <c r="X1155" s="165">
        <v>2</v>
      </c>
      <c r="Y1155" s="164" t="s">
        <v>194</v>
      </c>
      <c r="Z1155" s="164" t="s">
        <v>195</v>
      </c>
      <c r="AA1155" s="164" t="s">
        <v>196</v>
      </c>
      <c r="AB1155" s="164" t="s">
        <v>187</v>
      </c>
      <c r="AC1155" s="164" t="s">
        <v>187</v>
      </c>
      <c r="AD1155" s="165">
        <v>1</v>
      </c>
      <c r="AE1155" s="164" t="s">
        <v>187</v>
      </c>
      <c r="AF1155" s="165">
        <v>21.93872</v>
      </c>
      <c r="AG1155" s="166">
        <v>101.97750000000001</v>
      </c>
      <c r="AO1155" s="121"/>
      <c r="AT1155" s="111"/>
      <c r="AX1155" s="121"/>
    </row>
    <row r="1156" spans="1:50" s="110" customFormat="1" ht="20" customHeight="1">
      <c r="A1156" s="125" t="s">
        <v>1620</v>
      </c>
      <c r="B1156" s="126" t="s">
        <v>61</v>
      </c>
      <c r="C1156" s="127">
        <v>15224</v>
      </c>
      <c r="D1156" s="163">
        <v>109773</v>
      </c>
      <c r="E1156" s="164" t="s">
        <v>4266</v>
      </c>
      <c r="F1156" s="164" t="s">
        <v>4266</v>
      </c>
      <c r="G1156" s="165">
        <v>33000</v>
      </c>
      <c r="H1156" s="165">
        <v>1</v>
      </c>
      <c r="I1156" s="164" t="s">
        <v>187</v>
      </c>
      <c r="J1156" s="164" t="s">
        <v>2043</v>
      </c>
      <c r="K1156" s="164" t="s">
        <v>1998</v>
      </c>
      <c r="L1156" s="165">
        <v>5</v>
      </c>
      <c r="M1156" s="165">
        <v>4</v>
      </c>
      <c r="N1156" s="164" t="s">
        <v>1548</v>
      </c>
      <c r="O1156" s="165">
        <v>0</v>
      </c>
      <c r="P1156" s="165">
        <v>0</v>
      </c>
      <c r="Q1156" s="165">
        <v>23</v>
      </c>
      <c r="R1156" s="164" t="s">
        <v>1623</v>
      </c>
      <c r="S1156" s="164" t="s">
        <v>1624</v>
      </c>
      <c r="T1156" s="165">
        <v>185</v>
      </c>
      <c r="U1156" s="164" t="s">
        <v>1951</v>
      </c>
      <c r="V1156" s="164" t="s">
        <v>1952</v>
      </c>
      <c r="W1156" s="165">
        <v>1</v>
      </c>
      <c r="X1156" s="165">
        <v>2</v>
      </c>
      <c r="Y1156" s="164" t="s">
        <v>194</v>
      </c>
      <c r="Z1156" s="164" t="s">
        <v>195</v>
      </c>
      <c r="AA1156" s="164" t="s">
        <v>196</v>
      </c>
      <c r="AB1156" s="164" t="s">
        <v>187</v>
      </c>
      <c r="AC1156" s="164" t="s">
        <v>187</v>
      </c>
      <c r="AD1156" s="165">
        <v>1</v>
      </c>
      <c r="AE1156" s="164" t="s">
        <v>187</v>
      </c>
      <c r="AF1156" s="165">
        <v>25.1566399997362</v>
      </c>
      <c r="AG1156" s="166">
        <v>95.117079999642201</v>
      </c>
      <c r="AO1156" s="121"/>
      <c r="AT1156" s="111"/>
      <c r="AX1156" s="121"/>
    </row>
    <row r="1157" spans="1:50" s="110" customFormat="1" ht="20" customHeight="1">
      <c r="A1157" s="125" t="s">
        <v>1620</v>
      </c>
      <c r="B1157" s="126" t="s">
        <v>61</v>
      </c>
      <c r="C1157" s="127">
        <v>10223</v>
      </c>
      <c r="D1157" s="128">
        <v>100185</v>
      </c>
      <c r="E1157" s="129" t="s">
        <v>3275</v>
      </c>
      <c r="F1157" s="129" t="s">
        <v>3275</v>
      </c>
      <c r="G1157" s="130">
        <v>218000</v>
      </c>
      <c r="H1157" s="130">
        <v>5</v>
      </c>
      <c r="I1157" s="129" t="s">
        <v>209</v>
      </c>
      <c r="J1157" s="129" t="s">
        <v>3274</v>
      </c>
      <c r="K1157" s="129" t="s">
        <v>3275</v>
      </c>
      <c r="L1157" s="130">
        <v>5</v>
      </c>
      <c r="M1157" s="130">
        <v>4</v>
      </c>
      <c r="N1157" s="129" t="s">
        <v>1548</v>
      </c>
      <c r="O1157" s="130">
        <v>16</v>
      </c>
      <c r="P1157" s="130">
        <v>12</v>
      </c>
      <c r="Q1157" s="130">
        <v>23</v>
      </c>
      <c r="R1157" s="129" t="s">
        <v>1623</v>
      </c>
      <c r="S1157" s="129" t="s">
        <v>1624</v>
      </c>
      <c r="T1157" s="130">
        <v>185</v>
      </c>
      <c r="U1157" s="129" t="s">
        <v>1951</v>
      </c>
      <c r="V1157" s="129" t="s">
        <v>1952</v>
      </c>
      <c r="W1157" s="130">
        <v>5</v>
      </c>
      <c r="X1157" s="130">
        <v>2</v>
      </c>
      <c r="Y1157" s="129" t="s">
        <v>194</v>
      </c>
      <c r="Z1157" s="129" t="s">
        <v>195</v>
      </c>
      <c r="AA1157" s="129" t="s">
        <v>196</v>
      </c>
      <c r="AB1157" s="129" t="s">
        <v>187</v>
      </c>
      <c r="AC1157" s="129" t="s">
        <v>187</v>
      </c>
      <c r="AD1157" s="131"/>
      <c r="AE1157" s="129" t="s">
        <v>209</v>
      </c>
      <c r="AF1157" s="130">
        <v>21.006810000000002</v>
      </c>
      <c r="AG1157" s="132">
        <v>100.00883</v>
      </c>
      <c r="AO1157" s="121"/>
      <c r="AT1157" s="111"/>
      <c r="AX1157" s="121"/>
    </row>
    <row r="1158" spans="1:50" s="110" customFormat="1" ht="20" customHeight="1">
      <c r="A1158" s="125" t="s">
        <v>1620</v>
      </c>
      <c r="B1158" s="126" t="s">
        <v>61</v>
      </c>
      <c r="C1158" s="127">
        <v>18646</v>
      </c>
      <c r="D1158" s="128">
        <v>114267</v>
      </c>
      <c r="E1158" s="129" t="s">
        <v>2525</v>
      </c>
      <c r="F1158" s="129" t="s">
        <v>2525</v>
      </c>
      <c r="G1158" s="130">
        <v>1500</v>
      </c>
      <c r="H1158" s="130">
        <v>5</v>
      </c>
      <c r="I1158" s="129" t="s">
        <v>209</v>
      </c>
      <c r="J1158" s="129" t="s">
        <v>2526</v>
      </c>
      <c r="K1158" s="129" t="s">
        <v>2527</v>
      </c>
      <c r="L1158" s="130">
        <v>3</v>
      </c>
      <c r="M1158" s="130">
        <v>4</v>
      </c>
      <c r="N1158" s="129" t="s">
        <v>1548</v>
      </c>
      <c r="O1158" s="130">
        <v>17</v>
      </c>
      <c r="P1158" s="130">
        <v>11</v>
      </c>
      <c r="Q1158" s="130">
        <v>23</v>
      </c>
      <c r="R1158" s="129" t="s">
        <v>1623</v>
      </c>
      <c r="S1158" s="129" t="s">
        <v>1624</v>
      </c>
      <c r="T1158" s="130">
        <v>185</v>
      </c>
      <c r="U1158" s="129" t="s">
        <v>1951</v>
      </c>
      <c r="V1158" s="129" t="s">
        <v>1952</v>
      </c>
      <c r="W1158" s="130">
        <v>2</v>
      </c>
      <c r="X1158" s="130">
        <v>2</v>
      </c>
      <c r="Y1158" s="129" t="s">
        <v>194</v>
      </c>
      <c r="Z1158" s="129" t="s">
        <v>195</v>
      </c>
      <c r="AA1158" s="129" t="s">
        <v>196</v>
      </c>
      <c r="AB1158" s="129" t="s">
        <v>187</v>
      </c>
      <c r="AC1158" s="129" t="s">
        <v>209</v>
      </c>
      <c r="AD1158" s="131"/>
      <c r="AE1158" s="129" t="s">
        <v>209</v>
      </c>
      <c r="AF1158" s="130">
        <v>25.384983999999999</v>
      </c>
      <c r="AG1158" s="132">
        <v>97.381523000000001</v>
      </c>
      <c r="AO1158" s="121"/>
      <c r="AT1158" s="111"/>
      <c r="AX1158" s="121"/>
    </row>
    <row r="1159" spans="1:50" s="110" customFormat="1" ht="20" customHeight="1">
      <c r="A1159" s="125" t="s">
        <v>478</v>
      </c>
      <c r="B1159" s="126" t="s">
        <v>56</v>
      </c>
      <c r="C1159" s="127">
        <v>10881</v>
      </c>
      <c r="D1159" s="163">
        <v>101498</v>
      </c>
      <c r="E1159" s="164" t="s">
        <v>2146</v>
      </c>
      <c r="F1159" s="164" t="s">
        <v>2146</v>
      </c>
      <c r="G1159" s="165">
        <v>700</v>
      </c>
      <c r="H1159" s="165">
        <v>1</v>
      </c>
      <c r="I1159" s="164" t="s">
        <v>187</v>
      </c>
      <c r="J1159" s="164" t="s">
        <v>2147</v>
      </c>
      <c r="K1159" s="164" t="s">
        <v>2146</v>
      </c>
      <c r="L1159" s="165">
        <v>4</v>
      </c>
      <c r="M1159" s="165">
        <v>4</v>
      </c>
      <c r="N1159" s="164" t="s">
        <v>1548</v>
      </c>
      <c r="O1159" s="165">
        <v>0.8</v>
      </c>
      <c r="P1159" s="165">
        <v>0</v>
      </c>
      <c r="Q1159" s="165">
        <v>23</v>
      </c>
      <c r="R1159" s="164" t="s">
        <v>1623</v>
      </c>
      <c r="S1159" s="164" t="s">
        <v>1624</v>
      </c>
      <c r="T1159" s="165">
        <v>185</v>
      </c>
      <c r="U1159" s="164" t="s">
        <v>1951</v>
      </c>
      <c r="V1159" s="164" t="s">
        <v>1952</v>
      </c>
      <c r="W1159" s="165">
        <v>1</v>
      </c>
      <c r="X1159" s="165">
        <v>2</v>
      </c>
      <c r="Y1159" s="164" t="s">
        <v>194</v>
      </c>
      <c r="Z1159" s="164" t="s">
        <v>195</v>
      </c>
      <c r="AA1159" s="164" t="s">
        <v>196</v>
      </c>
      <c r="AB1159" s="164" t="s">
        <v>187</v>
      </c>
      <c r="AC1159" s="164" t="s">
        <v>187</v>
      </c>
      <c r="AD1159" s="165">
        <v>1</v>
      </c>
      <c r="AE1159" s="164" t="s">
        <v>209</v>
      </c>
      <c r="AF1159" s="165">
        <v>19.750879999999999</v>
      </c>
      <c r="AG1159" s="166">
        <v>99.760459999999995</v>
      </c>
      <c r="AO1159" s="121"/>
      <c r="AT1159" s="111"/>
      <c r="AX1159" s="121"/>
    </row>
    <row r="1160" spans="1:50" s="110" customFormat="1" ht="20" customHeight="1">
      <c r="A1160" s="125" t="s">
        <v>480</v>
      </c>
      <c r="B1160" s="126" t="s">
        <v>63</v>
      </c>
      <c r="C1160" s="127">
        <v>12062</v>
      </c>
      <c r="D1160" s="163">
        <v>103712</v>
      </c>
      <c r="E1160" s="164" t="s">
        <v>1952</v>
      </c>
      <c r="F1160" s="164" t="s">
        <v>1952</v>
      </c>
      <c r="G1160" s="165">
        <v>24000</v>
      </c>
      <c r="H1160" s="165">
        <v>1</v>
      </c>
      <c r="I1160" s="164" t="s">
        <v>187</v>
      </c>
      <c r="J1160" s="164" t="s">
        <v>2121</v>
      </c>
      <c r="K1160" s="164" t="s">
        <v>1952</v>
      </c>
      <c r="L1160" s="165">
        <v>3</v>
      </c>
      <c r="M1160" s="165">
        <v>4</v>
      </c>
      <c r="N1160" s="164" t="s">
        <v>1548</v>
      </c>
      <c r="O1160" s="165">
        <v>0.5</v>
      </c>
      <c r="P1160" s="165">
        <v>0.01</v>
      </c>
      <c r="Q1160" s="165">
        <v>23</v>
      </c>
      <c r="R1160" s="164" t="s">
        <v>1623</v>
      </c>
      <c r="S1160" s="164" t="s">
        <v>1624</v>
      </c>
      <c r="T1160" s="165">
        <v>185</v>
      </c>
      <c r="U1160" s="164" t="s">
        <v>1951</v>
      </c>
      <c r="V1160" s="164" t="s">
        <v>1952</v>
      </c>
      <c r="W1160" s="165">
        <v>3</v>
      </c>
      <c r="X1160" s="165">
        <v>2</v>
      </c>
      <c r="Y1160" s="164" t="s">
        <v>194</v>
      </c>
      <c r="Z1160" s="164" t="s">
        <v>195</v>
      </c>
      <c r="AA1160" s="164" t="s">
        <v>196</v>
      </c>
      <c r="AB1160" s="164" t="s">
        <v>187</v>
      </c>
      <c r="AC1160" s="164" t="s">
        <v>187</v>
      </c>
      <c r="AD1160" s="165">
        <v>1</v>
      </c>
      <c r="AE1160" s="164" t="s">
        <v>209</v>
      </c>
      <c r="AF1160" s="165">
        <v>22.63259</v>
      </c>
      <c r="AG1160" s="166">
        <v>103.67728</v>
      </c>
      <c r="AO1160" s="121"/>
      <c r="AT1160" s="111"/>
      <c r="AX1160" s="121"/>
    </row>
    <row r="1161" spans="1:50" s="110" customFormat="1" ht="20" customHeight="1">
      <c r="A1161" s="125" t="s">
        <v>480</v>
      </c>
      <c r="B1161" s="126" t="s">
        <v>63</v>
      </c>
      <c r="C1161" s="127">
        <v>10223</v>
      </c>
      <c r="D1161" s="163">
        <v>100185</v>
      </c>
      <c r="E1161" s="164" t="s">
        <v>3275</v>
      </c>
      <c r="F1161" s="164" t="s">
        <v>3275</v>
      </c>
      <c r="G1161" s="165">
        <v>22000</v>
      </c>
      <c r="H1161" s="165">
        <v>1</v>
      </c>
      <c r="I1161" s="164" t="s">
        <v>187</v>
      </c>
      <c r="J1161" s="164" t="s">
        <v>3274</v>
      </c>
      <c r="K1161" s="164" t="s">
        <v>3275</v>
      </c>
      <c r="L1161" s="165">
        <v>5</v>
      </c>
      <c r="M1161" s="165">
        <v>4</v>
      </c>
      <c r="N1161" s="164" t="s">
        <v>1548</v>
      </c>
      <c r="O1161" s="165">
        <v>5</v>
      </c>
      <c r="P1161" s="165">
        <v>0.3</v>
      </c>
      <c r="Q1161" s="165">
        <v>23</v>
      </c>
      <c r="R1161" s="164" t="s">
        <v>1623</v>
      </c>
      <c r="S1161" s="164" t="s">
        <v>1624</v>
      </c>
      <c r="T1161" s="165">
        <v>185</v>
      </c>
      <c r="U1161" s="164" t="s">
        <v>1951</v>
      </c>
      <c r="V1161" s="164" t="s">
        <v>1952</v>
      </c>
      <c r="W1161" s="165">
        <v>5</v>
      </c>
      <c r="X1161" s="165">
        <v>2</v>
      </c>
      <c r="Y1161" s="164" t="s">
        <v>194</v>
      </c>
      <c r="Z1161" s="164" t="s">
        <v>195</v>
      </c>
      <c r="AA1161" s="164" t="s">
        <v>196</v>
      </c>
      <c r="AB1161" s="164" t="s">
        <v>187</v>
      </c>
      <c r="AC1161" s="164" t="s">
        <v>209</v>
      </c>
      <c r="AD1161" s="165">
        <v>1</v>
      </c>
      <c r="AE1161" s="164" t="s">
        <v>209</v>
      </c>
      <c r="AF1161" s="165">
        <v>21.724060000000001</v>
      </c>
      <c r="AG1161" s="166">
        <v>102.67735999999999</v>
      </c>
      <c r="AO1161" s="121"/>
      <c r="AT1161" s="111"/>
      <c r="AX1161" s="121"/>
    </row>
    <row r="1162" spans="1:50" s="110" customFormat="1" ht="20" customHeight="1">
      <c r="A1162" s="125" t="s">
        <v>185</v>
      </c>
      <c r="B1162" s="126" t="s">
        <v>59</v>
      </c>
      <c r="C1162" s="127">
        <v>19235</v>
      </c>
      <c r="D1162" s="163">
        <v>115644</v>
      </c>
      <c r="E1162" s="164" t="s">
        <v>1658</v>
      </c>
      <c r="F1162" s="164" t="s">
        <v>1659</v>
      </c>
      <c r="G1162" s="165">
        <v>200</v>
      </c>
      <c r="H1162" s="165">
        <v>1</v>
      </c>
      <c r="I1162" s="164" t="s">
        <v>187</v>
      </c>
      <c r="J1162" s="164" t="s">
        <v>747</v>
      </c>
      <c r="K1162" s="164" t="s">
        <v>746</v>
      </c>
      <c r="L1162" s="165">
        <v>5</v>
      </c>
      <c r="M1162" s="165">
        <v>4</v>
      </c>
      <c r="N1162" s="164" t="s">
        <v>1977</v>
      </c>
      <c r="O1162" s="165">
        <v>0</v>
      </c>
      <c r="P1162" s="165">
        <v>0</v>
      </c>
      <c r="Q1162" s="165">
        <v>15</v>
      </c>
      <c r="R1162" s="164" t="s">
        <v>1628</v>
      </c>
      <c r="S1162" s="164" t="s">
        <v>1629</v>
      </c>
      <c r="T1162" s="165">
        <v>197</v>
      </c>
      <c r="U1162" s="164" t="s">
        <v>1630</v>
      </c>
      <c r="V1162" s="164" t="s">
        <v>1629</v>
      </c>
      <c r="W1162" s="165">
        <v>1</v>
      </c>
      <c r="X1162" s="165">
        <v>2</v>
      </c>
      <c r="Y1162" s="164" t="s">
        <v>194</v>
      </c>
      <c r="Z1162" s="164" t="s">
        <v>195</v>
      </c>
      <c r="AA1162" s="164" t="s">
        <v>196</v>
      </c>
      <c r="AB1162" s="164" t="s">
        <v>187</v>
      </c>
      <c r="AC1162" s="164" t="s">
        <v>187</v>
      </c>
      <c r="AD1162" s="165">
        <v>1</v>
      </c>
      <c r="AE1162" s="164" t="s">
        <v>187</v>
      </c>
      <c r="AF1162" s="165">
        <v>-7.3345799999999999</v>
      </c>
      <c r="AG1162" s="166">
        <v>109.71572</v>
      </c>
      <c r="AO1162" s="121"/>
      <c r="AT1162" s="111"/>
      <c r="AX1162" s="121"/>
    </row>
    <row r="1163" spans="1:50" s="110" customFormat="1" ht="20" customHeight="1">
      <c r="A1163" s="125" t="s">
        <v>231</v>
      </c>
      <c r="B1163" s="126" t="s">
        <v>66</v>
      </c>
      <c r="C1163" s="127">
        <v>19239</v>
      </c>
      <c r="D1163" s="163">
        <v>115649</v>
      </c>
      <c r="E1163" s="164" t="s">
        <v>2286</v>
      </c>
      <c r="F1163" s="164" t="s">
        <v>2286</v>
      </c>
      <c r="G1163" s="165">
        <v>900</v>
      </c>
      <c r="H1163" s="165">
        <v>1</v>
      </c>
      <c r="I1163" s="164" t="s">
        <v>187</v>
      </c>
      <c r="J1163" s="164" t="s">
        <v>219</v>
      </c>
      <c r="K1163" s="164" t="s">
        <v>220</v>
      </c>
      <c r="L1163" s="165">
        <v>5</v>
      </c>
      <c r="M1163" s="165">
        <v>4</v>
      </c>
      <c r="N1163" s="164" t="s">
        <v>1977</v>
      </c>
      <c r="O1163" s="165">
        <v>0</v>
      </c>
      <c r="P1163" s="165">
        <v>0</v>
      </c>
      <c r="Q1163" s="165">
        <v>15</v>
      </c>
      <c r="R1163" s="164" t="s">
        <v>1628</v>
      </c>
      <c r="S1163" s="164" t="s">
        <v>1629</v>
      </c>
      <c r="T1163" s="165">
        <v>197</v>
      </c>
      <c r="U1163" s="164" t="s">
        <v>1630</v>
      </c>
      <c r="V1163" s="164" t="s">
        <v>1629</v>
      </c>
      <c r="W1163" s="165">
        <v>2</v>
      </c>
      <c r="X1163" s="165">
        <v>4</v>
      </c>
      <c r="Y1163" s="164" t="s">
        <v>203</v>
      </c>
      <c r="Z1163" s="164" t="s">
        <v>195</v>
      </c>
      <c r="AA1163" s="164" t="s">
        <v>196</v>
      </c>
      <c r="AB1163" s="164" t="s">
        <v>187</v>
      </c>
      <c r="AC1163" s="164" t="s">
        <v>187</v>
      </c>
      <c r="AD1163" s="165">
        <v>1</v>
      </c>
      <c r="AE1163" s="164" t="s">
        <v>187</v>
      </c>
      <c r="AF1163" s="165">
        <v>24.9138866507001</v>
      </c>
      <c r="AG1163" s="166">
        <v>67.074929714528693</v>
      </c>
      <c r="AO1163" s="121"/>
      <c r="AT1163" s="111"/>
      <c r="AX1163" s="121"/>
    </row>
    <row r="1164" spans="1:50" s="110" customFormat="1" ht="20" customHeight="1">
      <c r="A1164" s="125" t="s">
        <v>239</v>
      </c>
      <c r="B1164" s="126" t="s">
        <v>67</v>
      </c>
      <c r="C1164" s="127">
        <v>19247</v>
      </c>
      <c r="D1164" s="163">
        <v>115657</v>
      </c>
      <c r="E1164" s="164" t="s">
        <v>1627</v>
      </c>
      <c r="F1164" s="164" t="s">
        <v>1627</v>
      </c>
      <c r="G1164" s="165">
        <v>100</v>
      </c>
      <c r="H1164" s="165">
        <v>1</v>
      </c>
      <c r="I1164" s="164" t="s">
        <v>187</v>
      </c>
      <c r="J1164" s="164" t="s">
        <v>1567</v>
      </c>
      <c r="K1164" s="164" t="s">
        <v>1568</v>
      </c>
      <c r="L1164" s="165">
        <v>5</v>
      </c>
      <c r="M1164" s="165">
        <v>4</v>
      </c>
      <c r="N1164" s="164" t="s">
        <v>1977</v>
      </c>
      <c r="O1164" s="165">
        <v>0</v>
      </c>
      <c r="P1164" s="165">
        <v>0</v>
      </c>
      <c r="Q1164" s="165">
        <v>15</v>
      </c>
      <c r="R1164" s="164" t="s">
        <v>1628</v>
      </c>
      <c r="S1164" s="164" t="s">
        <v>1629</v>
      </c>
      <c r="T1164" s="165">
        <v>197</v>
      </c>
      <c r="U1164" s="164" t="s">
        <v>1630</v>
      </c>
      <c r="V1164" s="164" t="s">
        <v>1629</v>
      </c>
      <c r="W1164" s="165">
        <v>1</v>
      </c>
      <c r="X1164" s="165">
        <v>2</v>
      </c>
      <c r="Y1164" s="164" t="s">
        <v>194</v>
      </c>
      <c r="Z1164" s="164" t="s">
        <v>195</v>
      </c>
      <c r="AA1164" s="164" t="s">
        <v>196</v>
      </c>
      <c r="AB1164" s="164" t="s">
        <v>209</v>
      </c>
      <c r="AC1164" s="164" t="s">
        <v>187</v>
      </c>
      <c r="AD1164" s="165">
        <v>1</v>
      </c>
      <c r="AE1164" s="164" t="s">
        <v>187</v>
      </c>
      <c r="AF1164" s="165">
        <v>14.061998919438301</v>
      </c>
      <c r="AG1164" s="166">
        <v>121.755455850223</v>
      </c>
      <c r="AO1164" s="121"/>
      <c r="AT1164" s="111"/>
      <c r="AX1164" s="121"/>
    </row>
    <row r="1165" spans="1:50" s="110" customFormat="1" ht="20" customHeight="1">
      <c r="A1165" s="125" t="s">
        <v>478</v>
      </c>
      <c r="B1165" s="126" t="s">
        <v>56</v>
      </c>
      <c r="C1165" s="127">
        <v>19248</v>
      </c>
      <c r="D1165" s="163">
        <v>115658</v>
      </c>
      <c r="E1165" s="164" t="s">
        <v>1728</v>
      </c>
      <c r="F1165" s="164" t="s">
        <v>1728</v>
      </c>
      <c r="G1165" s="165">
        <v>200</v>
      </c>
      <c r="H1165" s="165">
        <v>1</v>
      </c>
      <c r="I1165" s="164" t="s">
        <v>187</v>
      </c>
      <c r="J1165" s="164" t="s">
        <v>1442</v>
      </c>
      <c r="K1165" s="164" t="s">
        <v>1443</v>
      </c>
      <c r="L1165" s="165">
        <v>5</v>
      </c>
      <c r="M1165" s="165">
        <v>4</v>
      </c>
      <c r="N1165" s="164" t="s">
        <v>1977</v>
      </c>
      <c r="O1165" s="165">
        <v>0</v>
      </c>
      <c r="P1165" s="165">
        <v>0</v>
      </c>
      <c r="Q1165" s="165">
        <v>15</v>
      </c>
      <c r="R1165" s="164" t="s">
        <v>1628</v>
      </c>
      <c r="S1165" s="164" t="s">
        <v>1629</v>
      </c>
      <c r="T1165" s="165">
        <v>197</v>
      </c>
      <c r="U1165" s="164" t="s">
        <v>1630</v>
      </c>
      <c r="V1165" s="164" t="s">
        <v>1629</v>
      </c>
      <c r="W1165" s="165">
        <v>1</v>
      </c>
      <c r="X1165" s="165">
        <v>2</v>
      </c>
      <c r="Y1165" s="164" t="s">
        <v>194</v>
      </c>
      <c r="Z1165" s="164" t="s">
        <v>195</v>
      </c>
      <c r="AA1165" s="164" t="s">
        <v>196</v>
      </c>
      <c r="AB1165" s="164" t="s">
        <v>187</v>
      </c>
      <c r="AC1165" s="164" t="s">
        <v>187</v>
      </c>
      <c r="AD1165" s="165">
        <v>1</v>
      </c>
      <c r="AE1165" s="164" t="s">
        <v>187</v>
      </c>
      <c r="AF1165" s="165">
        <v>14.502493586560799</v>
      </c>
      <c r="AG1165" s="166">
        <v>100.763516917651</v>
      </c>
      <c r="AO1165" s="121"/>
      <c r="AT1165" s="111"/>
      <c r="AX1165" s="121"/>
    </row>
    <row r="1166" spans="1:50" s="110" customFormat="1" ht="20" customHeight="1">
      <c r="A1166" s="125" t="s">
        <v>471</v>
      </c>
      <c r="B1166" s="126" t="s">
        <v>65</v>
      </c>
      <c r="C1166" s="127">
        <v>15194</v>
      </c>
      <c r="D1166" s="163">
        <v>109721</v>
      </c>
      <c r="E1166" s="164" t="s">
        <v>2649</v>
      </c>
      <c r="F1166" s="164" t="s">
        <v>2649</v>
      </c>
      <c r="G1166" s="165">
        <v>1800</v>
      </c>
      <c r="H1166" s="165">
        <v>1</v>
      </c>
      <c r="I1166" s="164" t="s">
        <v>187</v>
      </c>
      <c r="J1166" s="164" t="s">
        <v>2650</v>
      </c>
      <c r="K1166" s="164" t="s">
        <v>2649</v>
      </c>
      <c r="L1166" s="165">
        <v>1</v>
      </c>
      <c r="M1166" s="165">
        <v>4</v>
      </c>
      <c r="N1166" s="164" t="s">
        <v>1548</v>
      </c>
      <c r="O1166" s="165">
        <v>0</v>
      </c>
      <c r="P1166" s="165">
        <v>0</v>
      </c>
      <c r="Q1166" s="165">
        <v>20</v>
      </c>
      <c r="R1166" s="164" t="s">
        <v>574</v>
      </c>
      <c r="S1166" s="164" t="s">
        <v>575</v>
      </c>
      <c r="T1166" s="165">
        <v>297</v>
      </c>
      <c r="U1166" s="164" t="s">
        <v>1739</v>
      </c>
      <c r="V1166" s="164" t="s">
        <v>1740</v>
      </c>
      <c r="W1166" s="165">
        <v>2</v>
      </c>
      <c r="X1166" s="165">
        <v>2</v>
      </c>
      <c r="Y1166" s="164" t="s">
        <v>194</v>
      </c>
      <c r="Z1166" s="164" t="s">
        <v>195</v>
      </c>
      <c r="AA1166" s="164" t="s">
        <v>196</v>
      </c>
      <c r="AB1166" s="164" t="s">
        <v>187</v>
      </c>
      <c r="AC1166" s="164" t="s">
        <v>187</v>
      </c>
      <c r="AD1166" s="165">
        <v>1</v>
      </c>
      <c r="AE1166" s="164" t="s">
        <v>187</v>
      </c>
      <c r="AF1166" s="165">
        <v>18.56485</v>
      </c>
      <c r="AG1166" s="166">
        <v>104.65506999999999</v>
      </c>
      <c r="AO1166" s="121"/>
      <c r="AT1166" s="111"/>
      <c r="AX1166" s="121"/>
    </row>
    <row r="1167" spans="1:50" s="110" customFormat="1" ht="20" customHeight="1">
      <c r="A1167" s="125" t="s">
        <v>480</v>
      </c>
      <c r="B1167" s="126" t="s">
        <v>63</v>
      </c>
      <c r="C1167" s="127">
        <v>15194</v>
      </c>
      <c r="D1167" s="163">
        <v>109721</v>
      </c>
      <c r="E1167" s="164" t="s">
        <v>2649</v>
      </c>
      <c r="F1167" s="164" t="s">
        <v>2649</v>
      </c>
      <c r="G1167" s="165">
        <v>10000</v>
      </c>
      <c r="H1167" s="165">
        <v>1</v>
      </c>
      <c r="I1167" s="164" t="s">
        <v>187</v>
      </c>
      <c r="J1167" s="164" t="s">
        <v>2650</v>
      </c>
      <c r="K1167" s="164" t="s">
        <v>2649</v>
      </c>
      <c r="L1167" s="165">
        <v>1</v>
      </c>
      <c r="M1167" s="165">
        <v>4</v>
      </c>
      <c r="N1167" s="164" t="s">
        <v>1548</v>
      </c>
      <c r="O1167" s="165">
        <v>0</v>
      </c>
      <c r="P1167" s="165">
        <v>0</v>
      </c>
      <c r="Q1167" s="165">
        <v>20</v>
      </c>
      <c r="R1167" s="164" t="s">
        <v>574</v>
      </c>
      <c r="S1167" s="164" t="s">
        <v>575</v>
      </c>
      <c r="T1167" s="165">
        <v>297</v>
      </c>
      <c r="U1167" s="164" t="s">
        <v>1739</v>
      </c>
      <c r="V1167" s="164" t="s">
        <v>1740</v>
      </c>
      <c r="W1167" s="165">
        <v>2</v>
      </c>
      <c r="X1167" s="165">
        <v>2</v>
      </c>
      <c r="Y1167" s="164" t="s">
        <v>194</v>
      </c>
      <c r="Z1167" s="164" t="s">
        <v>195</v>
      </c>
      <c r="AA1167" s="164" t="s">
        <v>196</v>
      </c>
      <c r="AB1167" s="164" t="s">
        <v>187</v>
      </c>
      <c r="AC1167" s="164" t="s">
        <v>187</v>
      </c>
      <c r="AD1167" s="165">
        <v>1</v>
      </c>
      <c r="AE1167" s="164" t="s">
        <v>187</v>
      </c>
      <c r="AF1167" s="165">
        <v>19.229838999999998</v>
      </c>
      <c r="AG1167" s="166">
        <v>104.924415</v>
      </c>
      <c r="AO1167" s="121"/>
      <c r="AT1167" s="111"/>
      <c r="AX1167" s="121"/>
    </row>
    <row r="1168" spans="1:50" s="110" customFormat="1" ht="20" customHeight="1">
      <c r="A1168" s="125" t="s">
        <v>480</v>
      </c>
      <c r="B1168" s="126" t="s">
        <v>63</v>
      </c>
      <c r="C1168" s="127">
        <v>12945</v>
      </c>
      <c r="D1168" s="163">
        <v>105568</v>
      </c>
      <c r="E1168" s="164" t="s">
        <v>3343</v>
      </c>
      <c r="F1168" s="164" t="s">
        <v>3343</v>
      </c>
      <c r="G1168" s="165">
        <v>9000</v>
      </c>
      <c r="H1168" s="165">
        <v>1</v>
      </c>
      <c r="I1168" s="164" t="s">
        <v>187</v>
      </c>
      <c r="J1168" s="164" t="s">
        <v>3555</v>
      </c>
      <c r="K1168" s="164" t="s">
        <v>3343</v>
      </c>
      <c r="L1168" s="165">
        <v>0</v>
      </c>
      <c r="M1168" s="165">
        <v>4</v>
      </c>
      <c r="N1168" s="164" t="s">
        <v>1548</v>
      </c>
      <c r="O1168" s="165">
        <v>0.5</v>
      </c>
      <c r="P1168" s="165">
        <v>0.08</v>
      </c>
      <c r="Q1168" s="165">
        <v>20</v>
      </c>
      <c r="R1168" s="164" t="s">
        <v>574</v>
      </c>
      <c r="S1168" s="164" t="s">
        <v>575</v>
      </c>
      <c r="T1168" s="165">
        <v>297</v>
      </c>
      <c r="U1168" s="164" t="s">
        <v>1739</v>
      </c>
      <c r="V1168" s="164" t="s">
        <v>1740</v>
      </c>
      <c r="W1168" s="165">
        <v>1</v>
      </c>
      <c r="X1168" s="165">
        <v>2</v>
      </c>
      <c r="Y1168" s="164" t="s">
        <v>194</v>
      </c>
      <c r="Z1168" s="164" t="s">
        <v>195</v>
      </c>
      <c r="AA1168" s="164" t="s">
        <v>196</v>
      </c>
      <c r="AB1168" s="164" t="s">
        <v>187</v>
      </c>
      <c r="AC1168" s="164" t="s">
        <v>187</v>
      </c>
      <c r="AD1168" s="165">
        <v>1</v>
      </c>
      <c r="AE1168" s="164" t="s">
        <v>209</v>
      </c>
      <c r="AF1168" s="165">
        <v>21.601369999999999</v>
      </c>
      <c r="AG1168" s="166">
        <v>103.88646</v>
      </c>
      <c r="AO1168" s="121"/>
      <c r="AT1168" s="111"/>
      <c r="AX1168" s="121"/>
    </row>
    <row r="1169" spans="1:50" s="110" customFormat="1" ht="20" customHeight="1">
      <c r="A1169" s="125" t="s">
        <v>480</v>
      </c>
      <c r="B1169" s="126" t="s">
        <v>63</v>
      </c>
      <c r="C1169" s="127">
        <v>19527</v>
      </c>
      <c r="D1169" s="163">
        <v>115107</v>
      </c>
      <c r="E1169" s="164" t="s">
        <v>2681</v>
      </c>
      <c r="F1169" s="164" t="s">
        <v>2681</v>
      </c>
      <c r="G1169" s="165">
        <v>1900</v>
      </c>
      <c r="H1169" s="165">
        <v>1</v>
      </c>
      <c r="I1169" s="164" t="s">
        <v>187</v>
      </c>
      <c r="J1169" s="164" t="s">
        <v>2682</v>
      </c>
      <c r="K1169" s="164" t="s">
        <v>2681</v>
      </c>
      <c r="L1169" s="165">
        <v>0</v>
      </c>
      <c r="M1169" s="165">
        <v>4</v>
      </c>
      <c r="N1169" s="164" t="s">
        <v>1548</v>
      </c>
      <c r="O1169" s="165">
        <v>0</v>
      </c>
      <c r="P1169" s="165">
        <v>0</v>
      </c>
      <c r="Q1169" s="165">
        <v>20</v>
      </c>
      <c r="R1169" s="164" t="s">
        <v>574</v>
      </c>
      <c r="S1169" s="164" t="s">
        <v>575</v>
      </c>
      <c r="T1169" s="165">
        <v>297</v>
      </c>
      <c r="U1169" s="164" t="s">
        <v>1739</v>
      </c>
      <c r="V1169" s="164" t="s">
        <v>1740</v>
      </c>
      <c r="W1169" s="165">
        <v>1</v>
      </c>
      <c r="X1169" s="165">
        <v>2</v>
      </c>
      <c r="Y1169" s="164" t="s">
        <v>194</v>
      </c>
      <c r="Z1169" s="164" t="s">
        <v>195</v>
      </c>
      <c r="AA1169" s="164" t="s">
        <v>196</v>
      </c>
      <c r="AB1169" s="164" t="s">
        <v>187</v>
      </c>
      <c r="AC1169" s="164" t="s">
        <v>187</v>
      </c>
      <c r="AD1169" s="165">
        <v>1</v>
      </c>
      <c r="AE1169" s="164" t="s">
        <v>187</v>
      </c>
      <c r="AF1169" s="165">
        <v>22.563420000000001</v>
      </c>
      <c r="AG1169" s="166">
        <v>104.69799999999999</v>
      </c>
      <c r="AO1169" s="121"/>
      <c r="AT1169" s="111"/>
      <c r="AX1169" s="121"/>
    </row>
    <row r="1170" spans="1:50" s="110" customFormat="1" ht="20" customHeight="1">
      <c r="A1170" s="125" t="s">
        <v>480</v>
      </c>
      <c r="B1170" s="126" t="s">
        <v>63</v>
      </c>
      <c r="C1170" s="127">
        <v>18940</v>
      </c>
      <c r="D1170" s="163">
        <v>115108</v>
      </c>
      <c r="E1170" s="164" t="s">
        <v>1738</v>
      </c>
      <c r="F1170" s="164" t="s">
        <v>1738</v>
      </c>
      <c r="G1170" s="165">
        <v>200</v>
      </c>
      <c r="H1170" s="165">
        <v>1</v>
      </c>
      <c r="I1170" s="164" t="s">
        <v>187</v>
      </c>
      <c r="J1170" s="164" t="s">
        <v>738</v>
      </c>
      <c r="K1170" s="164" t="s">
        <v>739</v>
      </c>
      <c r="L1170" s="165">
        <v>5</v>
      </c>
      <c r="M1170" s="165">
        <v>4</v>
      </c>
      <c r="N1170" s="164" t="s">
        <v>1548</v>
      </c>
      <c r="O1170" s="165">
        <v>0</v>
      </c>
      <c r="P1170" s="165">
        <v>0</v>
      </c>
      <c r="Q1170" s="165">
        <v>20</v>
      </c>
      <c r="R1170" s="164" t="s">
        <v>574</v>
      </c>
      <c r="S1170" s="164" t="s">
        <v>575</v>
      </c>
      <c r="T1170" s="165">
        <v>297</v>
      </c>
      <c r="U1170" s="164" t="s">
        <v>1739</v>
      </c>
      <c r="V1170" s="164" t="s">
        <v>1740</v>
      </c>
      <c r="W1170" s="165">
        <v>1</v>
      </c>
      <c r="X1170" s="165">
        <v>2</v>
      </c>
      <c r="Y1170" s="164" t="s">
        <v>194</v>
      </c>
      <c r="Z1170" s="164" t="s">
        <v>195</v>
      </c>
      <c r="AA1170" s="164" t="s">
        <v>196</v>
      </c>
      <c r="AB1170" s="164" t="s">
        <v>187</v>
      </c>
      <c r="AC1170" s="164" t="s">
        <v>187</v>
      </c>
      <c r="AD1170" s="165">
        <v>1</v>
      </c>
      <c r="AE1170" s="164" t="s">
        <v>187</v>
      </c>
      <c r="AF1170" s="165">
        <v>23.189450000000001</v>
      </c>
      <c r="AG1170" s="166">
        <v>104.99377</v>
      </c>
      <c r="AO1170" s="121"/>
      <c r="AT1170" s="111"/>
      <c r="AX1170" s="121"/>
    </row>
    <row r="1171" spans="1:50" s="110" customFormat="1" ht="20" customHeight="1">
      <c r="A1171" s="125" t="s">
        <v>480</v>
      </c>
      <c r="B1171" s="126" t="s">
        <v>63</v>
      </c>
      <c r="C1171" s="127">
        <v>19368</v>
      </c>
      <c r="D1171" s="163">
        <v>115109</v>
      </c>
      <c r="E1171" s="164" t="s">
        <v>1741</v>
      </c>
      <c r="F1171" s="164" t="s">
        <v>1741</v>
      </c>
      <c r="G1171" s="165">
        <v>200</v>
      </c>
      <c r="H1171" s="165">
        <v>1</v>
      </c>
      <c r="I1171" s="164" t="s">
        <v>187</v>
      </c>
      <c r="J1171" s="164" t="s">
        <v>1742</v>
      </c>
      <c r="K1171" s="164" t="s">
        <v>1743</v>
      </c>
      <c r="L1171" s="165">
        <v>0</v>
      </c>
      <c r="M1171" s="165">
        <v>4</v>
      </c>
      <c r="N1171" s="164" t="s">
        <v>1548</v>
      </c>
      <c r="O1171" s="165">
        <v>0</v>
      </c>
      <c r="P1171" s="165">
        <v>0</v>
      </c>
      <c r="Q1171" s="165">
        <v>20</v>
      </c>
      <c r="R1171" s="164" t="s">
        <v>574</v>
      </c>
      <c r="S1171" s="164" t="s">
        <v>575</v>
      </c>
      <c r="T1171" s="165">
        <v>297</v>
      </c>
      <c r="U1171" s="164" t="s">
        <v>1739</v>
      </c>
      <c r="V1171" s="164" t="s">
        <v>1740</v>
      </c>
      <c r="W1171" s="165">
        <v>1</v>
      </c>
      <c r="X1171" s="165">
        <v>2</v>
      </c>
      <c r="Y1171" s="164" t="s">
        <v>194</v>
      </c>
      <c r="Z1171" s="164" t="s">
        <v>195</v>
      </c>
      <c r="AA1171" s="164" t="s">
        <v>196</v>
      </c>
      <c r="AB1171" s="164" t="s">
        <v>187</v>
      </c>
      <c r="AC1171" s="164" t="s">
        <v>187</v>
      </c>
      <c r="AD1171" s="165">
        <v>1</v>
      </c>
      <c r="AE1171" s="164" t="s">
        <v>187</v>
      </c>
      <c r="AF1171" s="165">
        <v>23.01089</v>
      </c>
      <c r="AG1171" s="166">
        <v>105.09350000000001</v>
      </c>
      <c r="AO1171" s="121"/>
      <c r="AT1171" s="111"/>
      <c r="AX1171" s="121"/>
    </row>
    <row r="1172" spans="1:50" s="110" customFormat="1" ht="20" customHeight="1">
      <c r="A1172" s="125" t="s">
        <v>480</v>
      </c>
      <c r="B1172" s="126" t="s">
        <v>63</v>
      </c>
      <c r="C1172" s="127">
        <v>15308</v>
      </c>
      <c r="D1172" s="163">
        <v>109908</v>
      </c>
      <c r="E1172" s="164" t="s">
        <v>4911</v>
      </c>
      <c r="F1172" s="164" t="s">
        <v>4911</v>
      </c>
      <c r="G1172" s="168"/>
      <c r="H1172" s="165">
        <v>1</v>
      </c>
      <c r="I1172" s="164" t="s">
        <v>187</v>
      </c>
      <c r="J1172" s="164" t="s">
        <v>4912</v>
      </c>
      <c r="K1172" s="164" t="s">
        <v>4911</v>
      </c>
      <c r="L1172" s="165">
        <v>1</v>
      </c>
      <c r="M1172" s="165">
        <v>4</v>
      </c>
      <c r="N1172" s="164" t="s">
        <v>1548</v>
      </c>
      <c r="O1172" s="165">
        <v>4</v>
      </c>
      <c r="P1172" s="165">
        <v>1</v>
      </c>
      <c r="Q1172" s="165">
        <v>20</v>
      </c>
      <c r="R1172" s="164" t="s">
        <v>574</v>
      </c>
      <c r="S1172" s="164" t="s">
        <v>575</v>
      </c>
      <c r="T1172" s="165">
        <v>297</v>
      </c>
      <c r="U1172" s="164" t="s">
        <v>1739</v>
      </c>
      <c r="V1172" s="164" t="s">
        <v>1740</v>
      </c>
      <c r="W1172" s="165">
        <v>1</v>
      </c>
      <c r="X1172" s="165">
        <v>2</v>
      </c>
      <c r="Y1172" s="164" t="s">
        <v>194</v>
      </c>
      <c r="Z1172" s="164" t="s">
        <v>195</v>
      </c>
      <c r="AA1172" s="164" t="s">
        <v>196</v>
      </c>
      <c r="AB1172" s="164" t="s">
        <v>187</v>
      </c>
      <c r="AC1172" s="164" t="s">
        <v>187</v>
      </c>
      <c r="AD1172" s="168"/>
      <c r="AE1172" s="164" t="s">
        <v>209</v>
      </c>
      <c r="AF1172" s="165">
        <v>21.383659999999999</v>
      </c>
      <c r="AG1172" s="166">
        <v>104.00744</v>
      </c>
      <c r="AO1172" s="121"/>
      <c r="AT1172" s="111"/>
      <c r="AX1172" s="121"/>
    </row>
    <row r="1173" spans="1:50" s="110" customFormat="1" ht="20" customHeight="1">
      <c r="A1173" s="125" t="s">
        <v>185</v>
      </c>
      <c r="B1173" s="126" t="s">
        <v>59</v>
      </c>
      <c r="C1173" s="127">
        <v>10602</v>
      </c>
      <c r="D1173" s="157">
        <v>100838</v>
      </c>
      <c r="E1173" s="158" t="s">
        <v>4329</v>
      </c>
      <c r="F1173" s="158" t="s">
        <v>4329</v>
      </c>
      <c r="G1173" s="159">
        <v>37000</v>
      </c>
      <c r="H1173" s="159">
        <v>2</v>
      </c>
      <c r="I1173" s="158" t="s">
        <v>209</v>
      </c>
      <c r="J1173" s="158" t="s">
        <v>4330</v>
      </c>
      <c r="K1173" s="158" t="s">
        <v>4329</v>
      </c>
      <c r="L1173" s="159">
        <v>4</v>
      </c>
      <c r="M1173" s="159">
        <v>4</v>
      </c>
      <c r="N1173" s="158" t="s">
        <v>1548</v>
      </c>
      <c r="O1173" s="159">
        <v>20</v>
      </c>
      <c r="P1173" s="159">
        <v>0.3</v>
      </c>
      <c r="Q1173" s="159">
        <v>17</v>
      </c>
      <c r="R1173" s="158" t="s">
        <v>190</v>
      </c>
      <c r="S1173" s="158" t="s">
        <v>191</v>
      </c>
      <c r="T1173" s="159">
        <v>198</v>
      </c>
      <c r="U1173" s="158" t="s">
        <v>263</v>
      </c>
      <c r="V1173" s="158" t="s">
        <v>264</v>
      </c>
      <c r="W1173" s="159">
        <v>1</v>
      </c>
      <c r="X1173" s="159">
        <v>2</v>
      </c>
      <c r="Y1173" s="158" t="s">
        <v>194</v>
      </c>
      <c r="Z1173" s="158" t="s">
        <v>195</v>
      </c>
      <c r="AA1173" s="158" t="s">
        <v>196</v>
      </c>
      <c r="AB1173" s="158" t="s">
        <v>187</v>
      </c>
      <c r="AC1173" s="158" t="s">
        <v>187</v>
      </c>
      <c r="AD1173" s="160"/>
      <c r="AE1173" s="158" t="s">
        <v>209</v>
      </c>
      <c r="AF1173" s="159">
        <v>-0.84836999999999996</v>
      </c>
      <c r="AG1173" s="161">
        <v>123.303</v>
      </c>
      <c r="AO1173" s="121"/>
      <c r="AT1173" s="111"/>
      <c r="AX1173" s="121"/>
    </row>
    <row r="1174" spans="1:50" s="110" customFormat="1" ht="20" customHeight="1">
      <c r="A1174" s="125" t="s">
        <v>1620</v>
      </c>
      <c r="B1174" s="126" t="s">
        <v>61</v>
      </c>
      <c r="C1174" s="127">
        <v>14250</v>
      </c>
      <c r="D1174" s="128">
        <v>107734</v>
      </c>
      <c r="E1174" s="129" t="s">
        <v>2856</v>
      </c>
      <c r="F1174" s="129" t="s">
        <v>2856</v>
      </c>
      <c r="G1174" s="130">
        <v>144000</v>
      </c>
      <c r="H1174" s="130">
        <v>5</v>
      </c>
      <c r="I1174" s="129" t="s">
        <v>209</v>
      </c>
      <c r="J1174" s="129" t="s">
        <v>2857</v>
      </c>
      <c r="K1174" s="129" t="s">
        <v>2858</v>
      </c>
      <c r="L1174" s="130">
        <v>5</v>
      </c>
      <c r="M1174" s="130">
        <v>4</v>
      </c>
      <c r="N1174" s="129" t="s">
        <v>1548</v>
      </c>
      <c r="O1174" s="130">
        <v>30</v>
      </c>
      <c r="P1174" s="130">
        <v>22</v>
      </c>
      <c r="Q1174" s="130">
        <v>23</v>
      </c>
      <c r="R1174" s="129" t="s">
        <v>1623</v>
      </c>
      <c r="S1174" s="129" t="s">
        <v>1624</v>
      </c>
      <c r="T1174" s="130">
        <v>200</v>
      </c>
      <c r="U1174" s="129" t="s">
        <v>2234</v>
      </c>
      <c r="V1174" s="129" t="s">
        <v>2235</v>
      </c>
      <c r="W1174" s="130">
        <v>2</v>
      </c>
      <c r="X1174" s="130">
        <v>2</v>
      </c>
      <c r="Y1174" s="129" t="s">
        <v>194</v>
      </c>
      <c r="Z1174" s="129" t="s">
        <v>195</v>
      </c>
      <c r="AA1174" s="129" t="s">
        <v>196</v>
      </c>
      <c r="AB1174" s="129" t="s">
        <v>187</v>
      </c>
      <c r="AC1174" s="129" t="s">
        <v>187</v>
      </c>
      <c r="AD1174" s="131"/>
      <c r="AE1174" s="129" t="s">
        <v>209</v>
      </c>
      <c r="AF1174" s="130">
        <v>19.833210000000001</v>
      </c>
      <c r="AG1174" s="132">
        <v>96.904480000000007</v>
      </c>
      <c r="AO1174" s="121"/>
      <c r="AT1174" s="111"/>
      <c r="AX1174" s="121"/>
    </row>
    <row r="1175" spans="1:50" s="110" customFormat="1" ht="20" customHeight="1">
      <c r="A1175" s="125" t="s">
        <v>1620</v>
      </c>
      <c r="B1175" s="126" t="s">
        <v>61</v>
      </c>
      <c r="C1175" s="127">
        <v>14533</v>
      </c>
      <c r="D1175" s="128">
        <v>108338</v>
      </c>
      <c r="E1175" s="129" t="s">
        <v>2761</v>
      </c>
      <c r="F1175" s="129" t="s">
        <v>2761</v>
      </c>
      <c r="G1175" s="130">
        <v>24000</v>
      </c>
      <c r="H1175" s="130">
        <v>5</v>
      </c>
      <c r="I1175" s="129" t="s">
        <v>209</v>
      </c>
      <c r="J1175" s="129" t="s">
        <v>2762</v>
      </c>
      <c r="K1175" s="129" t="s">
        <v>2763</v>
      </c>
      <c r="L1175" s="130">
        <v>3</v>
      </c>
      <c r="M1175" s="130">
        <v>4</v>
      </c>
      <c r="N1175" s="129" t="s">
        <v>1548</v>
      </c>
      <c r="O1175" s="130">
        <v>27</v>
      </c>
      <c r="P1175" s="130">
        <v>18</v>
      </c>
      <c r="Q1175" s="130">
        <v>23</v>
      </c>
      <c r="R1175" s="129" t="s">
        <v>1623</v>
      </c>
      <c r="S1175" s="129" t="s">
        <v>1624</v>
      </c>
      <c r="T1175" s="130">
        <v>200</v>
      </c>
      <c r="U1175" s="129" t="s">
        <v>2234</v>
      </c>
      <c r="V1175" s="129" t="s">
        <v>2235</v>
      </c>
      <c r="W1175" s="130">
        <v>2</v>
      </c>
      <c r="X1175" s="130">
        <v>2</v>
      </c>
      <c r="Y1175" s="129" t="s">
        <v>194</v>
      </c>
      <c r="Z1175" s="129" t="s">
        <v>195</v>
      </c>
      <c r="AA1175" s="129" t="s">
        <v>196</v>
      </c>
      <c r="AB1175" s="129" t="s">
        <v>187</v>
      </c>
      <c r="AC1175" s="129" t="s">
        <v>187</v>
      </c>
      <c r="AD1175" s="131"/>
      <c r="AE1175" s="129" t="s">
        <v>209</v>
      </c>
      <c r="AF1175" s="130">
        <v>19.507940000000001</v>
      </c>
      <c r="AG1175" s="132">
        <v>97.825040000000001</v>
      </c>
      <c r="AO1175" s="121"/>
      <c r="AT1175" s="111"/>
      <c r="AX1175" s="121"/>
    </row>
    <row r="1176" spans="1:50" s="110" customFormat="1" ht="20" customHeight="1">
      <c r="A1176" s="125" t="s">
        <v>1620</v>
      </c>
      <c r="B1176" s="126" t="s">
        <v>61</v>
      </c>
      <c r="C1176" s="127">
        <v>15091</v>
      </c>
      <c r="D1176" s="128">
        <v>109556</v>
      </c>
      <c r="E1176" s="129" t="s">
        <v>3814</v>
      </c>
      <c r="F1176" s="129" t="s">
        <v>3814</v>
      </c>
      <c r="G1176" s="130">
        <v>13000</v>
      </c>
      <c r="H1176" s="130">
        <v>5</v>
      </c>
      <c r="I1176" s="129" t="s">
        <v>209</v>
      </c>
      <c r="J1176" s="129" t="s">
        <v>3815</v>
      </c>
      <c r="K1176" s="129" t="s">
        <v>3816</v>
      </c>
      <c r="L1176" s="130">
        <v>1</v>
      </c>
      <c r="M1176" s="130">
        <v>4</v>
      </c>
      <c r="N1176" s="129" t="s">
        <v>1548</v>
      </c>
      <c r="O1176" s="130">
        <v>22</v>
      </c>
      <c r="P1176" s="130">
        <v>15</v>
      </c>
      <c r="Q1176" s="130">
        <v>23</v>
      </c>
      <c r="R1176" s="129" t="s">
        <v>1623</v>
      </c>
      <c r="S1176" s="129" t="s">
        <v>1624</v>
      </c>
      <c r="T1176" s="130">
        <v>200</v>
      </c>
      <c r="U1176" s="129" t="s">
        <v>2234</v>
      </c>
      <c r="V1176" s="129" t="s">
        <v>2235</v>
      </c>
      <c r="W1176" s="130">
        <v>1</v>
      </c>
      <c r="X1176" s="130">
        <v>2</v>
      </c>
      <c r="Y1176" s="129" t="s">
        <v>194</v>
      </c>
      <c r="Z1176" s="129" t="s">
        <v>195</v>
      </c>
      <c r="AA1176" s="129" t="s">
        <v>196</v>
      </c>
      <c r="AB1176" s="129" t="s">
        <v>187</v>
      </c>
      <c r="AC1176" s="129" t="s">
        <v>187</v>
      </c>
      <c r="AD1176" s="131"/>
      <c r="AE1176" s="129" t="s">
        <v>209</v>
      </c>
      <c r="AF1176" s="130">
        <v>20.083320000000001</v>
      </c>
      <c r="AG1176" s="132">
        <v>97.916650000000004</v>
      </c>
      <c r="AO1176" s="121"/>
      <c r="AT1176" s="111"/>
      <c r="AX1176" s="121"/>
    </row>
    <row r="1177" spans="1:50" s="110" customFormat="1" ht="20" customHeight="1">
      <c r="A1177" s="125" t="s">
        <v>478</v>
      </c>
      <c r="B1177" s="126" t="s">
        <v>56</v>
      </c>
      <c r="C1177" s="127">
        <v>20333</v>
      </c>
      <c r="D1177" s="157">
        <v>110820</v>
      </c>
      <c r="E1177" s="158" t="s">
        <v>4563</v>
      </c>
      <c r="F1177" s="158" t="s">
        <v>4563</v>
      </c>
      <c r="G1177" s="159">
        <v>84000</v>
      </c>
      <c r="H1177" s="159">
        <v>2</v>
      </c>
      <c r="I1177" s="158" t="s">
        <v>209</v>
      </c>
      <c r="J1177" s="158" t="s">
        <v>4564</v>
      </c>
      <c r="K1177" s="158" t="s">
        <v>4563</v>
      </c>
      <c r="L1177" s="159">
        <v>5</v>
      </c>
      <c r="M1177" s="159">
        <v>4</v>
      </c>
      <c r="N1177" s="158" t="s">
        <v>1548</v>
      </c>
      <c r="O1177" s="159">
        <v>12</v>
      </c>
      <c r="P1177" s="159">
        <v>2</v>
      </c>
      <c r="Q1177" s="159">
        <v>23</v>
      </c>
      <c r="R1177" s="158" t="s">
        <v>1623</v>
      </c>
      <c r="S1177" s="158" t="s">
        <v>1624</v>
      </c>
      <c r="T1177" s="159">
        <v>200</v>
      </c>
      <c r="U1177" s="158" t="s">
        <v>2234</v>
      </c>
      <c r="V1177" s="158" t="s">
        <v>2235</v>
      </c>
      <c r="W1177" s="159">
        <v>1</v>
      </c>
      <c r="X1177" s="159">
        <v>2</v>
      </c>
      <c r="Y1177" s="158" t="s">
        <v>194</v>
      </c>
      <c r="Z1177" s="158" t="s">
        <v>195</v>
      </c>
      <c r="AA1177" s="158" t="s">
        <v>196</v>
      </c>
      <c r="AB1177" s="158" t="s">
        <v>187</v>
      </c>
      <c r="AC1177" s="158" t="s">
        <v>187</v>
      </c>
      <c r="AD1177" s="160"/>
      <c r="AE1177" s="158" t="s">
        <v>209</v>
      </c>
      <c r="AF1177" s="159">
        <v>17.882992000000002</v>
      </c>
      <c r="AG1177" s="161">
        <v>97.762839</v>
      </c>
      <c r="AO1177" s="121"/>
      <c r="AT1177" s="111"/>
      <c r="AX1177" s="121"/>
    </row>
    <row r="1178" spans="1:50" s="110" customFormat="1" ht="20" customHeight="1">
      <c r="A1178" s="125" t="s">
        <v>478</v>
      </c>
      <c r="B1178" s="126" t="s">
        <v>56</v>
      </c>
      <c r="C1178" s="127">
        <v>14490</v>
      </c>
      <c r="D1178" s="157">
        <v>116050</v>
      </c>
      <c r="E1178" s="158" t="s">
        <v>3347</v>
      </c>
      <c r="F1178" s="158" t="s">
        <v>3347</v>
      </c>
      <c r="G1178" s="159">
        <v>6300</v>
      </c>
      <c r="H1178" s="159">
        <v>2</v>
      </c>
      <c r="I1178" s="158" t="s">
        <v>209</v>
      </c>
      <c r="J1178" s="158" t="s">
        <v>3348</v>
      </c>
      <c r="K1178" s="158" t="s">
        <v>3349</v>
      </c>
      <c r="L1178" s="159">
        <v>1</v>
      </c>
      <c r="M1178" s="159">
        <v>4</v>
      </c>
      <c r="N1178" s="158" t="s">
        <v>1548</v>
      </c>
      <c r="O1178" s="159">
        <v>10</v>
      </c>
      <c r="P1178" s="159">
        <v>1</v>
      </c>
      <c r="Q1178" s="159">
        <v>23</v>
      </c>
      <c r="R1178" s="158" t="s">
        <v>1623</v>
      </c>
      <c r="S1178" s="158" t="s">
        <v>1624</v>
      </c>
      <c r="T1178" s="159">
        <v>200</v>
      </c>
      <c r="U1178" s="158" t="s">
        <v>2234</v>
      </c>
      <c r="V1178" s="158" t="s">
        <v>2235</v>
      </c>
      <c r="W1178" s="159">
        <v>1</v>
      </c>
      <c r="X1178" s="159">
        <v>2</v>
      </c>
      <c r="Y1178" s="158" t="s">
        <v>194</v>
      </c>
      <c r="Z1178" s="158" t="s">
        <v>195</v>
      </c>
      <c r="AA1178" s="158" t="s">
        <v>196</v>
      </c>
      <c r="AB1178" s="158" t="s">
        <v>187</v>
      </c>
      <c r="AC1178" s="158" t="s">
        <v>187</v>
      </c>
      <c r="AD1178" s="160"/>
      <c r="AE1178" s="158" t="s">
        <v>209</v>
      </c>
      <c r="AF1178" s="159">
        <v>17.98554</v>
      </c>
      <c r="AG1178" s="161">
        <v>99.627669999999995</v>
      </c>
      <c r="AO1178" s="121"/>
      <c r="AT1178" s="111"/>
      <c r="AX1178" s="121"/>
    </row>
    <row r="1179" spans="1:50" s="110" customFormat="1" ht="20" customHeight="1">
      <c r="A1179" s="125" t="s">
        <v>478</v>
      </c>
      <c r="B1179" s="126" t="s">
        <v>56</v>
      </c>
      <c r="C1179" s="127">
        <v>14250</v>
      </c>
      <c r="D1179" s="157">
        <v>107734</v>
      </c>
      <c r="E1179" s="158" t="s">
        <v>2856</v>
      </c>
      <c r="F1179" s="158" t="s">
        <v>2856</v>
      </c>
      <c r="G1179" s="159">
        <v>2800</v>
      </c>
      <c r="H1179" s="159">
        <v>2</v>
      </c>
      <c r="I1179" s="158" t="s">
        <v>209</v>
      </c>
      <c r="J1179" s="158" t="s">
        <v>2857</v>
      </c>
      <c r="K1179" s="158" t="s">
        <v>2858</v>
      </c>
      <c r="L1179" s="159">
        <v>5</v>
      </c>
      <c r="M1179" s="159">
        <v>4</v>
      </c>
      <c r="N1179" s="158" t="s">
        <v>1548</v>
      </c>
      <c r="O1179" s="159">
        <v>25</v>
      </c>
      <c r="P1179" s="159">
        <v>1.5</v>
      </c>
      <c r="Q1179" s="159">
        <v>23</v>
      </c>
      <c r="R1179" s="158" t="s">
        <v>1623</v>
      </c>
      <c r="S1179" s="158" t="s">
        <v>1624</v>
      </c>
      <c r="T1179" s="159">
        <v>200</v>
      </c>
      <c r="U1179" s="158" t="s">
        <v>2234</v>
      </c>
      <c r="V1179" s="158" t="s">
        <v>2235</v>
      </c>
      <c r="W1179" s="159">
        <v>2</v>
      </c>
      <c r="X1179" s="159">
        <v>2</v>
      </c>
      <c r="Y1179" s="158" t="s">
        <v>194</v>
      </c>
      <c r="Z1179" s="158" t="s">
        <v>195</v>
      </c>
      <c r="AA1179" s="158" t="s">
        <v>196</v>
      </c>
      <c r="AB1179" s="158" t="s">
        <v>187</v>
      </c>
      <c r="AC1179" s="158" t="s">
        <v>209</v>
      </c>
      <c r="AD1179" s="160"/>
      <c r="AE1179" s="158" t="s">
        <v>209</v>
      </c>
      <c r="AF1179" s="159">
        <v>19.182549999999999</v>
      </c>
      <c r="AG1179" s="161">
        <v>97.879900000000006</v>
      </c>
      <c r="AO1179" s="121"/>
      <c r="AT1179" s="111"/>
      <c r="AX1179" s="121"/>
    </row>
    <row r="1180" spans="1:50" s="110" customFormat="1" ht="20" customHeight="1">
      <c r="A1180" s="125" t="s">
        <v>478</v>
      </c>
      <c r="B1180" s="126" t="s">
        <v>56</v>
      </c>
      <c r="C1180" s="127">
        <v>14533</v>
      </c>
      <c r="D1180" s="128">
        <v>108338</v>
      </c>
      <c r="E1180" s="129" t="s">
        <v>2761</v>
      </c>
      <c r="F1180" s="129" t="s">
        <v>2761</v>
      </c>
      <c r="G1180" s="130">
        <v>2200</v>
      </c>
      <c r="H1180" s="130">
        <v>5</v>
      </c>
      <c r="I1180" s="129" t="s">
        <v>209</v>
      </c>
      <c r="J1180" s="129" t="s">
        <v>2762</v>
      </c>
      <c r="K1180" s="129" t="s">
        <v>2763</v>
      </c>
      <c r="L1180" s="130">
        <v>3</v>
      </c>
      <c r="M1180" s="130">
        <v>4</v>
      </c>
      <c r="N1180" s="129" t="s">
        <v>1548</v>
      </c>
      <c r="O1180" s="130">
        <v>20</v>
      </c>
      <c r="P1180" s="130">
        <v>17</v>
      </c>
      <c r="Q1180" s="130">
        <v>23</v>
      </c>
      <c r="R1180" s="129" t="s">
        <v>1623</v>
      </c>
      <c r="S1180" s="129" t="s">
        <v>1624</v>
      </c>
      <c r="T1180" s="130">
        <v>200</v>
      </c>
      <c r="U1180" s="129" t="s">
        <v>2234</v>
      </c>
      <c r="V1180" s="129" t="s">
        <v>2235</v>
      </c>
      <c r="W1180" s="130">
        <v>2</v>
      </c>
      <c r="X1180" s="130">
        <v>2</v>
      </c>
      <c r="Y1180" s="129" t="s">
        <v>194</v>
      </c>
      <c r="Z1180" s="129" t="s">
        <v>195</v>
      </c>
      <c r="AA1180" s="129" t="s">
        <v>196</v>
      </c>
      <c r="AB1180" s="129" t="s">
        <v>187</v>
      </c>
      <c r="AC1180" s="129" t="s">
        <v>209</v>
      </c>
      <c r="AD1180" s="131"/>
      <c r="AE1180" s="129" t="s">
        <v>209</v>
      </c>
      <c r="AF1180" s="130">
        <v>19.5243300003293</v>
      </c>
      <c r="AG1180" s="132">
        <v>97.890500000374701</v>
      </c>
      <c r="AO1180" s="121"/>
      <c r="AT1180" s="111"/>
      <c r="AX1180" s="121"/>
    </row>
    <row r="1181" spans="1:50" s="110" customFormat="1" ht="20" customHeight="1">
      <c r="A1181" s="125" t="s">
        <v>483</v>
      </c>
      <c r="B1181" s="126" t="s">
        <v>55</v>
      </c>
      <c r="C1181" s="127">
        <v>12795</v>
      </c>
      <c r="D1181" s="128">
        <v>105225</v>
      </c>
      <c r="E1181" s="129" t="s">
        <v>2011</v>
      </c>
      <c r="F1181" s="129" t="s">
        <v>2011</v>
      </c>
      <c r="G1181" s="130">
        <v>1600</v>
      </c>
      <c r="H1181" s="130">
        <v>5</v>
      </c>
      <c r="I1181" s="129" t="s">
        <v>209</v>
      </c>
      <c r="J1181" s="129" t="s">
        <v>2012</v>
      </c>
      <c r="K1181" s="129" t="s">
        <v>2011</v>
      </c>
      <c r="L1181" s="130">
        <v>5</v>
      </c>
      <c r="M1181" s="130">
        <v>4</v>
      </c>
      <c r="N1181" s="129" t="s">
        <v>1548</v>
      </c>
      <c r="O1181" s="130">
        <v>22</v>
      </c>
      <c r="P1181" s="130">
        <v>12</v>
      </c>
      <c r="Q1181" s="130">
        <v>11</v>
      </c>
      <c r="R1181" s="129" t="s">
        <v>740</v>
      </c>
      <c r="S1181" s="129" t="s">
        <v>741</v>
      </c>
      <c r="T1181" s="130">
        <v>205</v>
      </c>
      <c r="U1181" s="129" t="s">
        <v>2013</v>
      </c>
      <c r="V1181" s="129" t="s">
        <v>2011</v>
      </c>
      <c r="W1181" s="130">
        <v>49</v>
      </c>
      <c r="X1181" s="130">
        <v>2</v>
      </c>
      <c r="Y1181" s="129" t="s">
        <v>194</v>
      </c>
      <c r="Z1181" s="129" t="s">
        <v>195</v>
      </c>
      <c r="AA1181" s="129" t="s">
        <v>196</v>
      </c>
      <c r="AB1181" s="129" t="s">
        <v>187</v>
      </c>
      <c r="AC1181" s="129" t="s">
        <v>209</v>
      </c>
      <c r="AD1181" s="131"/>
      <c r="AE1181" s="129" t="s">
        <v>209</v>
      </c>
      <c r="AF1181" s="130">
        <v>11.545593</v>
      </c>
      <c r="AG1181" s="132">
        <v>104.922122</v>
      </c>
      <c r="AO1181" s="121"/>
      <c r="AT1181" s="111"/>
      <c r="AX1181" s="121"/>
    </row>
    <row r="1182" spans="1:50" s="110" customFormat="1" ht="20" customHeight="1">
      <c r="A1182" s="125" t="s">
        <v>1620</v>
      </c>
      <c r="B1182" s="126" t="s">
        <v>61</v>
      </c>
      <c r="C1182" s="127">
        <v>14492</v>
      </c>
      <c r="D1182" s="128">
        <v>108212</v>
      </c>
      <c r="E1182" s="129" t="s">
        <v>2213</v>
      </c>
      <c r="F1182" s="129" t="s">
        <v>2213</v>
      </c>
      <c r="G1182" s="130">
        <v>800</v>
      </c>
      <c r="H1182" s="130">
        <v>5</v>
      </c>
      <c r="I1182" s="129" t="s">
        <v>209</v>
      </c>
      <c r="J1182" s="129" t="s">
        <v>2214</v>
      </c>
      <c r="K1182" s="129" t="s">
        <v>2213</v>
      </c>
      <c r="L1182" s="130">
        <v>3</v>
      </c>
      <c r="M1182" s="130">
        <v>4</v>
      </c>
      <c r="N1182" s="129" t="s">
        <v>1548</v>
      </c>
      <c r="O1182" s="130">
        <v>30</v>
      </c>
      <c r="P1182" s="130">
        <v>15</v>
      </c>
      <c r="Q1182" s="130">
        <v>23</v>
      </c>
      <c r="R1182" s="129" t="s">
        <v>1623</v>
      </c>
      <c r="S1182" s="129" t="s">
        <v>1624</v>
      </c>
      <c r="T1182" s="130">
        <v>207</v>
      </c>
      <c r="U1182" s="129" t="s">
        <v>1625</v>
      </c>
      <c r="V1182" s="129" t="s">
        <v>1626</v>
      </c>
      <c r="W1182" s="130">
        <v>1</v>
      </c>
      <c r="X1182" s="130">
        <v>2</v>
      </c>
      <c r="Y1182" s="129" t="s">
        <v>194</v>
      </c>
      <c r="Z1182" s="129" t="s">
        <v>195</v>
      </c>
      <c r="AA1182" s="129" t="s">
        <v>196</v>
      </c>
      <c r="AB1182" s="129" t="s">
        <v>187</v>
      </c>
      <c r="AC1182" s="129" t="s">
        <v>187</v>
      </c>
      <c r="AD1182" s="131"/>
      <c r="AE1182" s="129" t="s">
        <v>209</v>
      </c>
      <c r="AF1182" s="130">
        <v>20.88119</v>
      </c>
      <c r="AG1182" s="132">
        <v>99.8095</v>
      </c>
      <c r="AO1182" s="121"/>
      <c r="AT1182" s="111"/>
      <c r="AX1182" s="121"/>
    </row>
    <row r="1183" spans="1:50" s="110" customFormat="1" ht="20" customHeight="1">
      <c r="A1183" s="125" t="s">
        <v>471</v>
      </c>
      <c r="B1183" s="126" t="s">
        <v>65</v>
      </c>
      <c r="C1183" s="127">
        <v>12777</v>
      </c>
      <c r="D1183" s="163">
        <v>105183</v>
      </c>
      <c r="E1183" s="164" t="s">
        <v>1606</v>
      </c>
      <c r="F1183" s="164" t="s">
        <v>1606</v>
      </c>
      <c r="G1183" s="165">
        <v>100</v>
      </c>
      <c r="H1183" s="165">
        <v>1</v>
      </c>
      <c r="I1183" s="164" t="s">
        <v>187</v>
      </c>
      <c r="J1183" s="164" t="s">
        <v>1607</v>
      </c>
      <c r="K1183" s="164" t="s">
        <v>1608</v>
      </c>
      <c r="L1183" s="165">
        <v>3</v>
      </c>
      <c r="M1183" s="165">
        <v>4</v>
      </c>
      <c r="N1183" s="164" t="s">
        <v>1548</v>
      </c>
      <c r="O1183" s="165">
        <v>0</v>
      </c>
      <c r="P1183" s="165">
        <v>0</v>
      </c>
      <c r="Q1183" s="165">
        <v>20</v>
      </c>
      <c r="R1183" s="164" t="s">
        <v>574</v>
      </c>
      <c r="S1183" s="164" t="s">
        <v>575</v>
      </c>
      <c r="T1183" s="165">
        <v>210</v>
      </c>
      <c r="U1183" s="164" t="s">
        <v>1609</v>
      </c>
      <c r="V1183" s="164" t="s">
        <v>1610</v>
      </c>
      <c r="W1183" s="165">
        <v>1</v>
      </c>
      <c r="X1183" s="165">
        <v>2</v>
      </c>
      <c r="Y1183" s="164" t="s">
        <v>194</v>
      </c>
      <c r="Z1183" s="164" t="s">
        <v>195</v>
      </c>
      <c r="AA1183" s="164" t="s">
        <v>196</v>
      </c>
      <c r="AB1183" s="164" t="s">
        <v>187</v>
      </c>
      <c r="AC1183" s="164" t="s">
        <v>187</v>
      </c>
      <c r="AD1183" s="165">
        <v>1</v>
      </c>
      <c r="AE1183" s="164" t="s">
        <v>187</v>
      </c>
      <c r="AF1183" s="165">
        <v>21.1793437803912</v>
      </c>
      <c r="AG1183" s="166">
        <v>101.827575951369</v>
      </c>
      <c r="AO1183" s="121"/>
      <c r="AT1183" s="111"/>
      <c r="AX1183" s="121"/>
    </row>
    <row r="1184" spans="1:50" s="110" customFormat="1" ht="20" customHeight="1">
      <c r="A1184" s="125" t="s">
        <v>1620</v>
      </c>
      <c r="B1184" s="126" t="s">
        <v>61</v>
      </c>
      <c r="C1184" s="127">
        <v>13072</v>
      </c>
      <c r="D1184" s="128">
        <v>105794</v>
      </c>
      <c r="E1184" s="129" t="s">
        <v>3196</v>
      </c>
      <c r="F1184" s="129" t="s">
        <v>3196</v>
      </c>
      <c r="G1184" s="130">
        <v>5000</v>
      </c>
      <c r="H1184" s="130">
        <v>5</v>
      </c>
      <c r="I1184" s="129" t="s">
        <v>209</v>
      </c>
      <c r="J1184" s="129" t="s">
        <v>3197</v>
      </c>
      <c r="K1184" s="129" t="s">
        <v>3198</v>
      </c>
      <c r="L1184" s="130">
        <v>5</v>
      </c>
      <c r="M1184" s="130">
        <v>4</v>
      </c>
      <c r="N1184" s="129" t="s">
        <v>1548</v>
      </c>
      <c r="O1184" s="130">
        <v>50</v>
      </c>
      <c r="P1184" s="130">
        <v>40</v>
      </c>
      <c r="Q1184" s="130">
        <v>23</v>
      </c>
      <c r="R1184" s="129" t="s">
        <v>1623</v>
      </c>
      <c r="S1184" s="129" t="s">
        <v>1624</v>
      </c>
      <c r="T1184" s="130">
        <v>212</v>
      </c>
      <c r="U1184" s="129" t="s">
        <v>3199</v>
      </c>
      <c r="V1184" s="129" t="s">
        <v>3198</v>
      </c>
      <c r="W1184" s="130">
        <v>1</v>
      </c>
      <c r="X1184" s="130">
        <v>2</v>
      </c>
      <c r="Y1184" s="129" t="s">
        <v>194</v>
      </c>
      <c r="Z1184" s="129" t="s">
        <v>195</v>
      </c>
      <c r="AA1184" s="129" t="s">
        <v>196</v>
      </c>
      <c r="AB1184" s="129" t="s">
        <v>187</v>
      </c>
      <c r="AC1184" s="129" t="s">
        <v>187</v>
      </c>
      <c r="AD1184" s="131"/>
      <c r="AE1184" s="129" t="s">
        <v>209</v>
      </c>
      <c r="AF1184" s="130">
        <v>23.9458864549959</v>
      </c>
      <c r="AG1184" s="132">
        <v>98.587693339875699</v>
      </c>
      <c r="AO1184" s="121"/>
      <c r="AT1184" s="111"/>
      <c r="AX1184" s="121"/>
    </row>
    <row r="1185" spans="1:50" s="110" customFormat="1" ht="20" customHeight="1">
      <c r="A1185" s="125" t="s">
        <v>478</v>
      </c>
      <c r="B1185" s="126" t="s">
        <v>56</v>
      </c>
      <c r="C1185" s="127">
        <v>13076</v>
      </c>
      <c r="D1185" s="128">
        <v>105802</v>
      </c>
      <c r="E1185" s="129" t="s">
        <v>3198</v>
      </c>
      <c r="F1185" s="129" t="s">
        <v>3198</v>
      </c>
      <c r="G1185" s="130">
        <v>42000</v>
      </c>
      <c r="H1185" s="130">
        <v>5</v>
      </c>
      <c r="I1185" s="129" t="s">
        <v>209</v>
      </c>
      <c r="J1185" s="129" t="s">
        <v>3197</v>
      </c>
      <c r="K1185" s="129" t="s">
        <v>3198</v>
      </c>
      <c r="L1185" s="130">
        <v>5</v>
      </c>
      <c r="M1185" s="130">
        <v>4</v>
      </c>
      <c r="N1185" s="129" t="s">
        <v>1548</v>
      </c>
      <c r="O1185" s="130">
        <v>40</v>
      </c>
      <c r="P1185" s="130">
        <v>34</v>
      </c>
      <c r="Q1185" s="130">
        <v>23</v>
      </c>
      <c r="R1185" s="129" t="s">
        <v>1623</v>
      </c>
      <c r="S1185" s="129" t="s">
        <v>1624</v>
      </c>
      <c r="T1185" s="130">
        <v>212</v>
      </c>
      <c r="U1185" s="129" t="s">
        <v>3199</v>
      </c>
      <c r="V1185" s="129" t="s">
        <v>3198</v>
      </c>
      <c r="W1185" s="130">
        <v>4</v>
      </c>
      <c r="X1185" s="130">
        <v>2</v>
      </c>
      <c r="Y1185" s="129" t="s">
        <v>194</v>
      </c>
      <c r="Z1185" s="129" t="s">
        <v>195</v>
      </c>
      <c r="AA1185" s="129" t="s">
        <v>196</v>
      </c>
      <c r="AB1185" s="129" t="s">
        <v>187</v>
      </c>
      <c r="AC1185" s="129" t="s">
        <v>209</v>
      </c>
      <c r="AD1185" s="131"/>
      <c r="AE1185" s="129" t="s">
        <v>209</v>
      </c>
      <c r="AF1185" s="130">
        <v>19.588200000000001</v>
      </c>
      <c r="AG1185" s="132">
        <v>98.291730000000001</v>
      </c>
      <c r="AO1185" s="121"/>
      <c r="AT1185" s="111"/>
      <c r="AX1185" s="121"/>
    </row>
    <row r="1186" spans="1:50" s="110" customFormat="1" ht="20" customHeight="1">
      <c r="A1186" s="125" t="s">
        <v>185</v>
      </c>
      <c r="B1186" s="126" t="s">
        <v>59</v>
      </c>
      <c r="C1186" s="127">
        <v>13440</v>
      </c>
      <c r="D1186" s="163">
        <v>106152</v>
      </c>
      <c r="E1186" s="164" t="s">
        <v>4501</v>
      </c>
      <c r="F1186" s="164" t="s">
        <v>4501</v>
      </c>
      <c r="G1186" s="165">
        <v>69000</v>
      </c>
      <c r="H1186" s="165">
        <v>1</v>
      </c>
      <c r="I1186" s="164" t="s">
        <v>187</v>
      </c>
      <c r="J1186" s="164" t="s">
        <v>4502</v>
      </c>
      <c r="K1186" s="164" t="s">
        <v>4503</v>
      </c>
      <c r="L1186" s="165">
        <v>1</v>
      </c>
      <c r="M1186" s="165">
        <v>4</v>
      </c>
      <c r="N1186" s="164" t="s">
        <v>1548</v>
      </c>
      <c r="O1186" s="165">
        <v>5</v>
      </c>
      <c r="P1186" s="165">
        <v>1</v>
      </c>
      <c r="Q1186" s="165">
        <v>17</v>
      </c>
      <c r="R1186" s="164" t="s">
        <v>190</v>
      </c>
      <c r="S1186" s="164" t="s">
        <v>191</v>
      </c>
      <c r="T1186" s="165">
        <v>215</v>
      </c>
      <c r="U1186" s="164" t="s">
        <v>447</v>
      </c>
      <c r="V1186" s="164" t="s">
        <v>211</v>
      </c>
      <c r="W1186" s="165">
        <v>1</v>
      </c>
      <c r="X1186" s="165">
        <v>2</v>
      </c>
      <c r="Y1186" s="164" t="s">
        <v>194</v>
      </c>
      <c r="Z1186" s="164" t="s">
        <v>195</v>
      </c>
      <c r="AA1186" s="164" t="s">
        <v>196</v>
      </c>
      <c r="AB1186" s="164" t="s">
        <v>187</v>
      </c>
      <c r="AC1186" s="164" t="s">
        <v>187</v>
      </c>
      <c r="AD1186" s="165">
        <v>1</v>
      </c>
      <c r="AE1186" s="164" t="s">
        <v>209</v>
      </c>
      <c r="AF1186" s="165">
        <v>-2.73908</v>
      </c>
      <c r="AG1186" s="166">
        <v>115.63516</v>
      </c>
      <c r="AO1186" s="121"/>
      <c r="AT1186" s="111"/>
      <c r="AX1186" s="121"/>
    </row>
    <row r="1187" spans="1:50" s="110" customFormat="1" ht="20" customHeight="1">
      <c r="A1187" s="125" t="s">
        <v>185</v>
      </c>
      <c r="B1187" s="126" t="s">
        <v>59</v>
      </c>
      <c r="C1187" s="127">
        <v>14421</v>
      </c>
      <c r="D1187" s="163">
        <v>108080</v>
      </c>
      <c r="E1187" s="164" t="s">
        <v>1679</v>
      </c>
      <c r="F1187" s="164" t="s">
        <v>1679</v>
      </c>
      <c r="G1187" s="165">
        <v>200</v>
      </c>
      <c r="H1187" s="165">
        <v>1</v>
      </c>
      <c r="I1187" s="164" t="s">
        <v>187</v>
      </c>
      <c r="J1187" s="164" t="s">
        <v>1680</v>
      </c>
      <c r="K1187" s="164" t="s">
        <v>1681</v>
      </c>
      <c r="L1187" s="165">
        <v>0</v>
      </c>
      <c r="M1187" s="165">
        <v>4</v>
      </c>
      <c r="N1187" s="164" t="s">
        <v>1548</v>
      </c>
      <c r="O1187" s="165">
        <v>0</v>
      </c>
      <c r="P1187" s="165">
        <v>0</v>
      </c>
      <c r="Q1187" s="165">
        <v>17</v>
      </c>
      <c r="R1187" s="164" t="s">
        <v>190</v>
      </c>
      <c r="S1187" s="164" t="s">
        <v>191</v>
      </c>
      <c r="T1187" s="165">
        <v>215</v>
      </c>
      <c r="U1187" s="164" t="s">
        <v>447</v>
      </c>
      <c r="V1187" s="164" t="s">
        <v>211</v>
      </c>
      <c r="W1187" s="165">
        <v>1</v>
      </c>
      <c r="X1187" s="165">
        <v>2</v>
      </c>
      <c r="Y1187" s="164" t="s">
        <v>194</v>
      </c>
      <c r="Z1187" s="164" t="s">
        <v>195</v>
      </c>
      <c r="AA1187" s="164" t="s">
        <v>196</v>
      </c>
      <c r="AB1187" s="164" t="s">
        <v>187</v>
      </c>
      <c r="AC1187" s="164" t="s">
        <v>187</v>
      </c>
      <c r="AD1187" s="165">
        <v>1</v>
      </c>
      <c r="AE1187" s="164" t="s">
        <v>187</v>
      </c>
      <c r="AF1187" s="165">
        <v>-2.25074</v>
      </c>
      <c r="AG1187" s="166">
        <v>139.40602000000001</v>
      </c>
      <c r="AO1187" s="121"/>
      <c r="AT1187" s="111"/>
      <c r="AX1187" s="121"/>
    </row>
    <row r="1188" spans="1:50" s="110" customFormat="1" ht="20" customHeight="1">
      <c r="A1188" s="125" t="s">
        <v>185</v>
      </c>
      <c r="B1188" s="126" t="s">
        <v>59</v>
      </c>
      <c r="C1188" s="127">
        <v>16006</v>
      </c>
      <c r="D1188" s="157">
        <v>111005</v>
      </c>
      <c r="E1188" s="158" t="s">
        <v>2119</v>
      </c>
      <c r="F1188" s="158" t="s">
        <v>2119</v>
      </c>
      <c r="G1188" s="159">
        <v>700</v>
      </c>
      <c r="H1188" s="159">
        <v>2</v>
      </c>
      <c r="I1188" s="158" t="s">
        <v>209</v>
      </c>
      <c r="J1188" s="158" t="s">
        <v>2120</v>
      </c>
      <c r="K1188" s="158" t="s">
        <v>2119</v>
      </c>
      <c r="L1188" s="159">
        <v>0</v>
      </c>
      <c r="M1188" s="159">
        <v>4</v>
      </c>
      <c r="N1188" s="158" t="s">
        <v>1548</v>
      </c>
      <c r="O1188" s="159">
        <v>12</v>
      </c>
      <c r="P1188" s="159">
        <v>2</v>
      </c>
      <c r="Q1188" s="159">
        <v>17</v>
      </c>
      <c r="R1188" s="158" t="s">
        <v>190</v>
      </c>
      <c r="S1188" s="158" t="s">
        <v>191</v>
      </c>
      <c r="T1188" s="159">
        <v>215</v>
      </c>
      <c r="U1188" s="158" t="s">
        <v>447</v>
      </c>
      <c r="V1188" s="158" t="s">
        <v>211</v>
      </c>
      <c r="W1188" s="159">
        <v>1</v>
      </c>
      <c r="X1188" s="159">
        <v>2</v>
      </c>
      <c r="Y1188" s="158" t="s">
        <v>194</v>
      </c>
      <c r="Z1188" s="158" t="s">
        <v>195</v>
      </c>
      <c r="AA1188" s="158" t="s">
        <v>196</v>
      </c>
      <c r="AB1188" s="158" t="s">
        <v>187</v>
      </c>
      <c r="AC1188" s="158" t="s">
        <v>187</v>
      </c>
      <c r="AD1188" s="160"/>
      <c r="AE1188" s="158" t="s">
        <v>209</v>
      </c>
      <c r="AF1188" s="159">
        <v>-3.1990699999999999</v>
      </c>
      <c r="AG1188" s="161">
        <v>134.84752</v>
      </c>
      <c r="AO1188" s="121"/>
      <c r="AT1188" s="111"/>
      <c r="AX1188" s="121"/>
    </row>
    <row r="1189" spans="1:50" s="110" customFormat="1" ht="20" customHeight="1">
      <c r="A1189" s="125" t="s">
        <v>185</v>
      </c>
      <c r="B1189" s="126" t="s">
        <v>59</v>
      </c>
      <c r="C1189" s="127">
        <v>11150</v>
      </c>
      <c r="D1189" s="157">
        <v>102941</v>
      </c>
      <c r="E1189" s="158" t="s">
        <v>1758</v>
      </c>
      <c r="F1189" s="158" t="s">
        <v>1758</v>
      </c>
      <c r="G1189" s="159">
        <v>300</v>
      </c>
      <c r="H1189" s="159">
        <v>2</v>
      </c>
      <c r="I1189" s="158" t="s">
        <v>209</v>
      </c>
      <c r="J1189" s="158" t="s">
        <v>1759</v>
      </c>
      <c r="K1189" s="158" t="s">
        <v>1758</v>
      </c>
      <c r="L1189" s="159">
        <v>1</v>
      </c>
      <c r="M1189" s="159">
        <v>4</v>
      </c>
      <c r="N1189" s="158" t="s">
        <v>1548</v>
      </c>
      <c r="O1189" s="159">
        <v>10</v>
      </c>
      <c r="P1189" s="159">
        <v>2</v>
      </c>
      <c r="Q1189" s="159">
        <v>17</v>
      </c>
      <c r="R1189" s="158" t="s">
        <v>190</v>
      </c>
      <c r="S1189" s="158" t="s">
        <v>191</v>
      </c>
      <c r="T1189" s="159">
        <v>215</v>
      </c>
      <c r="U1189" s="158" t="s">
        <v>447</v>
      </c>
      <c r="V1189" s="158" t="s">
        <v>211</v>
      </c>
      <c r="W1189" s="159">
        <v>1</v>
      </c>
      <c r="X1189" s="159">
        <v>2</v>
      </c>
      <c r="Y1189" s="158" t="s">
        <v>194</v>
      </c>
      <c r="Z1189" s="158" t="s">
        <v>195</v>
      </c>
      <c r="AA1189" s="158" t="s">
        <v>196</v>
      </c>
      <c r="AB1189" s="158" t="s">
        <v>187</v>
      </c>
      <c r="AC1189" s="158" t="s">
        <v>187</v>
      </c>
      <c r="AD1189" s="160"/>
      <c r="AE1189" s="158" t="s">
        <v>209</v>
      </c>
      <c r="AF1189" s="159">
        <v>-2.8357800000000002</v>
      </c>
      <c r="AG1189" s="161">
        <v>132.70891</v>
      </c>
      <c r="AO1189" s="121"/>
      <c r="AT1189" s="111"/>
      <c r="AX1189" s="121"/>
    </row>
    <row r="1190" spans="1:50" s="110" customFormat="1" ht="20" customHeight="1">
      <c r="A1190" s="125" t="s">
        <v>185</v>
      </c>
      <c r="B1190" s="126" t="s">
        <v>59</v>
      </c>
      <c r="C1190" s="127">
        <v>10423</v>
      </c>
      <c r="D1190" s="157">
        <v>100495</v>
      </c>
      <c r="E1190" s="158" t="s">
        <v>1640</v>
      </c>
      <c r="F1190" s="158" t="s">
        <v>1640</v>
      </c>
      <c r="G1190" s="159">
        <v>200</v>
      </c>
      <c r="H1190" s="159">
        <v>2</v>
      </c>
      <c r="I1190" s="158" t="s">
        <v>209</v>
      </c>
      <c r="J1190" s="158" t="s">
        <v>1641</v>
      </c>
      <c r="K1190" s="158" t="s">
        <v>1640</v>
      </c>
      <c r="L1190" s="159">
        <v>1</v>
      </c>
      <c r="M1190" s="159">
        <v>4</v>
      </c>
      <c r="N1190" s="158" t="s">
        <v>1548</v>
      </c>
      <c r="O1190" s="159">
        <v>15</v>
      </c>
      <c r="P1190" s="159">
        <v>2</v>
      </c>
      <c r="Q1190" s="159">
        <v>17</v>
      </c>
      <c r="R1190" s="158" t="s">
        <v>190</v>
      </c>
      <c r="S1190" s="158" t="s">
        <v>191</v>
      </c>
      <c r="T1190" s="159">
        <v>215</v>
      </c>
      <c r="U1190" s="158" t="s">
        <v>447</v>
      </c>
      <c r="V1190" s="158" t="s">
        <v>211</v>
      </c>
      <c r="W1190" s="159">
        <v>1</v>
      </c>
      <c r="X1190" s="159">
        <v>2</v>
      </c>
      <c r="Y1190" s="158" t="s">
        <v>194</v>
      </c>
      <c r="Z1190" s="158" t="s">
        <v>195</v>
      </c>
      <c r="AA1190" s="158" t="s">
        <v>196</v>
      </c>
      <c r="AB1190" s="158" t="s">
        <v>187</v>
      </c>
      <c r="AC1190" s="158" t="s">
        <v>187</v>
      </c>
      <c r="AD1190" s="160"/>
      <c r="AE1190" s="158" t="s">
        <v>209</v>
      </c>
      <c r="AF1190" s="159">
        <v>-2.647081</v>
      </c>
      <c r="AG1190" s="161">
        <v>132.55019899999999</v>
      </c>
      <c r="AO1190" s="121"/>
      <c r="AT1190" s="111"/>
      <c r="AX1190" s="121"/>
    </row>
    <row r="1191" spans="1:50" s="110" customFormat="1" ht="20" customHeight="1">
      <c r="A1191" s="125" t="s">
        <v>185</v>
      </c>
      <c r="B1191" s="126" t="s">
        <v>59</v>
      </c>
      <c r="C1191" s="127">
        <v>19773</v>
      </c>
      <c r="D1191" s="145">
        <v>117859</v>
      </c>
      <c r="E1191" s="146" t="s">
        <v>3468</v>
      </c>
      <c r="F1191" s="146" t="s">
        <v>3468</v>
      </c>
      <c r="G1191" s="147">
        <v>8100</v>
      </c>
      <c r="H1191" s="147">
        <v>4</v>
      </c>
      <c r="I1191" s="146" t="s">
        <v>209</v>
      </c>
      <c r="J1191" s="146" t="s">
        <v>3469</v>
      </c>
      <c r="K1191" s="146" t="s">
        <v>3468</v>
      </c>
      <c r="L1191" s="147">
        <v>1</v>
      </c>
      <c r="M1191" s="147">
        <v>4</v>
      </c>
      <c r="N1191" s="146" t="s">
        <v>1548</v>
      </c>
      <c r="O1191" s="147">
        <v>12</v>
      </c>
      <c r="P1191" s="147">
        <v>5</v>
      </c>
      <c r="Q1191" s="147">
        <v>17</v>
      </c>
      <c r="R1191" s="146" t="s">
        <v>190</v>
      </c>
      <c r="S1191" s="146" t="s">
        <v>191</v>
      </c>
      <c r="T1191" s="147">
        <v>215</v>
      </c>
      <c r="U1191" s="146" t="s">
        <v>447</v>
      </c>
      <c r="V1191" s="146" t="s">
        <v>211</v>
      </c>
      <c r="W1191" s="147">
        <v>1</v>
      </c>
      <c r="X1191" s="147">
        <v>2</v>
      </c>
      <c r="Y1191" s="146" t="s">
        <v>194</v>
      </c>
      <c r="Z1191" s="146" t="s">
        <v>195</v>
      </c>
      <c r="AA1191" s="146" t="s">
        <v>196</v>
      </c>
      <c r="AB1191" s="146" t="s">
        <v>187</v>
      </c>
      <c r="AC1191" s="146" t="s">
        <v>187</v>
      </c>
      <c r="AD1191" s="148"/>
      <c r="AE1191" s="146" t="s">
        <v>209</v>
      </c>
      <c r="AF1191" s="147">
        <v>-8.4978300000000004</v>
      </c>
      <c r="AG1191" s="149">
        <v>123.53131</v>
      </c>
      <c r="AO1191" s="121"/>
      <c r="AT1191" s="111"/>
      <c r="AX1191" s="121"/>
    </row>
    <row r="1192" spans="1:50" s="110" customFormat="1" ht="20" customHeight="1">
      <c r="A1192" s="125" t="s">
        <v>185</v>
      </c>
      <c r="B1192" s="126" t="s">
        <v>59</v>
      </c>
      <c r="C1192" s="127">
        <v>14575</v>
      </c>
      <c r="D1192" s="145">
        <v>108408</v>
      </c>
      <c r="E1192" s="146" t="s">
        <v>2573</v>
      </c>
      <c r="F1192" s="146" t="s">
        <v>2573</v>
      </c>
      <c r="G1192" s="147">
        <v>1600</v>
      </c>
      <c r="H1192" s="147">
        <v>4</v>
      </c>
      <c r="I1192" s="146" t="s">
        <v>209</v>
      </c>
      <c r="J1192" s="146" t="s">
        <v>2574</v>
      </c>
      <c r="K1192" s="146" t="s">
        <v>2573</v>
      </c>
      <c r="L1192" s="147">
        <v>1</v>
      </c>
      <c r="M1192" s="147">
        <v>4</v>
      </c>
      <c r="N1192" s="146" t="s">
        <v>1548</v>
      </c>
      <c r="O1192" s="147">
        <v>15</v>
      </c>
      <c r="P1192" s="147">
        <v>5</v>
      </c>
      <c r="Q1192" s="147">
        <v>17</v>
      </c>
      <c r="R1192" s="146" t="s">
        <v>190</v>
      </c>
      <c r="S1192" s="146" t="s">
        <v>191</v>
      </c>
      <c r="T1192" s="147">
        <v>215</v>
      </c>
      <c r="U1192" s="146" t="s">
        <v>447</v>
      </c>
      <c r="V1192" s="146" t="s">
        <v>211</v>
      </c>
      <c r="W1192" s="147">
        <v>1</v>
      </c>
      <c r="X1192" s="147">
        <v>2</v>
      </c>
      <c r="Y1192" s="146" t="s">
        <v>194</v>
      </c>
      <c r="Z1192" s="146" t="s">
        <v>195</v>
      </c>
      <c r="AA1192" s="146" t="s">
        <v>196</v>
      </c>
      <c r="AB1192" s="146" t="s">
        <v>187</v>
      </c>
      <c r="AC1192" s="146" t="s">
        <v>187</v>
      </c>
      <c r="AD1192" s="148"/>
      <c r="AE1192" s="146" t="s">
        <v>209</v>
      </c>
      <c r="AF1192" s="147">
        <v>-2.3768500000000001</v>
      </c>
      <c r="AG1192" s="149">
        <v>134.56047000000001</v>
      </c>
      <c r="AO1192" s="121"/>
      <c r="AT1192" s="111"/>
      <c r="AX1192" s="121"/>
    </row>
    <row r="1193" spans="1:50" s="110" customFormat="1" ht="20" customHeight="1">
      <c r="A1193" s="125" t="s">
        <v>185</v>
      </c>
      <c r="B1193" s="126" t="s">
        <v>59</v>
      </c>
      <c r="C1193" s="127">
        <v>13875</v>
      </c>
      <c r="D1193" s="145">
        <v>106906</v>
      </c>
      <c r="E1193" s="146" t="s">
        <v>2485</v>
      </c>
      <c r="F1193" s="146" t="s">
        <v>2485</v>
      </c>
      <c r="G1193" s="147">
        <v>1400</v>
      </c>
      <c r="H1193" s="147">
        <v>4</v>
      </c>
      <c r="I1193" s="146" t="s">
        <v>209</v>
      </c>
      <c r="J1193" s="146" t="s">
        <v>2486</v>
      </c>
      <c r="K1193" s="146" t="s">
        <v>2485</v>
      </c>
      <c r="L1193" s="147">
        <v>1</v>
      </c>
      <c r="M1193" s="147">
        <v>4</v>
      </c>
      <c r="N1193" s="146" t="s">
        <v>1548</v>
      </c>
      <c r="O1193" s="147">
        <v>10</v>
      </c>
      <c r="P1193" s="147">
        <v>3</v>
      </c>
      <c r="Q1193" s="147">
        <v>17</v>
      </c>
      <c r="R1193" s="146" t="s">
        <v>190</v>
      </c>
      <c r="S1193" s="146" t="s">
        <v>191</v>
      </c>
      <c r="T1193" s="147">
        <v>215</v>
      </c>
      <c r="U1193" s="146" t="s">
        <v>447</v>
      </c>
      <c r="V1193" s="146" t="s">
        <v>211</v>
      </c>
      <c r="W1193" s="147">
        <v>1</v>
      </c>
      <c r="X1193" s="147">
        <v>2</v>
      </c>
      <c r="Y1193" s="146" t="s">
        <v>194</v>
      </c>
      <c r="Z1193" s="146" t="s">
        <v>195</v>
      </c>
      <c r="AA1193" s="146" t="s">
        <v>196</v>
      </c>
      <c r="AB1193" s="146" t="s">
        <v>187</v>
      </c>
      <c r="AC1193" s="146" t="s">
        <v>187</v>
      </c>
      <c r="AD1193" s="148"/>
      <c r="AE1193" s="146" t="s">
        <v>209</v>
      </c>
      <c r="AF1193" s="147">
        <v>-1.67082</v>
      </c>
      <c r="AG1193" s="149">
        <v>135.922</v>
      </c>
      <c r="AO1193" s="121"/>
      <c r="AT1193" s="111"/>
      <c r="AX1193" s="121"/>
    </row>
    <row r="1194" spans="1:50" s="110" customFormat="1" ht="20" customHeight="1">
      <c r="A1194" s="125" t="s">
        <v>185</v>
      </c>
      <c r="B1194" s="126" t="s">
        <v>59</v>
      </c>
      <c r="C1194" s="127">
        <v>11041</v>
      </c>
      <c r="D1194" s="145">
        <v>101796</v>
      </c>
      <c r="E1194" s="146" t="s">
        <v>2307</v>
      </c>
      <c r="F1194" s="146" t="s">
        <v>2307</v>
      </c>
      <c r="G1194" s="147">
        <v>1000</v>
      </c>
      <c r="H1194" s="147">
        <v>4</v>
      </c>
      <c r="I1194" s="146" t="s">
        <v>209</v>
      </c>
      <c r="J1194" s="146" t="s">
        <v>2308</v>
      </c>
      <c r="K1194" s="146" t="s">
        <v>2307</v>
      </c>
      <c r="L1194" s="147">
        <v>1</v>
      </c>
      <c r="M1194" s="147">
        <v>4</v>
      </c>
      <c r="N1194" s="146" t="s">
        <v>1548</v>
      </c>
      <c r="O1194" s="147">
        <v>14</v>
      </c>
      <c r="P1194" s="147">
        <v>8</v>
      </c>
      <c r="Q1194" s="147">
        <v>17</v>
      </c>
      <c r="R1194" s="146" t="s">
        <v>190</v>
      </c>
      <c r="S1194" s="146" t="s">
        <v>191</v>
      </c>
      <c r="T1194" s="147">
        <v>215</v>
      </c>
      <c r="U1194" s="146" t="s">
        <v>447</v>
      </c>
      <c r="V1194" s="146" t="s">
        <v>211</v>
      </c>
      <c r="W1194" s="147">
        <v>1</v>
      </c>
      <c r="X1194" s="147">
        <v>2</v>
      </c>
      <c r="Y1194" s="146" t="s">
        <v>194</v>
      </c>
      <c r="Z1194" s="146" t="s">
        <v>195</v>
      </c>
      <c r="AA1194" s="146" t="s">
        <v>196</v>
      </c>
      <c r="AB1194" s="146" t="s">
        <v>187</v>
      </c>
      <c r="AC1194" s="146" t="s">
        <v>187</v>
      </c>
      <c r="AD1194" s="148"/>
      <c r="AE1194" s="146" t="s">
        <v>209</v>
      </c>
      <c r="AF1194" s="147">
        <v>-1.7509399999999999</v>
      </c>
      <c r="AG1194" s="149">
        <v>136.02177</v>
      </c>
      <c r="AO1194" s="121"/>
      <c r="AT1194" s="111"/>
      <c r="AX1194" s="121"/>
    </row>
    <row r="1195" spans="1:50" s="110" customFormat="1" ht="20" customHeight="1">
      <c r="A1195" s="125" t="s">
        <v>185</v>
      </c>
      <c r="B1195" s="126" t="s">
        <v>59</v>
      </c>
      <c r="C1195" s="127">
        <v>13911</v>
      </c>
      <c r="D1195" s="145">
        <v>106994</v>
      </c>
      <c r="E1195" s="146" t="s">
        <v>2262</v>
      </c>
      <c r="F1195" s="146" t="s">
        <v>2262</v>
      </c>
      <c r="G1195" s="147">
        <v>900</v>
      </c>
      <c r="H1195" s="147">
        <v>4</v>
      </c>
      <c r="I1195" s="146" t="s">
        <v>209</v>
      </c>
      <c r="J1195" s="146" t="s">
        <v>2263</v>
      </c>
      <c r="K1195" s="146" t="s">
        <v>2264</v>
      </c>
      <c r="L1195" s="147">
        <v>0</v>
      </c>
      <c r="M1195" s="147">
        <v>4</v>
      </c>
      <c r="N1195" s="146" t="s">
        <v>1548</v>
      </c>
      <c r="O1195" s="147">
        <v>30</v>
      </c>
      <c r="P1195" s="147">
        <v>4</v>
      </c>
      <c r="Q1195" s="147">
        <v>17</v>
      </c>
      <c r="R1195" s="146" t="s">
        <v>190</v>
      </c>
      <c r="S1195" s="146" t="s">
        <v>191</v>
      </c>
      <c r="T1195" s="147">
        <v>215</v>
      </c>
      <c r="U1195" s="146" t="s">
        <v>447</v>
      </c>
      <c r="V1195" s="146" t="s">
        <v>211</v>
      </c>
      <c r="W1195" s="147">
        <v>1</v>
      </c>
      <c r="X1195" s="147">
        <v>2</v>
      </c>
      <c r="Y1195" s="146" t="s">
        <v>194</v>
      </c>
      <c r="Z1195" s="146" t="s">
        <v>195</v>
      </c>
      <c r="AA1195" s="146" t="s">
        <v>196</v>
      </c>
      <c r="AB1195" s="146" t="s">
        <v>187</v>
      </c>
      <c r="AC1195" s="146" t="s">
        <v>187</v>
      </c>
      <c r="AD1195" s="148"/>
      <c r="AE1195" s="146" t="s">
        <v>209</v>
      </c>
      <c r="AF1195" s="147">
        <v>-2.7760500000000001</v>
      </c>
      <c r="AG1195" s="149">
        <v>134.04767000000001</v>
      </c>
      <c r="AO1195" s="121"/>
      <c r="AT1195" s="111"/>
      <c r="AX1195" s="121"/>
    </row>
    <row r="1196" spans="1:50" s="110" customFormat="1" ht="20" customHeight="1">
      <c r="A1196" s="125" t="s">
        <v>185</v>
      </c>
      <c r="B1196" s="126" t="s">
        <v>59</v>
      </c>
      <c r="C1196" s="127">
        <v>12584</v>
      </c>
      <c r="D1196" s="145">
        <v>104771</v>
      </c>
      <c r="E1196" s="146" t="s">
        <v>2164</v>
      </c>
      <c r="F1196" s="146" t="s">
        <v>2164</v>
      </c>
      <c r="G1196" s="147">
        <v>800</v>
      </c>
      <c r="H1196" s="147">
        <v>4</v>
      </c>
      <c r="I1196" s="146" t="s">
        <v>209</v>
      </c>
      <c r="J1196" s="146" t="s">
        <v>2165</v>
      </c>
      <c r="K1196" s="146" t="s">
        <v>2164</v>
      </c>
      <c r="L1196" s="147">
        <v>1</v>
      </c>
      <c r="M1196" s="147">
        <v>4</v>
      </c>
      <c r="N1196" s="146" t="s">
        <v>1548</v>
      </c>
      <c r="O1196" s="147">
        <v>18</v>
      </c>
      <c r="P1196" s="147">
        <v>4</v>
      </c>
      <c r="Q1196" s="147">
        <v>17</v>
      </c>
      <c r="R1196" s="146" t="s">
        <v>190</v>
      </c>
      <c r="S1196" s="146" t="s">
        <v>191</v>
      </c>
      <c r="T1196" s="147">
        <v>215</v>
      </c>
      <c r="U1196" s="146" t="s">
        <v>447</v>
      </c>
      <c r="V1196" s="146" t="s">
        <v>211</v>
      </c>
      <c r="W1196" s="147">
        <v>1</v>
      </c>
      <c r="X1196" s="147">
        <v>2</v>
      </c>
      <c r="Y1196" s="146" t="s">
        <v>194</v>
      </c>
      <c r="Z1196" s="146" t="s">
        <v>195</v>
      </c>
      <c r="AA1196" s="146" t="s">
        <v>196</v>
      </c>
      <c r="AB1196" s="146" t="s">
        <v>187</v>
      </c>
      <c r="AC1196" s="146" t="s">
        <v>187</v>
      </c>
      <c r="AD1196" s="148"/>
      <c r="AE1196" s="146" t="s">
        <v>209</v>
      </c>
      <c r="AF1196" s="147">
        <v>-7.1629999999999999E-2</v>
      </c>
      <c r="AG1196" s="149">
        <v>130.12416999999999</v>
      </c>
      <c r="AO1196" s="121"/>
      <c r="AT1196" s="111"/>
      <c r="AX1196" s="121"/>
    </row>
    <row r="1197" spans="1:50" s="110" customFormat="1" ht="20" customHeight="1">
      <c r="A1197" s="125" t="s">
        <v>185</v>
      </c>
      <c r="B1197" s="126" t="s">
        <v>59</v>
      </c>
      <c r="C1197" s="127">
        <v>14215</v>
      </c>
      <c r="D1197" s="145">
        <v>107681</v>
      </c>
      <c r="E1197" s="146" t="s">
        <v>2181</v>
      </c>
      <c r="F1197" s="146" t="s">
        <v>2181</v>
      </c>
      <c r="G1197" s="147">
        <v>800</v>
      </c>
      <c r="H1197" s="147">
        <v>4</v>
      </c>
      <c r="I1197" s="146" t="s">
        <v>209</v>
      </c>
      <c r="J1197" s="146" t="s">
        <v>2182</v>
      </c>
      <c r="K1197" s="146" t="s">
        <v>2181</v>
      </c>
      <c r="L1197" s="147">
        <v>0</v>
      </c>
      <c r="M1197" s="147">
        <v>4</v>
      </c>
      <c r="N1197" s="146" t="s">
        <v>1548</v>
      </c>
      <c r="O1197" s="147">
        <v>15</v>
      </c>
      <c r="P1197" s="147">
        <v>4</v>
      </c>
      <c r="Q1197" s="147">
        <v>17</v>
      </c>
      <c r="R1197" s="146" t="s">
        <v>190</v>
      </c>
      <c r="S1197" s="146" t="s">
        <v>191</v>
      </c>
      <c r="T1197" s="147">
        <v>215</v>
      </c>
      <c r="U1197" s="146" t="s">
        <v>447</v>
      </c>
      <c r="V1197" s="146" t="s">
        <v>211</v>
      </c>
      <c r="W1197" s="147">
        <v>1</v>
      </c>
      <c r="X1197" s="147">
        <v>2</v>
      </c>
      <c r="Y1197" s="146" t="s">
        <v>194</v>
      </c>
      <c r="Z1197" s="146" t="s">
        <v>195</v>
      </c>
      <c r="AA1197" s="146" t="s">
        <v>196</v>
      </c>
      <c r="AB1197" s="146" t="s">
        <v>187</v>
      </c>
      <c r="AC1197" s="146" t="s">
        <v>187</v>
      </c>
      <c r="AD1197" s="148"/>
      <c r="AE1197" s="146" t="s">
        <v>209</v>
      </c>
      <c r="AF1197" s="147">
        <v>-2.5147699999999999</v>
      </c>
      <c r="AG1197" s="149">
        <v>140.61546999999999</v>
      </c>
      <c r="AO1197" s="121"/>
      <c r="AT1197" s="111"/>
      <c r="AX1197" s="121"/>
    </row>
    <row r="1198" spans="1:50" s="110" customFormat="1" ht="20" customHeight="1">
      <c r="A1198" s="125" t="s">
        <v>185</v>
      </c>
      <c r="B1198" s="126" t="s">
        <v>59</v>
      </c>
      <c r="C1198" s="127">
        <v>15867</v>
      </c>
      <c r="D1198" s="145">
        <v>110691</v>
      </c>
      <c r="E1198" s="146" t="s">
        <v>2194</v>
      </c>
      <c r="F1198" s="146" t="s">
        <v>2194</v>
      </c>
      <c r="G1198" s="147">
        <v>800</v>
      </c>
      <c r="H1198" s="147">
        <v>4</v>
      </c>
      <c r="I1198" s="146" t="s">
        <v>209</v>
      </c>
      <c r="J1198" s="146" t="s">
        <v>2195</v>
      </c>
      <c r="K1198" s="146" t="s">
        <v>2194</v>
      </c>
      <c r="L1198" s="147">
        <v>0</v>
      </c>
      <c r="M1198" s="147">
        <v>4</v>
      </c>
      <c r="N1198" s="146" t="s">
        <v>1548</v>
      </c>
      <c r="O1198" s="147">
        <v>12</v>
      </c>
      <c r="P1198" s="147">
        <v>7</v>
      </c>
      <c r="Q1198" s="147">
        <v>17</v>
      </c>
      <c r="R1198" s="146" t="s">
        <v>190</v>
      </c>
      <c r="S1198" s="146" t="s">
        <v>191</v>
      </c>
      <c r="T1198" s="147">
        <v>215</v>
      </c>
      <c r="U1198" s="146" t="s">
        <v>447</v>
      </c>
      <c r="V1198" s="146" t="s">
        <v>211</v>
      </c>
      <c r="W1198" s="147">
        <v>1</v>
      </c>
      <c r="X1198" s="147">
        <v>2</v>
      </c>
      <c r="Y1198" s="146" t="s">
        <v>194</v>
      </c>
      <c r="Z1198" s="146" t="s">
        <v>195</v>
      </c>
      <c r="AA1198" s="146" t="s">
        <v>196</v>
      </c>
      <c r="AB1198" s="146" t="s">
        <v>187</v>
      </c>
      <c r="AC1198" s="146" t="s">
        <v>187</v>
      </c>
      <c r="AD1198" s="148"/>
      <c r="AE1198" s="146" t="s">
        <v>209</v>
      </c>
      <c r="AF1198" s="147">
        <v>-1.65452</v>
      </c>
      <c r="AG1198" s="149">
        <v>137.62423999999999</v>
      </c>
      <c r="AO1198" s="121"/>
      <c r="AT1198" s="111"/>
      <c r="AX1198" s="121"/>
    </row>
    <row r="1199" spans="1:50" s="110" customFormat="1" ht="20" customHeight="1">
      <c r="A1199" s="125" t="s">
        <v>185</v>
      </c>
      <c r="B1199" s="126" t="s">
        <v>59</v>
      </c>
      <c r="C1199" s="127">
        <v>14163</v>
      </c>
      <c r="D1199" s="145">
        <v>107656</v>
      </c>
      <c r="E1199" s="146" t="s">
        <v>2100</v>
      </c>
      <c r="F1199" s="146" t="s">
        <v>2101</v>
      </c>
      <c r="G1199" s="147">
        <v>700</v>
      </c>
      <c r="H1199" s="147">
        <v>4</v>
      </c>
      <c r="I1199" s="146" t="s">
        <v>209</v>
      </c>
      <c r="J1199" s="146" t="s">
        <v>2102</v>
      </c>
      <c r="K1199" s="146" t="s">
        <v>2100</v>
      </c>
      <c r="L1199" s="147">
        <v>1</v>
      </c>
      <c r="M1199" s="147">
        <v>4</v>
      </c>
      <c r="N1199" s="146" t="s">
        <v>1548</v>
      </c>
      <c r="O1199" s="147">
        <v>15</v>
      </c>
      <c r="P1199" s="147">
        <v>5</v>
      </c>
      <c r="Q1199" s="147">
        <v>17</v>
      </c>
      <c r="R1199" s="146" t="s">
        <v>190</v>
      </c>
      <c r="S1199" s="146" t="s">
        <v>191</v>
      </c>
      <c r="T1199" s="147">
        <v>215</v>
      </c>
      <c r="U1199" s="146" t="s">
        <v>447</v>
      </c>
      <c r="V1199" s="146" t="s">
        <v>211</v>
      </c>
      <c r="W1199" s="147">
        <v>1</v>
      </c>
      <c r="X1199" s="147">
        <v>2</v>
      </c>
      <c r="Y1199" s="146" t="s">
        <v>194</v>
      </c>
      <c r="Z1199" s="146" t="s">
        <v>195</v>
      </c>
      <c r="AA1199" s="146" t="s">
        <v>196</v>
      </c>
      <c r="AB1199" s="146" t="s">
        <v>187</v>
      </c>
      <c r="AC1199" s="146" t="s">
        <v>187</v>
      </c>
      <c r="AD1199" s="148"/>
      <c r="AE1199" s="146" t="s">
        <v>209</v>
      </c>
      <c r="AF1199" s="147">
        <v>-2.7597600002238201</v>
      </c>
      <c r="AG1199" s="149">
        <v>132.062320000368</v>
      </c>
      <c r="AO1199" s="121"/>
      <c r="AT1199" s="111"/>
      <c r="AX1199" s="121"/>
    </row>
    <row r="1200" spans="1:50" s="110" customFormat="1" ht="20" customHeight="1">
      <c r="A1200" s="125" t="s">
        <v>185</v>
      </c>
      <c r="B1200" s="126" t="s">
        <v>59</v>
      </c>
      <c r="C1200" s="127">
        <v>13681</v>
      </c>
      <c r="D1200" s="145">
        <v>106554</v>
      </c>
      <c r="E1200" s="146" t="s">
        <v>1853</v>
      </c>
      <c r="F1200" s="146" t="s">
        <v>1853</v>
      </c>
      <c r="G1200" s="147">
        <v>400</v>
      </c>
      <c r="H1200" s="147">
        <v>4</v>
      </c>
      <c r="I1200" s="146" t="s">
        <v>209</v>
      </c>
      <c r="J1200" s="146" t="s">
        <v>1854</v>
      </c>
      <c r="K1200" s="146" t="s">
        <v>1853</v>
      </c>
      <c r="L1200" s="147">
        <v>1</v>
      </c>
      <c r="M1200" s="147">
        <v>4</v>
      </c>
      <c r="N1200" s="146" t="s">
        <v>1548</v>
      </c>
      <c r="O1200" s="147">
        <v>30</v>
      </c>
      <c r="P1200" s="147">
        <v>4</v>
      </c>
      <c r="Q1200" s="147">
        <v>17</v>
      </c>
      <c r="R1200" s="146" t="s">
        <v>190</v>
      </c>
      <c r="S1200" s="146" t="s">
        <v>191</v>
      </c>
      <c r="T1200" s="147">
        <v>215</v>
      </c>
      <c r="U1200" s="146" t="s">
        <v>447</v>
      </c>
      <c r="V1200" s="146" t="s">
        <v>211</v>
      </c>
      <c r="W1200" s="147">
        <v>1</v>
      </c>
      <c r="X1200" s="147">
        <v>2</v>
      </c>
      <c r="Y1200" s="146" t="s">
        <v>194</v>
      </c>
      <c r="Z1200" s="146" t="s">
        <v>195</v>
      </c>
      <c r="AA1200" s="146" t="s">
        <v>196</v>
      </c>
      <c r="AB1200" s="146" t="s">
        <v>187</v>
      </c>
      <c r="AC1200" s="146" t="s">
        <v>187</v>
      </c>
      <c r="AD1200" s="148"/>
      <c r="AE1200" s="146" t="s">
        <v>209</v>
      </c>
      <c r="AF1200" s="147">
        <v>-2.0694599999999999</v>
      </c>
      <c r="AG1200" s="149">
        <v>134.38252</v>
      </c>
      <c r="AO1200" s="121"/>
      <c r="AT1200" s="111"/>
      <c r="AX1200" s="121"/>
    </row>
    <row r="1201" spans="1:50" s="110" customFormat="1" ht="20" customHeight="1">
      <c r="A1201" s="125" t="s">
        <v>185</v>
      </c>
      <c r="B1201" s="126" t="s">
        <v>59</v>
      </c>
      <c r="C1201" s="127">
        <v>12250</v>
      </c>
      <c r="D1201" s="128">
        <v>104060</v>
      </c>
      <c r="E1201" s="129" t="s">
        <v>1560</v>
      </c>
      <c r="F1201" s="129" t="s">
        <v>1560</v>
      </c>
      <c r="G1201" s="130">
        <v>80</v>
      </c>
      <c r="H1201" s="130">
        <v>5</v>
      </c>
      <c r="I1201" s="129" t="s">
        <v>209</v>
      </c>
      <c r="J1201" s="129" t="s">
        <v>1561</v>
      </c>
      <c r="K1201" s="129" t="s">
        <v>1562</v>
      </c>
      <c r="L1201" s="130">
        <v>0</v>
      </c>
      <c r="M1201" s="130">
        <v>4</v>
      </c>
      <c r="N1201" s="129" t="s">
        <v>1548</v>
      </c>
      <c r="O1201" s="130">
        <v>20</v>
      </c>
      <c r="P1201" s="130">
        <v>12</v>
      </c>
      <c r="Q1201" s="130">
        <v>17</v>
      </c>
      <c r="R1201" s="129" t="s">
        <v>190</v>
      </c>
      <c r="S1201" s="129" t="s">
        <v>191</v>
      </c>
      <c r="T1201" s="130">
        <v>215</v>
      </c>
      <c r="U1201" s="129" t="s">
        <v>447</v>
      </c>
      <c r="V1201" s="129" t="s">
        <v>211</v>
      </c>
      <c r="W1201" s="130">
        <v>1</v>
      </c>
      <c r="X1201" s="130">
        <v>2</v>
      </c>
      <c r="Y1201" s="129" t="s">
        <v>194</v>
      </c>
      <c r="Z1201" s="129" t="s">
        <v>195</v>
      </c>
      <c r="AA1201" s="129" t="s">
        <v>196</v>
      </c>
      <c r="AB1201" s="129" t="s">
        <v>187</v>
      </c>
      <c r="AC1201" s="129" t="s">
        <v>187</v>
      </c>
      <c r="AD1201" s="131"/>
      <c r="AE1201" s="129" t="s">
        <v>209</v>
      </c>
      <c r="AF1201" s="130">
        <v>-3.6008399999999998</v>
      </c>
      <c r="AG1201" s="132">
        <v>135.02672999999999</v>
      </c>
      <c r="AO1201" s="121"/>
      <c r="AT1201" s="111"/>
      <c r="AX1201" s="121"/>
    </row>
    <row r="1202" spans="1:50" s="110" customFormat="1" ht="20" customHeight="1">
      <c r="A1202" s="125" t="s">
        <v>237</v>
      </c>
      <c r="B1202" s="126" t="s">
        <v>60</v>
      </c>
      <c r="C1202" s="127">
        <v>19545</v>
      </c>
      <c r="D1202" s="163">
        <v>115549</v>
      </c>
      <c r="E1202" s="164" t="s">
        <v>2124</v>
      </c>
      <c r="F1202" s="164" t="s">
        <v>2124</v>
      </c>
      <c r="G1202" s="165">
        <v>700</v>
      </c>
      <c r="H1202" s="165">
        <v>1</v>
      </c>
      <c r="I1202" s="164" t="s">
        <v>187</v>
      </c>
      <c r="J1202" s="164" t="s">
        <v>2125</v>
      </c>
      <c r="K1202" s="164" t="s">
        <v>2124</v>
      </c>
      <c r="L1202" s="165">
        <v>1</v>
      </c>
      <c r="M1202" s="165">
        <v>4</v>
      </c>
      <c r="N1202" s="164" t="s">
        <v>1548</v>
      </c>
      <c r="O1202" s="165">
        <v>4</v>
      </c>
      <c r="P1202" s="165">
        <v>2</v>
      </c>
      <c r="Q1202" s="165">
        <v>17</v>
      </c>
      <c r="R1202" s="164" t="s">
        <v>190</v>
      </c>
      <c r="S1202" s="164" t="s">
        <v>191</v>
      </c>
      <c r="T1202" s="165">
        <v>215</v>
      </c>
      <c r="U1202" s="164" t="s">
        <v>447</v>
      </c>
      <c r="V1202" s="164" t="s">
        <v>211</v>
      </c>
      <c r="W1202" s="165">
        <v>1</v>
      </c>
      <c r="X1202" s="165">
        <v>2</v>
      </c>
      <c r="Y1202" s="164" t="s">
        <v>194</v>
      </c>
      <c r="Z1202" s="164" t="s">
        <v>195</v>
      </c>
      <c r="AA1202" s="164" t="s">
        <v>196</v>
      </c>
      <c r="AB1202" s="164" t="s">
        <v>187</v>
      </c>
      <c r="AC1202" s="164" t="s">
        <v>187</v>
      </c>
      <c r="AD1202" s="165">
        <v>1</v>
      </c>
      <c r="AE1202" s="164" t="s">
        <v>209</v>
      </c>
      <c r="AF1202" s="165">
        <v>3.9687870144714701</v>
      </c>
      <c r="AG1202" s="166">
        <v>114.651815249187</v>
      </c>
      <c r="AO1202" s="121"/>
      <c r="AT1202" s="111"/>
      <c r="AX1202" s="121"/>
    </row>
    <row r="1203" spans="1:50" s="110" customFormat="1" ht="20" customHeight="1">
      <c r="A1203" s="125" t="s">
        <v>237</v>
      </c>
      <c r="B1203" s="126" t="s">
        <v>60</v>
      </c>
      <c r="C1203" s="127">
        <v>14538</v>
      </c>
      <c r="D1203" s="145">
        <v>108347</v>
      </c>
      <c r="E1203" s="146" t="s">
        <v>3470</v>
      </c>
      <c r="F1203" s="146" t="s">
        <v>3471</v>
      </c>
      <c r="G1203" s="147">
        <v>8100</v>
      </c>
      <c r="H1203" s="147">
        <v>4</v>
      </c>
      <c r="I1203" s="146" t="s">
        <v>209</v>
      </c>
      <c r="J1203" s="146" t="s">
        <v>3472</v>
      </c>
      <c r="K1203" s="146" t="s">
        <v>3473</v>
      </c>
      <c r="L1203" s="147">
        <v>1</v>
      </c>
      <c r="M1203" s="147">
        <v>4</v>
      </c>
      <c r="N1203" s="146" t="s">
        <v>1548</v>
      </c>
      <c r="O1203" s="147">
        <v>18</v>
      </c>
      <c r="P1203" s="147">
        <v>6</v>
      </c>
      <c r="Q1203" s="147">
        <v>17</v>
      </c>
      <c r="R1203" s="146" t="s">
        <v>190</v>
      </c>
      <c r="S1203" s="146" t="s">
        <v>191</v>
      </c>
      <c r="T1203" s="147">
        <v>215</v>
      </c>
      <c r="U1203" s="146" t="s">
        <v>447</v>
      </c>
      <c r="V1203" s="146" t="s">
        <v>211</v>
      </c>
      <c r="W1203" s="147">
        <v>1</v>
      </c>
      <c r="X1203" s="147">
        <v>2</v>
      </c>
      <c r="Y1203" s="146" t="s">
        <v>194</v>
      </c>
      <c r="Z1203" s="146" t="s">
        <v>195</v>
      </c>
      <c r="AA1203" s="146" t="s">
        <v>196</v>
      </c>
      <c r="AB1203" s="146" t="s">
        <v>187</v>
      </c>
      <c r="AC1203" s="146" t="s">
        <v>187</v>
      </c>
      <c r="AD1203" s="148"/>
      <c r="AE1203" s="146" t="s">
        <v>209</v>
      </c>
      <c r="AF1203" s="147">
        <v>2.54745</v>
      </c>
      <c r="AG1203" s="149">
        <v>113.89816</v>
      </c>
      <c r="AO1203" s="121"/>
      <c r="AT1203" s="111"/>
      <c r="AX1203" s="121"/>
    </row>
    <row r="1204" spans="1:50" s="110" customFormat="1" ht="20" customHeight="1">
      <c r="A1204" s="125" t="s">
        <v>1620</v>
      </c>
      <c r="B1204" s="126" t="s">
        <v>61</v>
      </c>
      <c r="C1204" s="127">
        <v>13769</v>
      </c>
      <c r="D1204" s="163">
        <v>106723</v>
      </c>
      <c r="E1204" s="164" t="s">
        <v>2733</v>
      </c>
      <c r="F1204" s="164" t="s">
        <v>2733</v>
      </c>
      <c r="G1204" s="165">
        <v>4600</v>
      </c>
      <c r="H1204" s="165">
        <v>1</v>
      </c>
      <c r="I1204" s="164" t="s">
        <v>187</v>
      </c>
      <c r="J1204" s="164" t="s">
        <v>2734</v>
      </c>
      <c r="K1204" s="164" t="s">
        <v>2735</v>
      </c>
      <c r="L1204" s="165">
        <v>4</v>
      </c>
      <c r="M1204" s="165">
        <v>4</v>
      </c>
      <c r="N1204" s="164" t="s">
        <v>1548</v>
      </c>
      <c r="O1204" s="165">
        <v>0.05</v>
      </c>
      <c r="P1204" s="165">
        <v>0.04</v>
      </c>
      <c r="Q1204" s="165">
        <v>17</v>
      </c>
      <c r="R1204" s="164" t="s">
        <v>190</v>
      </c>
      <c r="S1204" s="164" t="s">
        <v>191</v>
      </c>
      <c r="T1204" s="165">
        <v>215</v>
      </c>
      <c r="U1204" s="164" t="s">
        <v>447</v>
      </c>
      <c r="V1204" s="164" t="s">
        <v>211</v>
      </c>
      <c r="W1204" s="165">
        <v>2</v>
      </c>
      <c r="X1204" s="165">
        <v>2</v>
      </c>
      <c r="Y1204" s="164" t="s">
        <v>194</v>
      </c>
      <c r="Z1204" s="164" t="s">
        <v>195</v>
      </c>
      <c r="AA1204" s="164" t="s">
        <v>196</v>
      </c>
      <c r="AB1204" s="164" t="s">
        <v>187</v>
      </c>
      <c r="AC1204" s="164" t="s">
        <v>187</v>
      </c>
      <c r="AD1204" s="165">
        <v>1</v>
      </c>
      <c r="AE1204" s="164" t="s">
        <v>187</v>
      </c>
      <c r="AF1204" s="165">
        <v>12.464379999837099</v>
      </c>
      <c r="AG1204" s="166">
        <v>98.388289999983499</v>
      </c>
      <c r="AO1204" s="121"/>
      <c r="AT1204" s="111"/>
      <c r="AX1204" s="121"/>
    </row>
    <row r="1205" spans="1:50" s="110" customFormat="1" ht="20" customHeight="1">
      <c r="A1205" s="125" t="s">
        <v>478</v>
      </c>
      <c r="B1205" s="126" t="s">
        <v>56</v>
      </c>
      <c r="C1205" s="127">
        <v>13772</v>
      </c>
      <c r="D1205" s="163">
        <v>106726</v>
      </c>
      <c r="E1205" s="164" t="s">
        <v>3096</v>
      </c>
      <c r="F1205" s="164" t="s">
        <v>3096</v>
      </c>
      <c r="G1205" s="165">
        <v>4400</v>
      </c>
      <c r="H1205" s="165">
        <v>1</v>
      </c>
      <c r="I1205" s="164" t="s">
        <v>187</v>
      </c>
      <c r="J1205" s="164" t="s">
        <v>3097</v>
      </c>
      <c r="K1205" s="164" t="s">
        <v>3096</v>
      </c>
      <c r="L1205" s="165">
        <v>1</v>
      </c>
      <c r="M1205" s="165">
        <v>4</v>
      </c>
      <c r="N1205" s="164" t="s">
        <v>1548</v>
      </c>
      <c r="O1205" s="165">
        <v>2.2000000000000002</v>
      </c>
      <c r="P1205" s="165">
        <v>1</v>
      </c>
      <c r="Q1205" s="165">
        <v>17</v>
      </c>
      <c r="R1205" s="164" t="s">
        <v>190</v>
      </c>
      <c r="S1205" s="164" t="s">
        <v>191</v>
      </c>
      <c r="T1205" s="165">
        <v>215</v>
      </c>
      <c r="U1205" s="164" t="s">
        <v>447</v>
      </c>
      <c r="V1205" s="164" t="s">
        <v>211</v>
      </c>
      <c r="W1205" s="165">
        <v>1</v>
      </c>
      <c r="X1205" s="165">
        <v>2</v>
      </c>
      <c r="Y1205" s="164" t="s">
        <v>194</v>
      </c>
      <c r="Z1205" s="164" t="s">
        <v>195</v>
      </c>
      <c r="AA1205" s="164" t="s">
        <v>196</v>
      </c>
      <c r="AB1205" s="164" t="s">
        <v>187</v>
      </c>
      <c r="AC1205" s="164" t="s">
        <v>187</v>
      </c>
      <c r="AD1205" s="165">
        <v>1</v>
      </c>
      <c r="AE1205" s="164" t="s">
        <v>209</v>
      </c>
      <c r="AF1205" s="165">
        <v>8.66629</v>
      </c>
      <c r="AG1205" s="166">
        <v>98.256169999999997</v>
      </c>
      <c r="AO1205" s="121"/>
      <c r="AT1205" s="111"/>
      <c r="AX1205" s="121"/>
    </row>
    <row r="1206" spans="1:50" s="110" customFormat="1" ht="20" customHeight="1">
      <c r="A1206" s="125" t="s">
        <v>478</v>
      </c>
      <c r="B1206" s="126" t="s">
        <v>56</v>
      </c>
      <c r="C1206" s="127">
        <v>13769</v>
      </c>
      <c r="D1206" s="163">
        <v>106723</v>
      </c>
      <c r="E1206" s="164" t="s">
        <v>2733</v>
      </c>
      <c r="F1206" s="164" t="s">
        <v>2733</v>
      </c>
      <c r="G1206" s="165">
        <v>2100</v>
      </c>
      <c r="H1206" s="165">
        <v>1</v>
      </c>
      <c r="I1206" s="164" t="s">
        <v>187</v>
      </c>
      <c r="J1206" s="164" t="s">
        <v>2734</v>
      </c>
      <c r="K1206" s="164" t="s">
        <v>2735</v>
      </c>
      <c r="L1206" s="165">
        <v>4</v>
      </c>
      <c r="M1206" s="165">
        <v>4</v>
      </c>
      <c r="N1206" s="164" t="s">
        <v>1548</v>
      </c>
      <c r="O1206" s="165">
        <v>0.3</v>
      </c>
      <c r="P1206" s="165">
        <v>0.04</v>
      </c>
      <c r="Q1206" s="165">
        <v>17</v>
      </c>
      <c r="R1206" s="164" t="s">
        <v>190</v>
      </c>
      <c r="S1206" s="164" t="s">
        <v>191</v>
      </c>
      <c r="T1206" s="165">
        <v>215</v>
      </c>
      <c r="U1206" s="164" t="s">
        <v>447</v>
      </c>
      <c r="V1206" s="164" t="s">
        <v>211</v>
      </c>
      <c r="W1206" s="165">
        <v>2</v>
      </c>
      <c r="X1206" s="165">
        <v>2</v>
      </c>
      <c r="Y1206" s="164" t="s">
        <v>194</v>
      </c>
      <c r="Z1206" s="164" t="s">
        <v>195</v>
      </c>
      <c r="AA1206" s="164" t="s">
        <v>196</v>
      </c>
      <c r="AB1206" s="164" t="s">
        <v>187</v>
      </c>
      <c r="AC1206" s="164" t="s">
        <v>187</v>
      </c>
      <c r="AD1206" s="165">
        <v>1</v>
      </c>
      <c r="AE1206" s="164" t="s">
        <v>209</v>
      </c>
      <c r="AF1206" s="165">
        <v>8.1234719999999996</v>
      </c>
      <c r="AG1206" s="166">
        <v>98.847599000000002</v>
      </c>
      <c r="AO1206" s="121"/>
      <c r="AT1206" s="111"/>
      <c r="AX1206" s="121"/>
    </row>
    <row r="1207" spans="1:50" s="110" customFormat="1" ht="20" customHeight="1">
      <c r="A1207" s="125" t="s">
        <v>185</v>
      </c>
      <c r="B1207" s="126" t="s">
        <v>59</v>
      </c>
      <c r="C1207" s="127">
        <v>12135</v>
      </c>
      <c r="D1207" s="163">
        <v>103890</v>
      </c>
      <c r="E1207" s="164" t="s">
        <v>1930</v>
      </c>
      <c r="F1207" s="164" t="s">
        <v>1930</v>
      </c>
      <c r="G1207" s="165">
        <v>500</v>
      </c>
      <c r="H1207" s="165">
        <v>1</v>
      </c>
      <c r="I1207" s="164" t="s">
        <v>187</v>
      </c>
      <c r="J1207" s="164" t="s">
        <v>1931</v>
      </c>
      <c r="K1207" s="164" t="s">
        <v>1930</v>
      </c>
      <c r="L1207" s="165">
        <v>1</v>
      </c>
      <c r="M1207" s="165">
        <v>4</v>
      </c>
      <c r="N1207" s="164" t="s">
        <v>1548</v>
      </c>
      <c r="O1207" s="165">
        <v>4</v>
      </c>
      <c r="P1207" s="165">
        <v>0.5</v>
      </c>
      <c r="Q1207" s="165">
        <v>17</v>
      </c>
      <c r="R1207" s="164" t="s">
        <v>190</v>
      </c>
      <c r="S1207" s="164" t="s">
        <v>191</v>
      </c>
      <c r="T1207" s="165">
        <v>222</v>
      </c>
      <c r="U1207" s="164" t="s">
        <v>256</v>
      </c>
      <c r="V1207" s="164" t="s">
        <v>257</v>
      </c>
      <c r="W1207" s="165">
        <v>1</v>
      </c>
      <c r="X1207" s="165">
        <v>2</v>
      </c>
      <c r="Y1207" s="164" t="s">
        <v>194</v>
      </c>
      <c r="Z1207" s="164" t="s">
        <v>195</v>
      </c>
      <c r="AA1207" s="164" t="s">
        <v>196</v>
      </c>
      <c r="AB1207" s="164" t="s">
        <v>187</v>
      </c>
      <c r="AC1207" s="164" t="s">
        <v>187</v>
      </c>
      <c r="AD1207" s="165">
        <v>1</v>
      </c>
      <c r="AE1207" s="164" t="s">
        <v>209</v>
      </c>
      <c r="AF1207" s="165">
        <v>-2.948</v>
      </c>
      <c r="AG1207" s="166">
        <v>129.20107999999999</v>
      </c>
      <c r="AO1207" s="121"/>
      <c r="AT1207" s="111"/>
      <c r="AX1207" s="121"/>
    </row>
    <row r="1208" spans="1:50" s="110" customFormat="1" ht="20" customHeight="1">
      <c r="A1208" s="125" t="s">
        <v>185</v>
      </c>
      <c r="B1208" s="126" t="s">
        <v>59</v>
      </c>
      <c r="C1208" s="127">
        <v>11030</v>
      </c>
      <c r="D1208" s="157">
        <v>101779</v>
      </c>
      <c r="E1208" s="158" t="s">
        <v>4427</v>
      </c>
      <c r="F1208" s="158" t="s">
        <v>4427</v>
      </c>
      <c r="G1208" s="159">
        <v>51000</v>
      </c>
      <c r="H1208" s="159">
        <v>2</v>
      </c>
      <c r="I1208" s="158" t="s">
        <v>209</v>
      </c>
      <c r="J1208" s="158" t="s">
        <v>4428</v>
      </c>
      <c r="K1208" s="158" t="s">
        <v>4429</v>
      </c>
      <c r="L1208" s="159">
        <v>3</v>
      </c>
      <c r="M1208" s="159">
        <v>4</v>
      </c>
      <c r="N1208" s="158" t="s">
        <v>1548</v>
      </c>
      <c r="O1208" s="159">
        <v>12</v>
      </c>
      <c r="P1208" s="159">
        <v>2</v>
      </c>
      <c r="Q1208" s="159">
        <v>17</v>
      </c>
      <c r="R1208" s="158" t="s">
        <v>190</v>
      </c>
      <c r="S1208" s="158" t="s">
        <v>191</v>
      </c>
      <c r="T1208" s="159">
        <v>222</v>
      </c>
      <c r="U1208" s="158" t="s">
        <v>256</v>
      </c>
      <c r="V1208" s="158" t="s">
        <v>257</v>
      </c>
      <c r="W1208" s="159">
        <v>1</v>
      </c>
      <c r="X1208" s="159">
        <v>2</v>
      </c>
      <c r="Y1208" s="158" t="s">
        <v>194</v>
      </c>
      <c r="Z1208" s="158" t="s">
        <v>195</v>
      </c>
      <c r="AA1208" s="158" t="s">
        <v>196</v>
      </c>
      <c r="AB1208" s="158" t="s">
        <v>187</v>
      </c>
      <c r="AC1208" s="158" t="s">
        <v>187</v>
      </c>
      <c r="AD1208" s="160"/>
      <c r="AE1208" s="158" t="s">
        <v>209</v>
      </c>
      <c r="AF1208" s="159">
        <v>-3.44841</v>
      </c>
      <c r="AG1208" s="161">
        <v>126.61288999999999</v>
      </c>
      <c r="AO1208" s="121"/>
      <c r="AT1208" s="111"/>
      <c r="AX1208" s="121"/>
    </row>
    <row r="1209" spans="1:50" s="110" customFormat="1" ht="20" customHeight="1">
      <c r="A1209" s="125" t="s">
        <v>185</v>
      </c>
      <c r="B1209" s="126" t="s">
        <v>59</v>
      </c>
      <c r="C1209" s="127">
        <v>15817</v>
      </c>
      <c r="D1209" s="157">
        <v>110618</v>
      </c>
      <c r="E1209" s="158" t="s">
        <v>3667</v>
      </c>
      <c r="F1209" s="158" t="s">
        <v>3667</v>
      </c>
      <c r="G1209" s="159">
        <v>11000</v>
      </c>
      <c r="H1209" s="159">
        <v>2</v>
      </c>
      <c r="I1209" s="158" t="s">
        <v>209</v>
      </c>
      <c r="J1209" s="158" t="s">
        <v>3668</v>
      </c>
      <c r="K1209" s="158" t="s">
        <v>3669</v>
      </c>
      <c r="L1209" s="159">
        <v>1</v>
      </c>
      <c r="M1209" s="159">
        <v>4</v>
      </c>
      <c r="N1209" s="158" t="s">
        <v>1548</v>
      </c>
      <c r="O1209" s="159">
        <v>12</v>
      </c>
      <c r="P1209" s="159">
        <v>1</v>
      </c>
      <c r="Q1209" s="159">
        <v>17</v>
      </c>
      <c r="R1209" s="158" t="s">
        <v>190</v>
      </c>
      <c r="S1209" s="158" t="s">
        <v>191</v>
      </c>
      <c r="T1209" s="159">
        <v>222</v>
      </c>
      <c r="U1209" s="158" t="s">
        <v>256</v>
      </c>
      <c r="V1209" s="158" t="s">
        <v>257</v>
      </c>
      <c r="W1209" s="159">
        <v>1</v>
      </c>
      <c r="X1209" s="159">
        <v>2</v>
      </c>
      <c r="Y1209" s="158" t="s">
        <v>194</v>
      </c>
      <c r="Z1209" s="158" t="s">
        <v>195</v>
      </c>
      <c r="AA1209" s="158" t="s">
        <v>196</v>
      </c>
      <c r="AB1209" s="158" t="s">
        <v>187</v>
      </c>
      <c r="AC1209" s="158" t="s">
        <v>187</v>
      </c>
      <c r="AD1209" s="160"/>
      <c r="AE1209" s="158" t="s">
        <v>209</v>
      </c>
      <c r="AF1209" s="159">
        <v>-3.0814300000000001</v>
      </c>
      <c r="AG1209" s="161">
        <v>129.46758</v>
      </c>
      <c r="AO1209" s="121"/>
      <c r="AT1209" s="111"/>
      <c r="AX1209" s="121"/>
    </row>
    <row r="1210" spans="1:50" s="110" customFormat="1" ht="20" customHeight="1">
      <c r="A1210" s="125" t="s">
        <v>185</v>
      </c>
      <c r="B1210" s="126" t="s">
        <v>59</v>
      </c>
      <c r="C1210" s="127">
        <v>12310</v>
      </c>
      <c r="D1210" s="157">
        <v>104151</v>
      </c>
      <c r="E1210" s="158" t="s">
        <v>2662</v>
      </c>
      <c r="F1210" s="158" t="s">
        <v>2662</v>
      </c>
      <c r="G1210" s="159">
        <v>1900</v>
      </c>
      <c r="H1210" s="159">
        <v>2</v>
      </c>
      <c r="I1210" s="158" t="s">
        <v>209</v>
      </c>
      <c r="J1210" s="158" t="s">
        <v>2663</v>
      </c>
      <c r="K1210" s="158" t="s">
        <v>2664</v>
      </c>
      <c r="L1210" s="159">
        <v>1</v>
      </c>
      <c r="M1210" s="159">
        <v>4</v>
      </c>
      <c r="N1210" s="158" t="s">
        <v>1548</v>
      </c>
      <c r="O1210" s="159">
        <v>9</v>
      </c>
      <c r="P1210" s="159">
        <v>2</v>
      </c>
      <c r="Q1210" s="159">
        <v>17</v>
      </c>
      <c r="R1210" s="158" t="s">
        <v>190</v>
      </c>
      <c r="S1210" s="158" t="s">
        <v>191</v>
      </c>
      <c r="T1210" s="159">
        <v>222</v>
      </c>
      <c r="U1210" s="158" t="s">
        <v>256</v>
      </c>
      <c r="V1210" s="158" t="s">
        <v>257</v>
      </c>
      <c r="W1210" s="159">
        <v>1</v>
      </c>
      <c r="X1210" s="159">
        <v>2</v>
      </c>
      <c r="Y1210" s="158" t="s">
        <v>194</v>
      </c>
      <c r="Z1210" s="158" t="s">
        <v>195</v>
      </c>
      <c r="AA1210" s="158" t="s">
        <v>196</v>
      </c>
      <c r="AB1210" s="158" t="s">
        <v>187</v>
      </c>
      <c r="AC1210" s="158" t="s">
        <v>187</v>
      </c>
      <c r="AD1210" s="160"/>
      <c r="AE1210" s="158" t="s">
        <v>209</v>
      </c>
      <c r="AF1210" s="159">
        <v>-3.3600599999999998</v>
      </c>
      <c r="AG1210" s="161">
        <v>129.31306000000001</v>
      </c>
      <c r="AO1210" s="121"/>
      <c r="AT1210" s="111"/>
      <c r="AX1210" s="121"/>
    </row>
    <row r="1211" spans="1:50" s="110" customFormat="1" ht="20" customHeight="1">
      <c r="A1211" s="125" t="s">
        <v>185</v>
      </c>
      <c r="B1211" s="126" t="s">
        <v>59</v>
      </c>
      <c r="C1211" s="127">
        <v>14071</v>
      </c>
      <c r="D1211" s="145">
        <v>107520</v>
      </c>
      <c r="E1211" s="146" t="s">
        <v>2951</v>
      </c>
      <c r="F1211" s="146" t="s">
        <v>2951</v>
      </c>
      <c r="G1211" s="147">
        <v>3400</v>
      </c>
      <c r="H1211" s="147">
        <v>4</v>
      </c>
      <c r="I1211" s="146" t="s">
        <v>209</v>
      </c>
      <c r="J1211" s="146" t="s">
        <v>254</v>
      </c>
      <c r="K1211" s="146" t="s">
        <v>255</v>
      </c>
      <c r="L1211" s="147">
        <v>3</v>
      </c>
      <c r="M1211" s="147">
        <v>4</v>
      </c>
      <c r="N1211" s="146" t="s">
        <v>1548</v>
      </c>
      <c r="O1211" s="147">
        <v>25</v>
      </c>
      <c r="P1211" s="147">
        <v>4</v>
      </c>
      <c r="Q1211" s="147">
        <v>17</v>
      </c>
      <c r="R1211" s="146" t="s">
        <v>190</v>
      </c>
      <c r="S1211" s="146" t="s">
        <v>191</v>
      </c>
      <c r="T1211" s="147">
        <v>222</v>
      </c>
      <c r="U1211" s="146" t="s">
        <v>256</v>
      </c>
      <c r="V1211" s="146" t="s">
        <v>257</v>
      </c>
      <c r="W1211" s="147">
        <v>1</v>
      </c>
      <c r="X1211" s="147">
        <v>2</v>
      </c>
      <c r="Y1211" s="146" t="s">
        <v>194</v>
      </c>
      <c r="Z1211" s="146" t="s">
        <v>195</v>
      </c>
      <c r="AA1211" s="146" t="s">
        <v>196</v>
      </c>
      <c r="AB1211" s="146" t="s">
        <v>187</v>
      </c>
      <c r="AC1211" s="146" t="s">
        <v>187</v>
      </c>
      <c r="AD1211" s="148"/>
      <c r="AE1211" s="146" t="s">
        <v>209</v>
      </c>
      <c r="AF1211" s="147">
        <v>-3.6739899999999999</v>
      </c>
      <c r="AG1211" s="149">
        <v>128.77494999999999</v>
      </c>
      <c r="AO1211" s="121"/>
      <c r="AT1211" s="111"/>
      <c r="AX1211" s="121"/>
    </row>
    <row r="1212" spans="1:50" s="110" customFormat="1" ht="20" customHeight="1">
      <c r="A1212" s="125" t="s">
        <v>185</v>
      </c>
      <c r="B1212" s="126" t="s">
        <v>59</v>
      </c>
      <c r="C1212" s="127">
        <v>19076</v>
      </c>
      <c r="D1212" s="145">
        <v>114887</v>
      </c>
      <c r="E1212" s="146" t="s">
        <v>2903</v>
      </c>
      <c r="F1212" s="146" t="s">
        <v>2903</v>
      </c>
      <c r="G1212" s="147">
        <v>3100</v>
      </c>
      <c r="H1212" s="147">
        <v>4</v>
      </c>
      <c r="I1212" s="146" t="s">
        <v>209</v>
      </c>
      <c r="J1212" s="146" t="s">
        <v>2904</v>
      </c>
      <c r="K1212" s="146" t="s">
        <v>2905</v>
      </c>
      <c r="L1212" s="147">
        <v>1</v>
      </c>
      <c r="M1212" s="147">
        <v>4</v>
      </c>
      <c r="N1212" s="146" t="s">
        <v>1548</v>
      </c>
      <c r="O1212" s="147">
        <v>25</v>
      </c>
      <c r="P1212" s="147">
        <v>3</v>
      </c>
      <c r="Q1212" s="147">
        <v>17</v>
      </c>
      <c r="R1212" s="146" t="s">
        <v>190</v>
      </c>
      <c r="S1212" s="146" t="s">
        <v>191</v>
      </c>
      <c r="T1212" s="147">
        <v>222</v>
      </c>
      <c r="U1212" s="146" t="s">
        <v>256</v>
      </c>
      <c r="V1212" s="146" t="s">
        <v>257</v>
      </c>
      <c r="W1212" s="147">
        <v>1</v>
      </c>
      <c r="X1212" s="147">
        <v>2</v>
      </c>
      <c r="Y1212" s="146" t="s">
        <v>194</v>
      </c>
      <c r="Z1212" s="146" t="s">
        <v>195</v>
      </c>
      <c r="AA1212" s="146" t="s">
        <v>196</v>
      </c>
      <c r="AB1212" s="146" t="s">
        <v>187</v>
      </c>
      <c r="AC1212" s="146" t="s">
        <v>187</v>
      </c>
      <c r="AD1212" s="148"/>
      <c r="AE1212" s="146" t="s">
        <v>209</v>
      </c>
      <c r="AF1212" s="147">
        <v>1.66269</v>
      </c>
      <c r="AG1212" s="149">
        <v>127.58328</v>
      </c>
      <c r="AO1212" s="121"/>
      <c r="AT1212" s="111"/>
      <c r="AX1212" s="121"/>
    </row>
    <row r="1213" spans="1:50" s="110" customFormat="1" ht="20" customHeight="1">
      <c r="A1213" s="125" t="s">
        <v>185</v>
      </c>
      <c r="B1213" s="126" t="s">
        <v>59</v>
      </c>
      <c r="C1213" s="127">
        <v>14053</v>
      </c>
      <c r="D1213" s="145">
        <v>107491</v>
      </c>
      <c r="E1213" s="146" t="s">
        <v>2719</v>
      </c>
      <c r="F1213" s="146" t="s">
        <v>2719</v>
      </c>
      <c r="G1213" s="147">
        <v>2100</v>
      </c>
      <c r="H1213" s="147">
        <v>4</v>
      </c>
      <c r="I1213" s="146" t="s">
        <v>209</v>
      </c>
      <c r="J1213" s="146" t="s">
        <v>2720</v>
      </c>
      <c r="K1213" s="146" t="s">
        <v>2719</v>
      </c>
      <c r="L1213" s="147">
        <v>3</v>
      </c>
      <c r="M1213" s="147">
        <v>4</v>
      </c>
      <c r="N1213" s="146" t="s">
        <v>1548</v>
      </c>
      <c r="O1213" s="147">
        <v>8</v>
      </c>
      <c r="P1213" s="147">
        <v>6</v>
      </c>
      <c r="Q1213" s="147">
        <v>17</v>
      </c>
      <c r="R1213" s="146" t="s">
        <v>190</v>
      </c>
      <c r="S1213" s="146" t="s">
        <v>191</v>
      </c>
      <c r="T1213" s="147">
        <v>222</v>
      </c>
      <c r="U1213" s="146" t="s">
        <v>256</v>
      </c>
      <c r="V1213" s="146" t="s">
        <v>257</v>
      </c>
      <c r="W1213" s="147">
        <v>1</v>
      </c>
      <c r="X1213" s="147">
        <v>2</v>
      </c>
      <c r="Y1213" s="146" t="s">
        <v>194</v>
      </c>
      <c r="Z1213" s="146" t="s">
        <v>195</v>
      </c>
      <c r="AA1213" s="146" t="s">
        <v>196</v>
      </c>
      <c r="AB1213" s="146" t="s">
        <v>187</v>
      </c>
      <c r="AC1213" s="146" t="s">
        <v>187</v>
      </c>
      <c r="AD1213" s="148"/>
      <c r="AE1213" s="146" t="s">
        <v>209</v>
      </c>
      <c r="AF1213" s="147">
        <v>-3.2597200000000002</v>
      </c>
      <c r="AG1213" s="149">
        <v>129.1584</v>
      </c>
      <c r="AO1213" s="121"/>
      <c r="AT1213" s="111"/>
      <c r="AX1213" s="121"/>
    </row>
    <row r="1214" spans="1:50" s="110" customFormat="1" ht="20" customHeight="1">
      <c r="A1214" s="125" t="s">
        <v>185</v>
      </c>
      <c r="B1214" s="126" t="s">
        <v>59</v>
      </c>
      <c r="C1214" s="127">
        <v>10792</v>
      </c>
      <c r="D1214" s="145">
        <v>101256</v>
      </c>
      <c r="E1214" s="146" t="s">
        <v>2017</v>
      </c>
      <c r="F1214" s="146" t="s">
        <v>2017</v>
      </c>
      <c r="G1214" s="147">
        <v>600</v>
      </c>
      <c r="H1214" s="147">
        <v>4</v>
      </c>
      <c r="I1214" s="146" t="s">
        <v>209</v>
      </c>
      <c r="J1214" s="146" t="s">
        <v>2018</v>
      </c>
      <c r="K1214" s="146" t="s">
        <v>2019</v>
      </c>
      <c r="L1214" s="147">
        <v>0</v>
      </c>
      <c r="M1214" s="147">
        <v>4</v>
      </c>
      <c r="N1214" s="146" t="s">
        <v>1548</v>
      </c>
      <c r="O1214" s="147">
        <v>14</v>
      </c>
      <c r="P1214" s="147">
        <v>3</v>
      </c>
      <c r="Q1214" s="147">
        <v>17</v>
      </c>
      <c r="R1214" s="146" t="s">
        <v>190</v>
      </c>
      <c r="S1214" s="146" t="s">
        <v>191</v>
      </c>
      <c r="T1214" s="147">
        <v>222</v>
      </c>
      <c r="U1214" s="146" t="s">
        <v>256</v>
      </c>
      <c r="V1214" s="146" t="s">
        <v>257</v>
      </c>
      <c r="W1214" s="147">
        <v>1</v>
      </c>
      <c r="X1214" s="147">
        <v>2</v>
      </c>
      <c r="Y1214" s="146" t="s">
        <v>194</v>
      </c>
      <c r="Z1214" s="146" t="s">
        <v>195</v>
      </c>
      <c r="AA1214" s="146" t="s">
        <v>196</v>
      </c>
      <c r="AB1214" s="146" t="s">
        <v>187</v>
      </c>
      <c r="AC1214" s="146" t="s">
        <v>187</v>
      </c>
      <c r="AD1214" s="148"/>
      <c r="AE1214" s="146" t="s">
        <v>209</v>
      </c>
      <c r="AF1214" s="147">
        <v>-3.1295999999999999</v>
      </c>
      <c r="AG1214" s="149">
        <v>130.08975000000001</v>
      </c>
      <c r="AO1214" s="121"/>
      <c r="AT1214" s="111"/>
      <c r="AX1214" s="121"/>
    </row>
    <row r="1215" spans="1:50" s="110" customFormat="1" ht="20" customHeight="1">
      <c r="A1215" s="125" t="s">
        <v>185</v>
      </c>
      <c r="B1215" s="126" t="s">
        <v>59</v>
      </c>
      <c r="C1215" s="127">
        <v>13117</v>
      </c>
      <c r="D1215" s="145">
        <v>105873</v>
      </c>
      <c r="E1215" s="146" t="s">
        <v>1553</v>
      </c>
      <c r="F1215" s="146" t="s">
        <v>1553</v>
      </c>
      <c r="G1215" s="147">
        <v>60</v>
      </c>
      <c r="H1215" s="147">
        <v>4</v>
      </c>
      <c r="I1215" s="146" t="s">
        <v>209</v>
      </c>
      <c r="J1215" s="146" t="s">
        <v>254</v>
      </c>
      <c r="K1215" s="146" t="s">
        <v>255</v>
      </c>
      <c r="L1215" s="147">
        <v>3</v>
      </c>
      <c r="M1215" s="147">
        <v>4</v>
      </c>
      <c r="N1215" s="146" t="s">
        <v>1548</v>
      </c>
      <c r="O1215" s="147">
        <v>40</v>
      </c>
      <c r="P1215" s="147">
        <v>10</v>
      </c>
      <c r="Q1215" s="147">
        <v>17</v>
      </c>
      <c r="R1215" s="146" t="s">
        <v>190</v>
      </c>
      <c r="S1215" s="146" t="s">
        <v>191</v>
      </c>
      <c r="T1215" s="147">
        <v>222</v>
      </c>
      <c r="U1215" s="146" t="s">
        <v>256</v>
      </c>
      <c r="V1215" s="146" t="s">
        <v>257</v>
      </c>
      <c r="W1215" s="147">
        <v>1</v>
      </c>
      <c r="X1215" s="147">
        <v>2</v>
      </c>
      <c r="Y1215" s="146" t="s">
        <v>194</v>
      </c>
      <c r="Z1215" s="146" t="s">
        <v>195</v>
      </c>
      <c r="AA1215" s="146" t="s">
        <v>196</v>
      </c>
      <c r="AB1215" s="146" t="s">
        <v>187</v>
      </c>
      <c r="AC1215" s="146" t="s">
        <v>187</v>
      </c>
      <c r="AD1215" s="148"/>
      <c r="AE1215" s="146" t="s">
        <v>209</v>
      </c>
      <c r="AF1215" s="147">
        <v>-2.8770500000000001</v>
      </c>
      <c r="AG1215" s="149">
        <v>128.91265000000001</v>
      </c>
      <c r="AO1215" s="121"/>
      <c r="AT1215" s="111"/>
      <c r="AX1215" s="121"/>
    </row>
    <row r="1216" spans="1:50" s="110" customFormat="1" ht="20" customHeight="1">
      <c r="A1216" s="125" t="s">
        <v>185</v>
      </c>
      <c r="B1216" s="126" t="s">
        <v>59</v>
      </c>
      <c r="C1216" s="127">
        <v>15618</v>
      </c>
      <c r="D1216" s="157">
        <v>110246</v>
      </c>
      <c r="E1216" s="158" t="s">
        <v>2954</v>
      </c>
      <c r="F1216" s="158" t="s">
        <v>2955</v>
      </c>
      <c r="G1216" s="159">
        <v>3400</v>
      </c>
      <c r="H1216" s="159">
        <v>2</v>
      </c>
      <c r="I1216" s="158" t="s">
        <v>209</v>
      </c>
      <c r="J1216" s="158" t="s">
        <v>2956</v>
      </c>
      <c r="K1216" s="158" t="s">
        <v>2954</v>
      </c>
      <c r="L1216" s="159">
        <v>2</v>
      </c>
      <c r="M1216" s="159">
        <v>4</v>
      </c>
      <c r="N1216" s="158" t="s">
        <v>1548</v>
      </c>
      <c r="O1216" s="159">
        <v>8</v>
      </c>
      <c r="P1216" s="159">
        <v>2</v>
      </c>
      <c r="Q1216" s="159">
        <v>17</v>
      </c>
      <c r="R1216" s="158" t="s">
        <v>190</v>
      </c>
      <c r="S1216" s="158" t="s">
        <v>191</v>
      </c>
      <c r="T1216" s="159">
        <v>223</v>
      </c>
      <c r="U1216" s="158" t="s">
        <v>557</v>
      </c>
      <c r="V1216" s="158" t="s">
        <v>558</v>
      </c>
      <c r="W1216" s="159">
        <v>1</v>
      </c>
      <c r="X1216" s="159">
        <v>2</v>
      </c>
      <c r="Y1216" s="158" t="s">
        <v>194</v>
      </c>
      <c r="Z1216" s="158" t="s">
        <v>195</v>
      </c>
      <c r="AA1216" s="158" t="s">
        <v>196</v>
      </c>
      <c r="AB1216" s="158" t="s">
        <v>187</v>
      </c>
      <c r="AC1216" s="158" t="s">
        <v>187</v>
      </c>
      <c r="AD1216" s="160"/>
      <c r="AE1216" s="158" t="s">
        <v>209</v>
      </c>
      <c r="AF1216" s="159">
        <v>1.0530999999999999</v>
      </c>
      <c r="AG1216" s="161">
        <v>128.15601000000001</v>
      </c>
      <c r="AO1216" s="121"/>
      <c r="AT1216" s="111"/>
      <c r="AX1216" s="121"/>
    </row>
    <row r="1217" spans="1:50" s="110" customFormat="1" ht="20" customHeight="1">
      <c r="A1217" s="125" t="s">
        <v>185</v>
      </c>
      <c r="B1217" s="126" t="s">
        <v>59</v>
      </c>
      <c r="C1217" s="127">
        <v>12403</v>
      </c>
      <c r="D1217" s="157">
        <v>104375</v>
      </c>
      <c r="E1217" s="158" t="s">
        <v>1740</v>
      </c>
      <c r="F1217" s="158" t="s">
        <v>1740</v>
      </c>
      <c r="G1217" s="159">
        <v>700</v>
      </c>
      <c r="H1217" s="159">
        <v>2</v>
      </c>
      <c r="I1217" s="158" t="s">
        <v>209</v>
      </c>
      <c r="J1217" s="158" t="s">
        <v>2095</v>
      </c>
      <c r="K1217" s="158" t="s">
        <v>1740</v>
      </c>
      <c r="L1217" s="159">
        <v>0</v>
      </c>
      <c r="M1217" s="159">
        <v>4</v>
      </c>
      <c r="N1217" s="158" t="s">
        <v>1548</v>
      </c>
      <c r="O1217" s="159">
        <v>8</v>
      </c>
      <c r="P1217" s="159">
        <v>2</v>
      </c>
      <c r="Q1217" s="159">
        <v>17</v>
      </c>
      <c r="R1217" s="158" t="s">
        <v>190</v>
      </c>
      <c r="S1217" s="158" t="s">
        <v>191</v>
      </c>
      <c r="T1217" s="159">
        <v>223</v>
      </c>
      <c r="U1217" s="158" t="s">
        <v>557</v>
      </c>
      <c r="V1217" s="158" t="s">
        <v>558</v>
      </c>
      <c r="W1217" s="159">
        <v>1</v>
      </c>
      <c r="X1217" s="159">
        <v>2</v>
      </c>
      <c r="Y1217" s="158" t="s">
        <v>194</v>
      </c>
      <c r="Z1217" s="158" t="s">
        <v>195</v>
      </c>
      <c r="AA1217" s="158" t="s">
        <v>196</v>
      </c>
      <c r="AB1217" s="158" t="s">
        <v>187</v>
      </c>
      <c r="AC1217" s="158" t="s">
        <v>187</v>
      </c>
      <c r="AD1217" s="160"/>
      <c r="AE1217" s="158" t="s">
        <v>209</v>
      </c>
      <c r="AF1217" s="159">
        <v>-1.76729</v>
      </c>
      <c r="AG1217" s="161">
        <v>125.28796</v>
      </c>
      <c r="AO1217" s="121"/>
      <c r="AT1217" s="111"/>
      <c r="AX1217" s="121"/>
    </row>
    <row r="1218" spans="1:50" s="110" customFormat="1" ht="20" customHeight="1">
      <c r="A1218" s="125" t="s">
        <v>185</v>
      </c>
      <c r="B1218" s="126" t="s">
        <v>59</v>
      </c>
      <c r="C1218" s="127">
        <v>15826</v>
      </c>
      <c r="D1218" s="145">
        <v>110629</v>
      </c>
      <c r="E1218" s="146" t="s">
        <v>3161</v>
      </c>
      <c r="F1218" s="146" t="s">
        <v>3161</v>
      </c>
      <c r="G1218" s="147">
        <v>4800</v>
      </c>
      <c r="H1218" s="147">
        <v>4</v>
      </c>
      <c r="I1218" s="146" t="s">
        <v>209</v>
      </c>
      <c r="J1218" s="146" t="s">
        <v>3162</v>
      </c>
      <c r="K1218" s="146" t="s">
        <v>3161</v>
      </c>
      <c r="L1218" s="147">
        <v>1</v>
      </c>
      <c r="M1218" s="147">
        <v>4</v>
      </c>
      <c r="N1218" s="146" t="s">
        <v>1548</v>
      </c>
      <c r="O1218" s="147">
        <v>30</v>
      </c>
      <c r="P1218" s="147">
        <v>4</v>
      </c>
      <c r="Q1218" s="147">
        <v>17</v>
      </c>
      <c r="R1218" s="146" t="s">
        <v>190</v>
      </c>
      <c r="S1218" s="146" t="s">
        <v>191</v>
      </c>
      <c r="T1218" s="147">
        <v>223</v>
      </c>
      <c r="U1218" s="146" t="s">
        <v>557</v>
      </c>
      <c r="V1218" s="146" t="s">
        <v>558</v>
      </c>
      <c r="W1218" s="147">
        <v>1</v>
      </c>
      <c r="X1218" s="147">
        <v>2</v>
      </c>
      <c r="Y1218" s="146" t="s">
        <v>194</v>
      </c>
      <c r="Z1218" s="146" t="s">
        <v>195</v>
      </c>
      <c r="AA1218" s="146" t="s">
        <v>196</v>
      </c>
      <c r="AB1218" s="146" t="s">
        <v>187</v>
      </c>
      <c r="AC1218" s="146" t="s">
        <v>187</v>
      </c>
      <c r="AD1218" s="148"/>
      <c r="AE1218" s="146" t="s">
        <v>209</v>
      </c>
      <c r="AF1218" s="147">
        <v>1.2449300000000001</v>
      </c>
      <c r="AG1218" s="149">
        <v>127.5116</v>
      </c>
      <c r="AO1218" s="121"/>
      <c r="AT1218" s="111"/>
      <c r="AX1218" s="121"/>
    </row>
    <row r="1219" spans="1:50" s="110" customFormat="1" ht="20" customHeight="1">
      <c r="A1219" s="125" t="s">
        <v>185</v>
      </c>
      <c r="B1219" s="126" t="s">
        <v>59</v>
      </c>
      <c r="C1219" s="127">
        <v>14254</v>
      </c>
      <c r="D1219" s="145">
        <v>107744</v>
      </c>
      <c r="E1219" s="146" t="s">
        <v>3080</v>
      </c>
      <c r="F1219" s="146" t="s">
        <v>3080</v>
      </c>
      <c r="G1219" s="147">
        <v>4300</v>
      </c>
      <c r="H1219" s="147">
        <v>4</v>
      </c>
      <c r="I1219" s="146" t="s">
        <v>209</v>
      </c>
      <c r="J1219" s="146" t="s">
        <v>3081</v>
      </c>
      <c r="K1219" s="146" t="s">
        <v>3080</v>
      </c>
      <c r="L1219" s="147">
        <v>2</v>
      </c>
      <c r="M1219" s="147">
        <v>4</v>
      </c>
      <c r="N1219" s="146" t="s">
        <v>1548</v>
      </c>
      <c r="O1219" s="147">
        <v>25</v>
      </c>
      <c r="P1219" s="147">
        <v>4</v>
      </c>
      <c r="Q1219" s="147">
        <v>17</v>
      </c>
      <c r="R1219" s="146" t="s">
        <v>190</v>
      </c>
      <c r="S1219" s="146" t="s">
        <v>191</v>
      </c>
      <c r="T1219" s="147">
        <v>223</v>
      </c>
      <c r="U1219" s="146" t="s">
        <v>557</v>
      </c>
      <c r="V1219" s="146" t="s">
        <v>558</v>
      </c>
      <c r="W1219" s="147">
        <v>1</v>
      </c>
      <c r="X1219" s="147">
        <v>2</v>
      </c>
      <c r="Y1219" s="146" t="s">
        <v>194</v>
      </c>
      <c r="Z1219" s="146" t="s">
        <v>195</v>
      </c>
      <c r="AA1219" s="146" t="s">
        <v>196</v>
      </c>
      <c r="AB1219" s="146" t="s">
        <v>187</v>
      </c>
      <c r="AC1219" s="146" t="s">
        <v>187</v>
      </c>
      <c r="AD1219" s="148"/>
      <c r="AE1219" s="146" t="s">
        <v>209</v>
      </c>
      <c r="AF1219" s="147">
        <v>1.2194100000000001</v>
      </c>
      <c r="AG1219" s="149">
        <v>127.77668</v>
      </c>
      <c r="AO1219" s="121"/>
      <c r="AT1219" s="111"/>
      <c r="AX1219" s="121"/>
    </row>
    <row r="1220" spans="1:50" s="110" customFormat="1" ht="20" customHeight="1">
      <c r="A1220" s="125" t="s">
        <v>185</v>
      </c>
      <c r="B1220" s="126" t="s">
        <v>59</v>
      </c>
      <c r="C1220" s="127">
        <v>11928</v>
      </c>
      <c r="D1220" s="145">
        <v>103445</v>
      </c>
      <c r="E1220" s="146" t="s">
        <v>2483</v>
      </c>
      <c r="F1220" s="146" t="s">
        <v>2483</v>
      </c>
      <c r="G1220" s="147">
        <v>1400</v>
      </c>
      <c r="H1220" s="147">
        <v>4</v>
      </c>
      <c r="I1220" s="146" t="s">
        <v>209</v>
      </c>
      <c r="J1220" s="146" t="s">
        <v>2484</v>
      </c>
      <c r="K1220" s="146" t="s">
        <v>2483</v>
      </c>
      <c r="L1220" s="147">
        <v>0</v>
      </c>
      <c r="M1220" s="147">
        <v>4</v>
      </c>
      <c r="N1220" s="146" t="s">
        <v>1548</v>
      </c>
      <c r="O1220" s="147">
        <v>7</v>
      </c>
      <c r="P1220" s="147">
        <v>5</v>
      </c>
      <c r="Q1220" s="147">
        <v>17</v>
      </c>
      <c r="R1220" s="146" t="s">
        <v>190</v>
      </c>
      <c r="S1220" s="146" t="s">
        <v>191</v>
      </c>
      <c r="T1220" s="147">
        <v>223</v>
      </c>
      <c r="U1220" s="146" t="s">
        <v>557</v>
      </c>
      <c r="V1220" s="146" t="s">
        <v>558</v>
      </c>
      <c r="W1220" s="147">
        <v>1</v>
      </c>
      <c r="X1220" s="147">
        <v>2</v>
      </c>
      <c r="Y1220" s="146" t="s">
        <v>194</v>
      </c>
      <c r="Z1220" s="146" t="s">
        <v>195</v>
      </c>
      <c r="AA1220" s="146" t="s">
        <v>196</v>
      </c>
      <c r="AB1220" s="146" t="s">
        <v>187</v>
      </c>
      <c r="AC1220" s="146" t="s">
        <v>187</v>
      </c>
      <c r="AD1220" s="148"/>
      <c r="AE1220" s="146" t="s">
        <v>209</v>
      </c>
      <c r="AF1220" s="147">
        <v>2.12758</v>
      </c>
      <c r="AG1220" s="149">
        <v>128.26132000000001</v>
      </c>
      <c r="AO1220" s="121"/>
      <c r="AT1220" s="111"/>
      <c r="AX1220" s="121"/>
    </row>
    <row r="1221" spans="1:50" s="110" customFormat="1" ht="20" customHeight="1">
      <c r="A1221" s="125" t="s">
        <v>185</v>
      </c>
      <c r="B1221" s="126" t="s">
        <v>59</v>
      </c>
      <c r="C1221" s="127">
        <v>12172</v>
      </c>
      <c r="D1221" s="145">
        <v>103940</v>
      </c>
      <c r="E1221" s="146" t="s">
        <v>1653</v>
      </c>
      <c r="F1221" s="146" t="s">
        <v>1653</v>
      </c>
      <c r="G1221" s="147">
        <v>200</v>
      </c>
      <c r="H1221" s="147">
        <v>4</v>
      </c>
      <c r="I1221" s="146" t="s">
        <v>209</v>
      </c>
      <c r="J1221" s="146" t="s">
        <v>1654</v>
      </c>
      <c r="K1221" s="146" t="s">
        <v>1653</v>
      </c>
      <c r="L1221" s="147">
        <v>0</v>
      </c>
      <c r="M1221" s="147">
        <v>4</v>
      </c>
      <c r="N1221" s="146" t="s">
        <v>1548</v>
      </c>
      <c r="O1221" s="147">
        <v>30</v>
      </c>
      <c r="P1221" s="147">
        <v>4</v>
      </c>
      <c r="Q1221" s="147">
        <v>17</v>
      </c>
      <c r="R1221" s="146" t="s">
        <v>190</v>
      </c>
      <c r="S1221" s="146" t="s">
        <v>191</v>
      </c>
      <c r="T1221" s="147">
        <v>223</v>
      </c>
      <c r="U1221" s="146" t="s">
        <v>557</v>
      </c>
      <c r="V1221" s="146" t="s">
        <v>558</v>
      </c>
      <c r="W1221" s="147">
        <v>1</v>
      </c>
      <c r="X1221" s="147">
        <v>2</v>
      </c>
      <c r="Y1221" s="146" t="s">
        <v>194</v>
      </c>
      <c r="Z1221" s="146" t="s">
        <v>195</v>
      </c>
      <c r="AA1221" s="146" t="s">
        <v>196</v>
      </c>
      <c r="AB1221" s="146" t="s">
        <v>187</v>
      </c>
      <c r="AC1221" s="146" t="s">
        <v>187</v>
      </c>
      <c r="AD1221" s="148"/>
      <c r="AE1221" s="146" t="s">
        <v>209</v>
      </c>
      <c r="AF1221" s="147">
        <v>1.5064900000000001</v>
      </c>
      <c r="AG1221" s="149">
        <v>127.5446</v>
      </c>
      <c r="AO1221" s="121"/>
      <c r="AT1221" s="111"/>
      <c r="AX1221" s="121"/>
    </row>
    <row r="1222" spans="1:50" s="110" customFormat="1" ht="20" customHeight="1">
      <c r="A1222" s="125" t="s">
        <v>185</v>
      </c>
      <c r="B1222" s="126" t="s">
        <v>59</v>
      </c>
      <c r="C1222" s="127">
        <v>12031</v>
      </c>
      <c r="D1222" s="157">
        <v>103635</v>
      </c>
      <c r="E1222" s="158" t="s">
        <v>2709</v>
      </c>
      <c r="F1222" s="158" t="s">
        <v>2710</v>
      </c>
      <c r="G1222" s="159">
        <v>2100</v>
      </c>
      <c r="H1222" s="159">
        <v>2</v>
      </c>
      <c r="I1222" s="158" t="s">
        <v>209</v>
      </c>
      <c r="J1222" s="158" t="s">
        <v>2711</v>
      </c>
      <c r="K1222" s="158" t="s">
        <v>2712</v>
      </c>
      <c r="L1222" s="159">
        <v>1</v>
      </c>
      <c r="M1222" s="159">
        <v>4</v>
      </c>
      <c r="N1222" s="158" t="s">
        <v>1548</v>
      </c>
      <c r="O1222" s="159">
        <v>15</v>
      </c>
      <c r="P1222" s="159">
        <v>2</v>
      </c>
      <c r="Q1222" s="159">
        <v>17</v>
      </c>
      <c r="R1222" s="158" t="s">
        <v>190</v>
      </c>
      <c r="S1222" s="158" t="s">
        <v>191</v>
      </c>
      <c r="T1222" s="159">
        <v>224</v>
      </c>
      <c r="U1222" s="158" t="s">
        <v>420</v>
      </c>
      <c r="V1222" s="158" t="s">
        <v>421</v>
      </c>
      <c r="W1222" s="159">
        <v>1</v>
      </c>
      <c r="X1222" s="159">
        <v>2</v>
      </c>
      <c r="Y1222" s="158" t="s">
        <v>194</v>
      </c>
      <c r="Z1222" s="158" t="s">
        <v>195</v>
      </c>
      <c r="AA1222" s="158" t="s">
        <v>196</v>
      </c>
      <c r="AB1222" s="158" t="s">
        <v>187</v>
      </c>
      <c r="AC1222" s="158" t="s">
        <v>187</v>
      </c>
      <c r="AD1222" s="160"/>
      <c r="AE1222" s="158" t="s">
        <v>209</v>
      </c>
      <c r="AF1222" s="159">
        <v>-7.84511</v>
      </c>
      <c r="AG1222" s="161">
        <v>125.89646999999999</v>
      </c>
      <c r="AO1222" s="121"/>
      <c r="AT1222" s="111"/>
      <c r="AX1222" s="121"/>
    </row>
    <row r="1223" spans="1:50" s="110" customFormat="1" ht="20" customHeight="1">
      <c r="A1223" s="125" t="s">
        <v>185</v>
      </c>
      <c r="B1223" s="126" t="s">
        <v>59</v>
      </c>
      <c r="C1223" s="127">
        <v>20937</v>
      </c>
      <c r="D1223" s="145">
        <v>104506</v>
      </c>
      <c r="E1223" s="146" t="s">
        <v>3340</v>
      </c>
      <c r="F1223" s="146" t="s">
        <v>3340</v>
      </c>
      <c r="G1223" s="147">
        <v>6300</v>
      </c>
      <c r="H1223" s="147">
        <v>4</v>
      </c>
      <c r="I1223" s="146" t="s">
        <v>209</v>
      </c>
      <c r="J1223" s="146" t="s">
        <v>747</v>
      </c>
      <c r="K1223" s="146" t="s">
        <v>746</v>
      </c>
      <c r="L1223" s="147">
        <v>5</v>
      </c>
      <c r="M1223" s="147">
        <v>4</v>
      </c>
      <c r="N1223" s="146" t="s">
        <v>1548</v>
      </c>
      <c r="O1223" s="147">
        <v>15</v>
      </c>
      <c r="P1223" s="147">
        <v>4</v>
      </c>
      <c r="Q1223" s="147">
        <v>17</v>
      </c>
      <c r="R1223" s="146" t="s">
        <v>190</v>
      </c>
      <c r="S1223" s="146" t="s">
        <v>191</v>
      </c>
      <c r="T1223" s="147">
        <v>224</v>
      </c>
      <c r="U1223" s="146" t="s">
        <v>420</v>
      </c>
      <c r="V1223" s="146" t="s">
        <v>421</v>
      </c>
      <c r="W1223" s="147">
        <v>1</v>
      </c>
      <c r="X1223" s="147">
        <v>2</v>
      </c>
      <c r="Y1223" s="146" t="s">
        <v>194</v>
      </c>
      <c r="Z1223" s="146" t="s">
        <v>195</v>
      </c>
      <c r="AA1223" s="146" t="s">
        <v>196</v>
      </c>
      <c r="AB1223" s="146" t="s">
        <v>187</v>
      </c>
      <c r="AC1223" s="146" t="s">
        <v>187</v>
      </c>
      <c r="AD1223" s="148"/>
      <c r="AE1223" s="146" t="s">
        <v>209</v>
      </c>
      <c r="AF1223" s="147">
        <v>-3.4453990000000001</v>
      </c>
      <c r="AG1223" s="149">
        <v>128.53941800000001</v>
      </c>
      <c r="AO1223" s="121"/>
      <c r="AT1223" s="111"/>
      <c r="AX1223" s="121"/>
    </row>
    <row r="1224" spans="1:50" s="110" customFormat="1" ht="20" customHeight="1">
      <c r="A1224" s="125" t="s">
        <v>185</v>
      </c>
      <c r="B1224" s="126" t="s">
        <v>59</v>
      </c>
      <c r="C1224" s="127">
        <v>15617</v>
      </c>
      <c r="D1224" s="145">
        <v>110245</v>
      </c>
      <c r="E1224" s="146" t="s">
        <v>2644</v>
      </c>
      <c r="F1224" s="146" t="s">
        <v>2644</v>
      </c>
      <c r="G1224" s="147">
        <v>1800</v>
      </c>
      <c r="H1224" s="147">
        <v>4</v>
      </c>
      <c r="I1224" s="146" t="s">
        <v>209</v>
      </c>
      <c r="J1224" s="146" t="s">
        <v>2645</v>
      </c>
      <c r="K1224" s="146" t="s">
        <v>2644</v>
      </c>
      <c r="L1224" s="147">
        <v>1</v>
      </c>
      <c r="M1224" s="147">
        <v>4</v>
      </c>
      <c r="N1224" s="146" t="s">
        <v>1548</v>
      </c>
      <c r="O1224" s="147">
        <v>20</v>
      </c>
      <c r="P1224" s="147">
        <v>5</v>
      </c>
      <c r="Q1224" s="147">
        <v>17</v>
      </c>
      <c r="R1224" s="146" t="s">
        <v>190</v>
      </c>
      <c r="S1224" s="146" t="s">
        <v>191</v>
      </c>
      <c r="T1224" s="147">
        <v>224</v>
      </c>
      <c r="U1224" s="146" t="s">
        <v>420</v>
      </c>
      <c r="V1224" s="146" t="s">
        <v>421</v>
      </c>
      <c r="W1224" s="147">
        <v>1</v>
      </c>
      <c r="X1224" s="147">
        <v>2</v>
      </c>
      <c r="Y1224" s="146" t="s">
        <v>194</v>
      </c>
      <c r="Z1224" s="146" t="s">
        <v>195</v>
      </c>
      <c r="AA1224" s="146" t="s">
        <v>196</v>
      </c>
      <c r="AB1224" s="146" t="s">
        <v>187</v>
      </c>
      <c r="AC1224" s="146" t="s">
        <v>187</v>
      </c>
      <c r="AD1224" s="148"/>
      <c r="AE1224" s="146" t="s">
        <v>209</v>
      </c>
      <c r="AF1224" s="147">
        <v>-7.7287800000000004</v>
      </c>
      <c r="AG1224" s="149">
        <v>126.71674</v>
      </c>
      <c r="AO1224" s="121"/>
      <c r="AT1224" s="111"/>
      <c r="AX1224" s="121"/>
    </row>
    <row r="1225" spans="1:50" s="110" customFormat="1" ht="20" customHeight="1">
      <c r="A1225" s="125" t="s">
        <v>185</v>
      </c>
      <c r="B1225" s="126" t="s">
        <v>59</v>
      </c>
      <c r="C1225" s="127">
        <v>14367</v>
      </c>
      <c r="D1225" s="145">
        <v>107981</v>
      </c>
      <c r="E1225" s="146" t="s">
        <v>1865</v>
      </c>
      <c r="F1225" s="146" t="s">
        <v>1865</v>
      </c>
      <c r="G1225" s="147">
        <v>400</v>
      </c>
      <c r="H1225" s="147">
        <v>4</v>
      </c>
      <c r="I1225" s="146" t="s">
        <v>209</v>
      </c>
      <c r="J1225" s="146" t="s">
        <v>1866</v>
      </c>
      <c r="K1225" s="146" t="s">
        <v>1865</v>
      </c>
      <c r="L1225" s="147">
        <v>1</v>
      </c>
      <c r="M1225" s="147">
        <v>4</v>
      </c>
      <c r="N1225" s="146" t="s">
        <v>1548</v>
      </c>
      <c r="O1225" s="147">
        <v>20</v>
      </c>
      <c r="P1225" s="147">
        <v>3</v>
      </c>
      <c r="Q1225" s="147">
        <v>17</v>
      </c>
      <c r="R1225" s="146" t="s">
        <v>190</v>
      </c>
      <c r="S1225" s="146" t="s">
        <v>191</v>
      </c>
      <c r="T1225" s="147">
        <v>224</v>
      </c>
      <c r="U1225" s="146" t="s">
        <v>420</v>
      </c>
      <c r="V1225" s="146" t="s">
        <v>421</v>
      </c>
      <c r="W1225" s="147">
        <v>1</v>
      </c>
      <c r="X1225" s="147">
        <v>2</v>
      </c>
      <c r="Y1225" s="146" t="s">
        <v>194</v>
      </c>
      <c r="Z1225" s="146" t="s">
        <v>195</v>
      </c>
      <c r="AA1225" s="146" t="s">
        <v>196</v>
      </c>
      <c r="AB1225" s="146" t="s">
        <v>187</v>
      </c>
      <c r="AC1225" s="146" t="s">
        <v>187</v>
      </c>
      <c r="AD1225" s="148"/>
      <c r="AE1225" s="146" t="s">
        <v>209</v>
      </c>
      <c r="AF1225" s="147">
        <v>-7.6218899999999996</v>
      </c>
      <c r="AG1225" s="149">
        <v>126.57225</v>
      </c>
      <c r="AO1225" s="121"/>
      <c r="AT1225" s="111"/>
      <c r="AX1225" s="121"/>
    </row>
    <row r="1226" spans="1:50" s="110" customFormat="1" ht="20" customHeight="1">
      <c r="A1226" s="125" t="s">
        <v>185</v>
      </c>
      <c r="B1226" s="126" t="s">
        <v>59</v>
      </c>
      <c r="C1226" s="127">
        <v>15666</v>
      </c>
      <c r="D1226" s="145">
        <v>110328</v>
      </c>
      <c r="E1226" s="146" t="s">
        <v>1688</v>
      </c>
      <c r="F1226" s="146" t="s">
        <v>1688</v>
      </c>
      <c r="G1226" s="147">
        <v>200</v>
      </c>
      <c r="H1226" s="147">
        <v>4</v>
      </c>
      <c r="I1226" s="146" t="s">
        <v>209</v>
      </c>
      <c r="J1226" s="146" t="s">
        <v>1689</v>
      </c>
      <c r="K1226" s="146" t="s">
        <v>1690</v>
      </c>
      <c r="L1226" s="147">
        <v>1</v>
      </c>
      <c r="M1226" s="147">
        <v>4</v>
      </c>
      <c r="N1226" s="146" t="s">
        <v>1548</v>
      </c>
      <c r="O1226" s="147">
        <v>12</v>
      </c>
      <c r="P1226" s="147">
        <v>7</v>
      </c>
      <c r="Q1226" s="147">
        <v>17</v>
      </c>
      <c r="R1226" s="146" t="s">
        <v>190</v>
      </c>
      <c r="S1226" s="146" t="s">
        <v>191</v>
      </c>
      <c r="T1226" s="147">
        <v>224</v>
      </c>
      <c r="U1226" s="146" t="s">
        <v>420</v>
      </c>
      <c r="V1226" s="146" t="s">
        <v>421</v>
      </c>
      <c r="W1226" s="147">
        <v>1</v>
      </c>
      <c r="X1226" s="147">
        <v>2</v>
      </c>
      <c r="Y1226" s="146" t="s">
        <v>194</v>
      </c>
      <c r="Z1226" s="146" t="s">
        <v>195</v>
      </c>
      <c r="AA1226" s="146" t="s">
        <v>196</v>
      </c>
      <c r="AB1226" s="146" t="s">
        <v>187</v>
      </c>
      <c r="AC1226" s="146" t="s">
        <v>187</v>
      </c>
      <c r="AD1226" s="148"/>
      <c r="AE1226" s="146" t="s">
        <v>209</v>
      </c>
      <c r="AF1226" s="147">
        <v>-7.8380700000000001</v>
      </c>
      <c r="AG1226" s="149">
        <v>126.49567999999999</v>
      </c>
      <c r="AO1226" s="121"/>
      <c r="AT1226" s="111"/>
      <c r="AX1226" s="121"/>
    </row>
    <row r="1227" spans="1:50" s="110" customFormat="1" ht="20" customHeight="1">
      <c r="A1227" s="125" t="s">
        <v>185</v>
      </c>
      <c r="B1227" s="126" t="s">
        <v>59</v>
      </c>
      <c r="C1227" s="127">
        <v>11260</v>
      </c>
      <c r="D1227" s="163">
        <v>105335</v>
      </c>
      <c r="E1227" s="164" t="s">
        <v>3885</v>
      </c>
      <c r="F1227" s="164" t="s">
        <v>3885</v>
      </c>
      <c r="G1227" s="165">
        <v>15000</v>
      </c>
      <c r="H1227" s="165">
        <v>1</v>
      </c>
      <c r="I1227" s="164" t="s">
        <v>187</v>
      </c>
      <c r="J1227" s="164" t="s">
        <v>3886</v>
      </c>
      <c r="K1227" s="164" t="s">
        <v>3887</v>
      </c>
      <c r="L1227" s="165">
        <v>1</v>
      </c>
      <c r="M1227" s="165">
        <v>4</v>
      </c>
      <c r="N1227" s="164" t="s">
        <v>1548</v>
      </c>
      <c r="O1227" s="165">
        <v>2</v>
      </c>
      <c r="P1227" s="165">
        <v>0.6</v>
      </c>
      <c r="Q1227" s="165">
        <v>17</v>
      </c>
      <c r="R1227" s="164" t="s">
        <v>190</v>
      </c>
      <c r="S1227" s="164" t="s">
        <v>191</v>
      </c>
      <c r="T1227" s="165">
        <v>229</v>
      </c>
      <c r="U1227" s="164" t="s">
        <v>235</v>
      </c>
      <c r="V1227" s="164" t="s">
        <v>236</v>
      </c>
      <c r="W1227" s="165">
        <v>1</v>
      </c>
      <c r="X1227" s="165">
        <v>2</v>
      </c>
      <c r="Y1227" s="164" t="s">
        <v>194</v>
      </c>
      <c r="Z1227" s="164" t="s">
        <v>195</v>
      </c>
      <c r="AA1227" s="164" t="s">
        <v>196</v>
      </c>
      <c r="AB1227" s="164" t="s">
        <v>187</v>
      </c>
      <c r="AC1227" s="164" t="s">
        <v>187</v>
      </c>
      <c r="AD1227" s="165">
        <v>1</v>
      </c>
      <c r="AE1227" s="164" t="s">
        <v>209</v>
      </c>
      <c r="AF1227" s="165">
        <v>-2.0790999999999999</v>
      </c>
      <c r="AG1227" s="166">
        <v>103.39041</v>
      </c>
      <c r="AO1227" s="121"/>
      <c r="AT1227" s="111"/>
      <c r="AX1227" s="121"/>
    </row>
    <row r="1228" spans="1:50" s="110" customFormat="1" ht="20" customHeight="1">
      <c r="A1228" s="125" t="s">
        <v>471</v>
      </c>
      <c r="B1228" s="126" t="s">
        <v>65</v>
      </c>
      <c r="C1228" s="127">
        <v>18495</v>
      </c>
      <c r="D1228" s="163">
        <v>114106</v>
      </c>
      <c r="E1228" s="164" t="s">
        <v>3759</v>
      </c>
      <c r="F1228" s="164" t="s">
        <v>3759</v>
      </c>
      <c r="G1228" s="165">
        <v>211000</v>
      </c>
      <c r="H1228" s="165">
        <v>1</v>
      </c>
      <c r="I1228" s="164" t="s">
        <v>187</v>
      </c>
      <c r="J1228" s="164" t="s">
        <v>3760</v>
      </c>
      <c r="K1228" s="164" t="s">
        <v>3759</v>
      </c>
      <c r="L1228" s="165">
        <v>5</v>
      </c>
      <c r="M1228" s="165">
        <v>4</v>
      </c>
      <c r="N1228" s="164" t="s">
        <v>1548</v>
      </c>
      <c r="O1228" s="165">
        <v>1</v>
      </c>
      <c r="P1228" s="165">
        <v>0.8</v>
      </c>
      <c r="Q1228" s="165">
        <v>20</v>
      </c>
      <c r="R1228" s="164" t="s">
        <v>574</v>
      </c>
      <c r="S1228" s="164" t="s">
        <v>575</v>
      </c>
      <c r="T1228" s="165">
        <v>230</v>
      </c>
      <c r="U1228" s="164" t="s">
        <v>2470</v>
      </c>
      <c r="V1228" s="164" t="s">
        <v>2471</v>
      </c>
      <c r="W1228" s="165">
        <v>10</v>
      </c>
      <c r="X1228" s="165">
        <v>2</v>
      </c>
      <c r="Y1228" s="164" t="s">
        <v>194</v>
      </c>
      <c r="Z1228" s="164" t="s">
        <v>195</v>
      </c>
      <c r="AA1228" s="164" t="s">
        <v>196</v>
      </c>
      <c r="AB1228" s="164" t="s">
        <v>187</v>
      </c>
      <c r="AC1228" s="164" t="s">
        <v>187</v>
      </c>
      <c r="AD1228" s="165">
        <v>4</v>
      </c>
      <c r="AE1228" s="164" t="s">
        <v>209</v>
      </c>
      <c r="AF1228" s="165">
        <v>19.016780357131999</v>
      </c>
      <c r="AG1228" s="166">
        <v>102.982804157074</v>
      </c>
      <c r="AO1228" s="121"/>
      <c r="AT1228" s="111"/>
      <c r="AX1228" s="121"/>
    </row>
    <row r="1229" spans="1:50" s="110" customFormat="1" ht="20" customHeight="1">
      <c r="A1229" s="125" t="s">
        <v>471</v>
      </c>
      <c r="B1229" s="126" t="s">
        <v>65</v>
      </c>
      <c r="C1229" s="127">
        <v>18486</v>
      </c>
      <c r="D1229" s="163">
        <v>114094</v>
      </c>
      <c r="E1229" s="164" t="s">
        <v>2646</v>
      </c>
      <c r="F1229" s="164" t="s">
        <v>2646</v>
      </c>
      <c r="G1229" s="165">
        <v>1800</v>
      </c>
      <c r="H1229" s="165">
        <v>1</v>
      </c>
      <c r="I1229" s="164" t="s">
        <v>187</v>
      </c>
      <c r="J1229" s="164" t="s">
        <v>2647</v>
      </c>
      <c r="K1229" s="164" t="s">
        <v>2648</v>
      </c>
      <c r="L1229" s="165">
        <v>5</v>
      </c>
      <c r="M1229" s="165">
        <v>4</v>
      </c>
      <c r="N1229" s="164" t="s">
        <v>1548</v>
      </c>
      <c r="O1229" s="165">
        <v>3</v>
      </c>
      <c r="P1229" s="165">
        <v>2</v>
      </c>
      <c r="Q1229" s="165">
        <v>20</v>
      </c>
      <c r="R1229" s="164" t="s">
        <v>574</v>
      </c>
      <c r="S1229" s="164" t="s">
        <v>575</v>
      </c>
      <c r="T1229" s="165">
        <v>230</v>
      </c>
      <c r="U1229" s="164" t="s">
        <v>2470</v>
      </c>
      <c r="V1229" s="164" t="s">
        <v>2471</v>
      </c>
      <c r="W1229" s="165">
        <v>3</v>
      </c>
      <c r="X1229" s="165">
        <v>2</v>
      </c>
      <c r="Y1229" s="164" t="s">
        <v>194</v>
      </c>
      <c r="Z1229" s="164" t="s">
        <v>195</v>
      </c>
      <c r="AA1229" s="164" t="s">
        <v>196</v>
      </c>
      <c r="AB1229" s="164" t="s">
        <v>187</v>
      </c>
      <c r="AC1229" s="164" t="s">
        <v>187</v>
      </c>
      <c r="AD1229" s="165">
        <v>1</v>
      </c>
      <c r="AE1229" s="164" t="s">
        <v>209</v>
      </c>
      <c r="AF1229" s="165">
        <v>22.349153000000001</v>
      </c>
      <c r="AG1229" s="166">
        <v>102.040773</v>
      </c>
      <c r="AO1229" s="121"/>
      <c r="AT1229" s="111"/>
      <c r="AX1229" s="121"/>
    </row>
    <row r="1230" spans="1:50" s="110" customFormat="1" ht="20" customHeight="1">
      <c r="A1230" s="125" t="s">
        <v>471</v>
      </c>
      <c r="B1230" s="126" t="s">
        <v>65</v>
      </c>
      <c r="C1230" s="127">
        <v>12112</v>
      </c>
      <c r="D1230" s="145">
        <v>103844</v>
      </c>
      <c r="E1230" s="146" t="s">
        <v>4317</v>
      </c>
      <c r="F1230" s="146" t="s">
        <v>4317</v>
      </c>
      <c r="G1230" s="147">
        <v>389000</v>
      </c>
      <c r="H1230" s="147">
        <v>4</v>
      </c>
      <c r="I1230" s="146" t="s">
        <v>209</v>
      </c>
      <c r="J1230" s="146" t="s">
        <v>4318</v>
      </c>
      <c r="K1230" s="146" t="s">
        <v>4317</v>
      </c>
      <c r="L1230" s="147">
        <v>5</v>
      </c>
      <c r="M1230" s="147">
        <v>4</v>
      </c>
      <c r="N1230" s="146" t="s">
        <v>1548</v>
      </c>
      <c r="O1230" s="147">
        <v>4</v>
      </c>
      <c r="P1230" s="147">
        <v>3</v>
      </c>
      <c r="Q1230" s="147">
        <v>20</v>
      </c>
      <c r="R1230" s="146" t="s">
        <v>574</v>
      </c>
      <c r="S1230" s="146" t="s">
        <v>575</v>
      </c>
      <c r="T1230" s="147">
        <v>230</v>
      </c>
      <c r="U1230" s="146" t="s">
        <v>2470</v>
      </c>
      <c r="V1230" s="146" t="s">
        <v>2471</v>
      </c>
      <c r="W1230" s="147">
        <v>7</v>
      </c>
      <c r="X1230" s="147">
        <v>2</v>
      </c>
      <c r="Y1230" s="146" t="s">
        <v>194</v>
      </c>
      <c r="Z1230" s="146" t="s">
        <v>195</v>
      </c>
      <c r="AA1230" s="146" t="s">
        <v>196</v>
      </c>
      <c r="AB1230" s="146" t="s">
        <v>187</v>
      </c>
      <c r="AC1230" s="146" t="s">
        <v>187</v>
      </c>
      <c r="AD1230" s="148"/>
      <c r="AE1230" s="146" t="s">
        <v>209</v>
      </c>
      <c r="AF1230" s="147">
        <v>19.016347332722301</v>
      </c>
      <c r="AG1230" s="149">
        <v>102.98067491012399</v>
      </c>
      <c r="AO1230" s="121"/>
      <c r="AT1230" s="111"/>
      <c r="AX1230" s="121"/>
    </row>
    <row r="1231" spans="1:50" s="110" customFormat="1" ht="20" customHeight="1">
      <c r="A1231" s="125" t="s">
        <v>1620</v>
      </c>
      <c r="B1231" s="126" t="s">
        <v>61</v>
      </c>
      <c r="C1231" s="127">
        <v>18495</v>
      </c>
      <c r="D1231" s="163">
        <v>114106</v>
      </c>
      <c r="E1231" s="164" t="s">
        <v>3759</v>
      </c>
      <c r="F1231" s="164" t="s">
        <v>3759</v>
      </c>
      <c r="G1231" s="165">
        <v>12000</v>
      </c>
      <c r="H1231" s="165">
        <v>1</v>
      </c>
      <c r="I1231" s="164" t="s">
        <v>187</v>
      </c>
      <c r="J1231" s="164" t="s">
        <v>3760</v>
      </c>
      <c r="K1231" s="164" t="s">
        <v>3759</v>
      </c>
      <c r="L1231" s="165">
        <v>5</v>
      </c>
      <c r="M1231" s="165">
        <v>4</v>
      </c>
      <c r="N1231" s="164" t="s">
        <v>1548</v>
      </c>
      <c r="O1231" s="165">
        <v>2</v>
      </c>
      <c r="P1231" s="165">
        <v>1</v>
      </c>
      <c r="Q1231" s="165">
        <v>20</v>
      </c>
      <c r="R1231" s="164" t="s">
        <v>574</v>
      </c>
      <c r="S1231" s="164" t="s">
        <v>575</v>
      </c>
      <c r="T1231" s="165">
        <v>230</v>
      </c>
      <c r="U1231" s="164" t="s">
        <v>2470</v>
      </c>
      <c r="V1231" s="164" t="s">
        <v>2471</v>
      </c>
      <c r="W1231" s="165">
        <v>10</v>
      </c>
      <c r="X1231" s="165">
        <v>2</v>
      </c>
      <c r="Y1231" s="164" t="s">
        <v>194</v>
      </c>
      <c r="Z1231" s="164" t="s">
        <v>195</v>
      </c>
      <c r="AA1231" s="164" t="s">
        <v>196</v>
      </c>
      <c r="AB1231" s="164" t="s">
        <v>187</v>
      </c>
      <c r="AC1231" s="164" t="s">
        <v>209</v>
      </c>
      <c r="AD1231" s="165">
        <v>1</v>
      </c>
      <c r="AE1231" s="164" t="s">
        <v>209</v>
      </c>
      <c r="AF1231" s="165">
        <v>23.413402000000001</v>
      </c>
      <c r="AG1231" s="166">
        <v>98.599091999999999</v>
      </c>
      <c r="AO1231" s="121"/>
      <c r="AT1231" s="111"/>
      <c r="AX1231" s="121"/>
    </row>
    <row r="1232" spans="1:50" s="110" customFormat="1" ht="20" customHeight="1">
      <c r="A1232" s="125" t="s">
        <v>478</v>
      </c>
      <c r="B1232" s="126" t="s">
        <v>56</v>
      </c>
      <c r="C1232" s="127">
        <v>18495</v>
      </c>
      <c r="D1232" s="145">
        <v>114106</v>
      </c>
      <c r="E1232" s="146" t="s">
        <v>3759</v>
      </c>
      <c r="F1232" s="146" t="s">
        <v>3759</v>
      </c>
      <c r="G1232" s="147">
        <v>67000</v>
      </c>
      <c r="H1232" s="147">
        <v>4</v>
      </c>
      <c r="I1232" s="146" t="s">
        <v>209</v>
      </c>
      <c r="J1232" s="146" t="s">
        <v>3760</v>
      </c>
      <c r="K1232" s="146" t="s">
        <v>3759</v>
      </c>
      <c r="L1232" s="147">
        <v>5</v>
      </c>
      <c r="M1232" s="147">
        <v>4</v>
      </c>
      <c r="N1232" s="146" t="s">
        <v>1548</v>
      </c>
      <c r="O1232" s="147">
        <v>12</v>
      </c>
      <c r="P1232" s="147">
        <v>3.03</v>
      </c>
      <c r="Q1232" s="147">
        <v>20</v>
      </c>
      <c r="R1232" s="146" t="s">
        <v>574</v>
      </c>
      <c r="S1232" s="146" t="s">
        <v>575</v>
      </c>
      <c r="T1232" s="147">
        <v>230</v>
      </c>
      <c r="U1232" s="146" t="s">
        <v>2470</v>
      </c>
      <c r="V1232" s="146" t="s">
        <v>2471</v>
      </c>
      <c r="W1232" s="147">
        <v>10</v>
      </c>
      <c r="X1232" s="147">
        <v>2</v>
      </c>
      <c r="Y1232" s="146" t="s">
        <v>194</v>
      </c>
      <c r="Z1232" s="146" t="s">
        <v>195</v>
      </c>
      <c r="AA1232" s="146" t="s">
        <v>196</v>
      </c>
      <c r="AB1232" s="146" t="s">
        <v>187</v>
      </c>
      <c r="AC1232" s="146" t="s">
        <v>187</v>
      </c>
      <c r="AD1232" s="148"/>
      <c r="AE1232" s="146" t="s">
        <v>209</v>
      </c>
      <c r="AF1232" s="147">
        <v>19.5017300004391</v>
      </c>
      <c r="AG1232" s="149">
        <v>100.470430000444</v>
      </c>
      <c r="AO1232" s="121"/>
      <c r="AT1232" s="111"/>
      <c r="AX1232" s="121"/>
    </row>
    <row r="1233" spans="1:50" s="110" customFormat="1" ht="20" customHeight="1">
      <c r="A1233" s="125" t="s">
        <v>478</v>
      </c>
      <c r="B1233" s="126" t="s">
        <v>56</v>
      </c>
      <c r="C1233" s="127">
        <v>12112</v>
      </c>
      <c r="D1233" s="145">
        <v>103844</v>
      </c>
      <c r="E1233" s="146" t="s">
        <v>4317</v>
      </c>
      <c r="F1233" s="146" t="s">
        <v>4317</v>
      </c>
      <c r="G1233" s="147">
        <v>36000</v>
      </c>
      <c r="H1233" s="147">
        <v>4</v>
      </c>
      <c r="I1233" s="146" t="s">
        <v>209</v>
      </c>
      <c r="J1233" s="146" t="s">
        <v>4318</v>
      </c>
      <c r="K1233" s="146" t="s">
        <v>4317</v>
      </c>
      <c r="L1233" s="147">
        <v>5</v>
      </c>
      <c r="M1233" s="147">
        <v>4</v>
      </c>
      <c r="N1233" s="146" t="s">
        <v>1548</v>
      </c>
      <c r="O1233" s="147">
        <v>15</v>
      </c>
      <c r="P1233" s="147">
        <v>5</v>
      </c>
      <c r="Q1233" s="147">
        <v>20</v>
      </c>
      <c r="R1233" s="146" t="s">
        <v>574</v>
      </c>
      <c r="S1233" s="146" t="s">
        <v>575</v>
      </c>
      <c r="T1233" s="147">
        <v>230</v>
      </c>
      <c r="U1233" s="146" t="s">
        <v>2470</v>
      </c>
      <c r="V1233" s="146" t="s">
        <v>2471</v>
      </c>
      <c r="W1233" s="147">
        <v>7</v>
      </c>
      <c r="X1233" s="147">
        <v>2</v>
      </c>
      <c r="Y1233" s="146" t="s">
        <v>194</v>
      </c>
      <c r="Z1233" s="146" t="s">
        <v>195</v>
      </c>
      <c r="AA1233" s="146" t="s">
        <v>196</v>
      </c>
      <c r="AB1233" s="146" t="s">
        <v>187</v>
      </c>
      <c r="AC1233" s="146" t="s">
        <v>187</v>
      </c>
      <c r="AD1233" s="148"/>
      <c r="AE1233" s="146" t="s">
        <v>209</v>
      </c>
      <c r="AF1233" s="147">
        <v>18.656479999999998</v>
      </c>
      <c r="AG1233" s="149">
        <v>101.17641</v>
      </c>
      <c r="AO1233" s="121"/>
      <c r="AT1233" s="111"/>
      <c r="AX1233" s="121"/>
    </row>
    <row r="1234" spans="1:50" s="110" customFormat="1" ht="20" customHeight="1">
      <c r="A1234" s="125" t="s">
        <v>480</v>
      </c>
      <c r="B1234" s="126" t="s">
        <v>63</v>
      </c>
      <c r="C1234" s="127">
        <v>19622</v>
      </c>
      <c r="D1234" s="163">
        <v>115224</v>
      </c>
      <c r="E1234" s="164" t="s">
        <v>3778</v>
      </c>
      <c r="F1234" s="164" t="s">
        <v>3778</v>
      </c>
      <c r="G1234" s="165">
        <v>12000</v>
      </c>
      <c r="H1234" s="165">
        <v>1</v>
      </c>
      <c r="I1234" s="164" t="s">
        <v>187</v>
      </c>
      <c r="J1234" s="164" t="s">
        <v>3779</v>
      </c>
      <c r="K1234" s="164" t="s">
        <v>3778</v>
      </c>
      <c r="L1234" s="165">
        <v>1</v>
      </c>
      <c r="M1234" s="165">
        <v>4</v>
      </c>
      <c r="N1234" s="164" t="s">
        <v>1548</v>
      </c>
      <c r="O1234" s="165">
        <v>1</v>
      </c>
      <c r="P1234" s="165">
        <v>0.36</v>
      </c>
      <c r="Q1234" s="165">
        <v>20</v>
      </c>
      <c r="R1234" s="164" t="s">
        <v>574</v>
      </c>
      <c r="S1234" s="164" t="s">
        <v>575</v>
      </c>
      <c r="T1234" s="165">
        <v>230</v>
      </c>
      <c r="U1234" s="164" t="s">
        <v>2470</v>
      </c>
      <c r="V1234" s="164" t="s">
        <v>2471</v>
      </c>
      <c r="W1234" s="165">
        <v>2</v>
      </c>
      <c r="X1234" s="165">
        <v>2</v>
      </c>
      <c r="Y1234" s="164" t="s">
        <v>194</v>
      </c>
      <c r="Z1234" s="164" t="s">
        <v>195</v>
      </c>
      <c r="AA1234" s="164" t="s">
        <v>196</v>
      </c>
      <c r="AB1234" s="164" t="s">
        <v>187</v>
      </c>
      <c r="AC1234" s="164" t="s">
        <v>187</v>
      </c>
      <c r="AD1234" s="165">
        <v>1</v>
      </c>
      <c r="AE1234" s="164" t="s">
        <v>209</v>
      </c>
      <c r="AF1234" s="165">
        <v>22.74531</v>
      </c>
      <c r="AG1234" s="166">
        <v>104.16258999999999</v>
      </c>
      <c r="AO1234" s="121"/>
      <c r="AT1234" s="111"/>
      <c r="AX1234" s="121"/>
    </row>
    <row r="1235" spans="1:50" s="110" customFormat="1" ht="20" customHeight="1">
      <c r="A1235" s="125" t="s">
        <v>480</v>
      </c>
      <c r="B1235" s="126" t="s">
        <v>63</v>
      </c>
      <c r="C1235" s="127">
        <v>18501</v>
      </c>
      <c r="D1235" s="163">
        <v>114112</v>
      </c>
      <c r="E1235" s="164" t="s">
        <v>3085</v>
      </c>
      <c r="F1235" s="164" t="s">
        <v>3085</v>
      </c>
      <c r="G1235" s="165">
        <v>4300</v>
      </c>
      <c r="H1235" s="165">
        <v>1</v>
      </c>
      <c r="I1235" s="164" t="s">
        <v>187</v>
      </c>
      <c r="J1235" s="164" t="s">
        <v>2647</v>
      </c>
      <c r="K1235" s="164" t="s">
        <v>2648</v>
      </c>
      <c r="L1235" s="165">
        <v>5</v>
      </c>
      <c r="M1235" s="165">
        <v>4</v>
      </c>
      <c r="N1235" s="164" t="s">
        <v>1548</v>
      </c>
      <c r="O1235" s="165">
        <v>2</v>
      </c>
      <c r="P1235" s="165">
        <v>1</v>
      </c>
      <c r="Q1235" s="165">
        <v>20</v>
      </c>
      <c r="R1235" s="164" t="s">
        <v>574</v>
      </c>
      <c r="S1235" s="164" t="s">
        <v>575</v>
      </c>
      <c r="T1235" s="165">
        <v>230</v>
      </c>
      <c r="U1235" s="164" t="s">
        <v>2470</v>
      </c>
      <c r="V1235" s="164" t="s">
        <v>2471</v>
      </c>
      <c r="W1235" s="165">
        <v>2</v>
      </c>
      <c r="X1235" s="165">
        <v>2</v>
      </c>
      <c r="Y1235" s="164" t="s">
        <v>194</v>
      </c>
      <c r="Z1235" s="164" t="s">
        <v>195</v>
      </c>
      <c r="AA1235" s="164" t="s">
        <v>196</v>
      </c>
      <c r="AB1235" s="164" t="s">
        <v>187</v>
      </c>
      <c r="AC1235" s="164" t="s">
        <v>209</v>
      </c>
      <c r="AD1235" s="165">
        <v>1</v>
      </c>
      <c r="AE1235" s="164" t="s">
        <v>209</v>
      </c>
      <c r="AF1235" s="165">
        <v>22.465820000000001</v>
      </c>
      <c r="AG1235" s="166">
        <v>102.499269</v>
      </c>
      <c r="AO1235" s="121"/>
      <c r="AT1235" s="111"/>
      <c r="AX1235" s="121"/>
    </row>
    <row r="1236" spans="1:50" s="110" customFormat="1" ht="20" customHeight="1">
      <c r="A1236" s="125" t="s">
        <v>480</v>
      </c>
      <c r="B1236" s="126" t="s">
        <v>63</v>
      </c>
      <c r="C1236" s="127">
        <v>19582</v>
      </c>
      <c r="D1236" s="163">
        <v>115546</v>
      </c>
      <c r="E1236" s="164" t="s">
        <v>2468</v>
      </c>
      <c r="F1236" s="164" t="s">
        <v>2468</v>
      </c>
      <c r="G1236" s="165">
        <v>1300</v>
      </c>
      <c r="H1236" s="165">
        <v>1</v>
      </c>
      <c r="I1236" s="164" t="s">
        <v>187</v>
      </c>
      <c r="J1236" s="164" t="s">
        <v>2469</v>
      </c>
      <c r="K1236" s="164" t="s">
        <v>2468</v>
      </c>
      <c r="L1236" s="165">
        <v>1</v>
      </c>
      <c r="M1236" s="165">
        <v>4</v>
      </c>
      <c r="N1236" s="164" t="s">
        <v>1548</v>
      </c>
      <c r="O1236" s="165">
        <v>0</v>
      </c>
      <c r="P1236" s="165">
        <v>0</v>
      </c>
      <c r="Q1236" s="165">
        <v>20</v>
      </c>
      <c r="R1236" s="164" t="s">
        <v>574</v>
      </c>
      <c r="S1236" s="164" t="s">
        <v>575</v>
      </c>
      <c r="T1236" s="165">
        <v>230</v>
      </c>
      <c r="U1236" s="164" t="s">
        <v>2470</v>
      </c>
      <c r="V1236" s="164" t="s">
        <v>2471</v>
      </c>
      <c r="W1236" s="165">
        <v>1</v>
      </c>
      <c r="X1236" s="165">
        <v>2</v>
      </c>
      <c r="Y1236" s="164" t="s">
        <v>194</v>
      </c>
      <c r="Z1236" s="164" t="s">
        <v>195</v>
      </c>
      <c r="AA1236" s="164" t="s">
        <v>196</v>
      </c>
      <c r="AB1236" s="164" t="s">
        <v>187</v>
      </c>
      <c r="AC1236" s="164" t="s">
        <v>187</v>
      </c>
      <c r="AD1236" s="165">
        <v>1</v>
      </c>
      <c r="AE1236" s="164" t="s">
        <v>187</v>
      </c>
      <c r="AF1236" s="165">
        <v>22.418859999999999</v>
      </c>
      <c r="AG1236" s="166">
        <v>106.43476</v>
      </c>
      <c r="AO1236" s="121"/>
      <c r="AT1236" s="111"/>
      <c r="AX1236" s="121"/>
    </row>
    <row r="1237" spans="1:50" s="110" customFormat="1" ht="20" customHeight="1">
      <c r="A1237" s="125" t="s">
        <v>480</v>
      </c>
      <c r="B1237" s="126" t="s">
        <v>63</v>
      </c>
      <c r="C1237" s="127">
        <v>18486</v>
      </c>
      <c r="D1237" s="145">
        <v>114094</v>
      </c>
      <c r="E1237" s="146" t="s">
        <v>2646</v>
      </c>
      <c r="F1237" s="146" t="s">
        <v>2646</v>
      </c>
      <c r="G1237" s="147">
        <v>25000</v>
      </c>
      <c r="H1237" s="147">
        <v>4</v>
      </c>
      <c r="I1237" s="146" t="s">
        <v>209</v>
      </c>
      <c r="J1237" s="146" t="s">
        <v>2647</v>
      </c>
      <c r="K1237" s="146" t="s">
        <v>2648</v>
      </c>
      <c r="L1237" s="147">
        <v>5</v>
      </c>
      <c r="M1237" s="147">
        <v>4</v>
      </c>
      <c r="N1237" s="146" t="s">
        <v>1548</v>
      </c>
      <c r="O1237" s="147">
        <v>4</v>
      </c>
      <c r="P1237" s="147">
        <v>2.5</v>
      </c>
      <c r="Q1237" s="147">
        <v>20</v>
      </c>
      <c r="R1237" s="146" t="s">
        <v>574</v>
      </c>
      <c r="S1237" s="146" t="s">
        <v>575</v>
      </c>
      <c r="T1237" s="147">
        <v>230</v>
      </c>
      <c r="U1237" s="146" t="s">
        <v>2470</v>
      </c>
      <c r="V1237" s="146" t="s">
        <v>2471</v>
      </c>
      <c r="W1237" s="147">
        <v>3</v>
      </c>
      <c r="X1237" s="147">
        <v>2</v>
      </c>
      <c r="Y1237" s="146" t="s">
        <v>194</v>
      </c>
      <c r="Z1237" s="146" t="s">
        <v>195</v>
      </c>
      <c r="AA1237" s="146" t="s">
        <v>196</v>
      </c>
      <c r="AB1237" s="146" t="s">
        <v>187</v>
      </c>
      <c r="AC1237" s="146" t="s">
        <v>209</v>
      </c>
      <c r="AD1237" s="148"/>
      <c r="AE1237" s="146" t="s">
        <v>209</v>
      </c>
      <c r="AF1237" s="147">
        <v>22.368521999999999</v>
      </c>
      <c r="AG1237" s="149">
        <v>103.31197899999999</v>
      </c>
      <c r="AO1237" s="121"/>
      <c r="AT1237" s="111"/>
      <c r="AX1237" s="121"/>
    </row>
    <row r="1238" spans="1:50" s="110" customFormat="1" ht="20" customHeight="1">
      <c r="A1238" s="125" t="s">
        <v>480</v>
      </c>
      <c r="B1238" s="126" t="s">
        <v>63</v>
      </c>
      <c r="C1238" s="127">
        <v>18496</v>
      </c>
      <c r="D1238" s="145">
        <v>114107</v>
      </c>
      <c r="E1238" s="146" t="s">
        <v>2808</v>
      </c>
      <c r="F1238" s="146" t="s">
        <v>2808</v>
      </c>
      <c r="G1238" s="147">
        <v>2400</v>
      </c>
      <c r="H1238" s="147">
        <v>4</v>
      </c>
      <c r="I1238" s="146" t="s">
        <v>209</v>
      </c>
      <c r="J1238" s="146" t="s">
        <v>2809</v>
      </c>
      <c r="K1238" s="146" t="s">
        <v>2810</v>
      </c>
      <c r="L1238" s="147">
        <v>3</v>
      </c>
      <c r="M1238" s="147">
        <v>4</v>
      </c>
      <c r="N1238" s="146" t="s">
        <v>1548</v>
      </c>
      <c r="O1238" s="147">
        <v>4</v>
      </c>
      <c r="P1238" s="147">
        <v>2.5</v>
      </c>
      <c r="Q1238" s="147">
        <v>20</v>
      </c>
      <c r="R1238" s="146" t="s">
        <v>574</v>
      </c>
      <c r="S1238" s="146" t="s">
        <v>575</v>
      </c>
      <c r="T1238" s="147">
        <v>230</v>
      </c>
      <c r="U1238" s="146" t="s">
        <v>2470</v>
      </c>
      <c r="V1238" s="146" t="s">
        <v>2471</v>
      </c>
      <c r="W1238" s="147">
        <v>2</v>
      </c>
      <c r="X1238" s="147">
        <v>2</v>
      </c>
      <c r="Y1238" s="146" t="s">
        <v>194</v>
      </c>
      <c r="Z1238" s="146" t="s">
        <v>195</v>
      </c>
      <c r="AA1238" s="146" t="s">
        <v>196</v>
      </c>
      <c r="AB1238" s="146" t="s">
        <v>187</v>
      </c>
      <c r="AC1238" s="146" t="s">
        <v>187</v>
      </c>
      <c r="AD1238" s="148"/>
      <c r="AE1238" s="146" t="s">
        <v>209</v>
      </c>
      <c r="AF1238" s="147">
        <v>23.2258</v>
      </c>
      <c r="AG1238" s="149">
        <v>105.08477000000001</v>
      </c>
      <c r="AO1238" s="121"/>
      <c r="AT1238" s="111"/>
      <c r="AX1238" s="121"/>
    </row>
    <row r="1239" spans="1:50" s="110" customFormat="1" ht="20" customHeight="1">
      <c r="A1239" s="125" t="s">
        <v>480</v>
      </c>
      <c r="B1239" s="126" t="s">
        <v>63</v>
      </c>
      <c r="C1239" s="127">
        <v>20757</v>
      </c>
      <c r="D1239" s="145">
        <v>117281</v>
      </c>
      <c r="E1239" s="146" t="s">
        <v>4907</v>
      </c>
      <c r="F1239" s="146" t="s">
        <v>4907</v>
      </c>
      <c r="G1239" s="148"/>
      <c r="H1239" s="147">
        <v>4</v>
      </c>
      <c r="I1239" s="146" t="s">
        <v>209</v>
      </c>
      <c r="J1239" s="146" t="s">
        <v>4908</v>
      </c>
      <c r="K1239" s="146" t="s">
        <v>4907</v>
      </c>
      <c r="L1239" s="147">
        <v>1</v>
      </c>
      <c r="M1239" s="147">
        <v>4</v>
      </c>
      <c r="N1239" s="146" t="s">
        <v>1548</v>
      </c>
      <c r="O1239" s="147">
        <v>5</v>
      </c>
      <c r="P1239" s="147">
        <v>3</v>
      </c>
      <c r="Q1239" s="147">
        <v>20</v>
      </c>
      <c r="R1239" s="146" t="s">
        <v>574</v>
      </c>
      <c r="S1239" s="146" t="s">
        <v>575</v>
      </c>
      <c r="T1239" s="147">
        <v>230</v>
      </c>
      <c r="U1239" s="146" t="s">
        <v>2470</v>
      </c>
      <c r="V1239" s="146" t="s">
        <v>2471</v>
      </c>
      <c r="W1239" s="147">
        <v>1</v>
      </c>
      <c r="X1239" s="147">
        <v>2</v>
      </c>
      <c r="Y1239" s="146" t="s">
        <v>194</v>
      </c>
      <c r="Z1239" s="146" t="s">
        <v>195</v>
      </c>
      <c r="AA1239" s="146" t="s">
        <v>196</v>
      </c>
      <c r="AB1239" s="146" t="s">
        <v>187</v>
      </c>
      <c r="AC1239" s="146" t="s">
        <v>187</v>
      </c>
      <c r="AD1239" s="148"/>
      <c r="AE1239" s="146" t="s">
        <v>209</v>
      </c>
      <c r="AF1239" s="147">
        <v>23.297499999999999</v>
      </c>
      <c r="AG1239" s="149">
        <v>105.29559999999999</v>
      </c>
      <c r="AO1239" s="121"/>
      <c r="AT1239" s="111"/>
      <c r="AX1239" s="121"/>
    </row>
    <row r="1240" spans="1:50" s="110" customFormat="1" ht="20" customHeight="1">
      <c r="A1240" s="125" t="s">
        <v>480</v>
      </c>
      <c r="B1240" s="126" t="s">
        <v>63</v>
      </c>
      <c r="C1240" s="127">
        <v>20758</v>
      </c>
      <c r="D1240" s="145">
        <v>117282</v>
      </c>
      <c r="E1240" s="146" t="s">
        <v>4909</v>
      </c>
      <c r="F1240" s="146" t="s">
        <v>4909</v>
      </c>
      <c r="G1240" s="148"/>
      <c r="H1240" s="147">
        <v>4</v>
      </c>
      <c r="I1240" s="146" t="s">
        <v>209</v>
      </c>
      <c r="J1240" s="146" t="s">
        <v>4910</v>
      </c>
      <c r="K1240" s="146" t="s">
        <v>4909</v>
      </c>
      <c r="L1240" s="147">
        <v>0</v>
      </c>
      <c r="M1240" s="147">
        <v>4</v>
      </c>
      <c r="N1240" s="146" t="s">
        <v>1548</v>
      </c>
      <c r="O1240" s="147">
        <v>10</v>
      </c>
      <c r="P1240" s="147">
        <v>3</v>
      </c>
      <c r="Q1240" s="147">
        <v>20</v>
      </c>
      <c r="R1240" s="146" t="s">
        <v>574</v>
      </c>
      <c r="S1240" s="146" t="s">
        <v>575</v>
      </c>
      <c r="T1240" s="147">
        <v>230</v>
      </c>
      <c r="U1240" s="146" t="s">
        <v>2470</v>
      </c>
      <c r="V1240" s="146" t="s">
        <v>2471</v>
      </c>
      <c r="W1240" s="147">
        <v>1</v>
      </c>
      <c r="X1240" s="147">
        <v>2</v>
      </c>
      <c r="Y1240" s="146" t="s">
        <v>194</v>
      </c>
      <c r="Z1240" s="146" t="s">
        <v>195</v>
      </c>
      <c r="AA1240" s="146" t="s">
        <v>196</v>
      </c>
      <c r="AB1240" s="146" t="s">
        <v>187</v>
      </c>
      <c r="AC1240" s="146" t="s">
        <v>187</v>
      </c>
      <c r="AD1240" s="148"/>
      <c r="AE1240" s="146" t="s">
        <v>209</v>
      </c>
      <c r="AF1240" s="147">
        <v>21.595500000000001</v>
      </c>
      <c r="AG1240" s="149">
        <v>104.5098</v>
      </c>
      <c r="AO1240" s="121"/>
      <c r="AT1240" s="111"/>
      <c r="AX1240" s="121"/>
    </row>
    <row r="1241" spans="1:50" s="110" customFormat="1" ht="20" customHeight="1">
      <c r="A1241" s="125" t="s">
        <v>185</v>
      </c>
      <c r="B1241" s="126" t="s">
        <v>59</v>
      </c>
      <c r="C1241" s="127">
        <v>14440</v>
      </c>
      <c r="D1241" s="157">
        <v>108110</v>
      </c>
      <c r="E1241" s="158" t="s">
        <v>3246</v>
      </c>
      <c r="F1241" s="158" t="s">
        <v>3246</v>
      </c>
      <c r="G1241" s="159">
        <v>5400</v>
      </c>
      <c r="H1241" s="159">
        <v>2</v>
      </c>
      <c r="I1241" s="158" t="s">
        <v>209</v>
      </c>
      <c r="J1241" s="158" t="s">
        <v>3247</v>
      </c>
      <c r="K1241" s="158" t="s">
        <v>3248</v>
      </c>
      <c r="L1241" s="159">
        <v>0</v>
      </c>
      <c r="M1241" s="159">
        <v>4</v>
      </c>
      <c r="N1241" s="158" t="s">
        <v>1548</v>
      </c>
      <c r="O1241" s="159">
        <v>15</v>
      </c>
      <c r="P1241" s="159">
        <v>1</v>
      </c>
      <c r="Q1241" s="159">
        <v>17</v>
      </c>
      <c r="R1241" s="158" t="s">
        <v>190</v>
      </c>
      <c r="S1241" s="158" t="s">
        <v>191</v>
      </c>
      <c r="T1241" s="159">
        <v>232</v>
      </c>
      <c r="U1241" s="158" t="s">
        <v>508</v>
      </c>
      <c r="V1241" s="158" t="s">
        <v>509</v>
      </c>
      <c r="W1241" s="159">
        <v>1</v>
      </c>
      <c r="X1241" s="159">
        <v>2</v>
      </c>
      <c r="Y1241" s="158" t="s">
        <v>194</v>
      </c>
      <c r="Z1241" s="158" t="s">
        <v>195</v>
      </c>
      <c r="AA1241" s="158" t="s">
        <v>196</v>
      </c>
      <c r="AB1241" s="158" t="s">
        <v>187</v>
      </c>
      <c r="AC1241" s="158" t="s">
        <v>187</v>
      </c>
      <c r="AD1241" s="160"/>
      <c r="AE1241" s="158" t="s">
        <v>209</v>
      </c>
      <c r="AF1241" s="159">
        <v>0.92674000000000001</v>
      </c>
      <c r="AG1241" s="161">
        <v>124.7056</v>
      </c>
      <c r="AO1241" s="121"/>
      <c r="AT1241" s="111"/>
      <c r="AX1241" s="121"/>
    </row>
    <row r="1242" spans="1:50" s="110" customFormat="1" ht="20" customHeight="1">
      <c r="A1242" s="125" t="s">
        <v>1620</v>
      </c>
      <c r="B1242" s="126" t="s">
        <v>61</v>
      </c>
      <c r="C1242" s="127">
        <v>15586</v>
      </c>
      <c r="D1242" s="145">
        <v>110204</v>
      </c>
      <c r="E1242" s="146" t="s">
        <v>4295</v>
      </c>
      <c r="F1242" s="146" t="s">
        <v>4295</v>
      </c>
      <c r="G1242" s="147">
        <v>35000</v>
      </c>
      <c r="H1242" s="147">
        <v>4</v>
      </c>
      <c r="I1242" s="146" t="s">
        <v>209</v>
      </c>
      <c r="J1242" s="146" t="s">
        <v>4296</v>
      </c>
      <c r="K1242" s="146" t="s">
        <v>4295</v>
      </c>
      <c r="L1242" s="147">
        <v>4</v>
      </c>
      <c r="M1242" s="147">
        <v>4</v>
      </c>
      <c r="N1242" s="146" t="s">
        <v>1548</v>
      </c>
      <c r="O1242" s="147">
        <v>7</v>
      </c>
      <c r="P1242" s="147">
        <v>5</v>
      </c>
      <c r="Q1242" s="147">
        <v>23</v>
      </c>
      <c r="R1242" s="146" t="s">
        <v>1623</v>
      </c>
      <c r="S1242" s="146" t="s">
        <v>1624</v>
      </c>
      <c r="T1242" s="147">
        <v>234</v>
      </c>
      <c r="U1242" s="146" t="s">
        <v>4297</v>
      </c>
      <c r="V1242" s="146" t="s">
        <v>4298</v>
      </c>
      <c r="W1242" s="147">
        <v>2</v>
      </c>
      <c r="X1242" s="147">
        <v>2</v>
      </c>
      <c r="Y1242" s="146" t="s">
        <v>194</v>
      </c>
      <c r="Z1242" s="146" t="s">
        <v>195</v>
      </c>
      <c r="AA1242" s="146" t="s">
        <v>196</v>
      </c>
      <c r="AB1242" s="146" t="s">
        <v>187</v>
      </c>
      <c r="AC1242" s="146" t="s">
        <v>187</v>
      </c>
      <c r="AD1242" s="148"/>
      <c r="AE1242" s="146" t="s">
        <v>209</v>
      </c>
      <c r="AF1242" s="147">
        <v>23.8985200000979</v>
      </c>
      <c r="AG1242" s="149">
        <v>98.383710000116395</v>
      </c>
      <c r="AO1242" s="121"/>
      <c r="AT1242" s="111"/>
      <c r="AX1242" s="121"/>
    </row>
    <row r="1243" spans="1:50" s="110" customFormat="1" ht="20" customHeight="1">
      <c r="A1243" s="125" t="s">
        <v>483</v>
      </c>
      <c r="B1243" s="126" t="s">
        <v>55</v>
      </c>
      <c r="C1243" s="127">
        <v>15239</v>
      </c>
      <c r="D1243" s="163">
        <v>109796</v>
      </c>
      <c r="E1243" s="164" t="s">
        <v>4327</v>
      </c>
      <c r="F1243" s="164" t="s">
        <v>4327</v>
      </c>
      <c r="G1243" s="165">
        <v>37000</v>
      </c>
      <c r="H1243" s="165">
        <v>1</v>
      </c>
      <c r="I1243" s="164" t="s">
        <v>187</v>
      </c>
      <c r="J1243" s="164" t="s">
        <v>4328</v>
      </c>
      <c r="K1243" s="164" t="s">
        <v>4327</v>
      </c>
      <c r="L1243" s="165">
        <v>3</v>
      </c>
      <c r="M1243" s="165">
        <v>4</v>
      </c>
      <c r="N1243" s="164" t="s">
        <v>1548</v>
      </c>
      <c r="O1243" s="165">
        <v>4</v>
      </c>
      <c r="P1243" s="165">
        <v>1</v>
      </c>
      <c r="Q1243" s="165">
        <v>20</v>
      </c>
      <c r="R1243" s="164" t="s">
        <v>574</v>
      </c>
      <c r="S1243" s="164" t="s">
        <v>575</v>
      </c>
      <c r="T1243" s="165">
        <v>239</v>
      </c>
      <c r="U1243" s="164" t="s">
        <v>1618</v>
      </c>
      <c r="V1243" s="164" t="s">
        <v>1619</v>
      </c>
      <c r="W1243" s="165">
        <v>1</v>
      </c>
      <c r="X1243" s="165">
        <v>2</v>
      </c>
      <c r="Y1243" s="164" t="s">
        <v>194</v>
      </c>
      <c r="Z1243" s="164" t="s">
        <v>195</v>
      </c>
      <c r="AA1243" s="164" t="s">
        <v>196</v>
      </c>
      <c r="AB1243" s="164" t="s">
        <v>187</v>
      </c>
      <c r="AC1243" s="164" t="s">
        <v>187</v>
      </c>
      <c r="AD1243" s="165">
        <v>1</v>
      </c>
      <c r="AE1243" s="164" t="s">
        <v>209</v>
      </c>
      <c r="AF1243" s="165">
        <v>13.56597</v>
      </c>
      <c r="AG1243" s="166">
        <v>107.24885999999999</v>
      </c>
      <c r="AO1243" s="121"/>
      <c r="AT1243" s="111"/>
      <c r="AX1243" s="121"/>
    </row>
    <row r="1244" spans="1:50" s="110" customFormat="1" ht="20" customHeight="1">
      <c r="A1244" s="125" t="s">
        <v>483</v>
      </c>
      <c r="B1244" s="126" t="s">
        <v>55</v>
      </c>
      <c r="C1244" s="127">
        <v>11254</v>
      </c>
      <c r="D1244" s="163">
        <v>105326</v>
      </c>
      <c r="E1244" s="164" t="s">
        <v>4138</v>
      </c>
      <c r="F1244" s="164" t="s">
        <v>4138</v>
      </c>
      <c r="G1244" s="165">
        <v>25000</v>
      </c>
      <c r="H1244" s="165">
        <v>1</v>
      </c>
      <c r="I1244" s="164" t="s">
        <v>187</v>
      </c>
      <c r="J1244" s="164" t="s">
        <v>4139</v>
      </c>
      <c r="K1244" s="164" t="s">
        <v>4138</v>
      </c>
      <c r="L1244" s="165">
        <v>3</v>
      </c>
      <c r="M1244" s="165">
        <v>4</v>
      </c>
      <c r="N1244" s="164" t="s">
        <v>1548</v>
      </c>
      <c r="O1244" s="165">
        <v>1</v>
      </c>
      <c r="P1244" s="165">
        <v>0.75</v>
      </c>
      <c r="Q1244" s="165">
        <v>20</v>
      </c>
      <c r="R1244" s="164" t="s">
        <v>574</v>
      </c>
      <c r="S1244" s="164" t="s">
        <v>575</v>
      </c>
      <c r="T1244" s="165">
        <v>239</v>
      </c>
      <c r="U1244" s="164" t="s">
        <v>1618</v>
      </c>
      <c r="V1244" s="164" t="s">
        <v>1619</v>
      </c>
      <c r="W1244" s="165">
        <v>1</v>
      </c>
      <c r="X1244" s="165">
        <v>2</v>
      </c>
      <c r="Y1244" s="164" t="s">
        <v>194</v>
      </c>
      <c r="Z1244" s="164" t="s">
        <v>195</v>
      </c>
      <c r="AA1244" s="164" t="s">
        <v>196</v>
      </c>
      <c r="AB1244" s="164" t="s">
        <v>187</v>
      </c>
      <c r="AC1244" s="164" t="s">
        <v>187</v>
      </c>
      <c r="AD1244" s="165">
        <v>1</v>
      </c>
      <c r="AE1244" s="164" t="s">
        <v>209</v>
      </c>
      <c r="AF1244" s="165">
        <v>13.5502</v>
      </c>
      <c r="AG1244" s="166">
        <v>106.80744</v>
      </c>
      <c r="AO1244" s="121"/>
      <c r="AT1244" s="111"/>
      <c r="AX1244" s="121"/>
    </row>
    <row r="1245" spans="1:50" s="110" customFormat="1" ht="20" customHeight="1">
      <c r="A1245" s="125" t="s">
        <v>483</v>
      </c>
      <c r="B1245" s="126" t="s">
        <v>55</v>
      </c>
      <c r="C1245" s="127">
        <v>10960</v>
      </c>
      <c r="D1245" s="163">
        <v>101655</v>
      </c>
      <c r="E1245" s="164" t="s">
        <v>1900</v>
      </c>
      <c r="F1245" s="164" t="s">
        <v>1900</v>
      </c>
      <c r="G1245" s="165">
        <v>11000</v>
      </c>
      <c r="H1245" s="165">
        <v>1</v>
      </c>
      <c r="I1245" s="164" t="s">
        <v>187</v>
      </c>
      <c r="J1245" s="164" t="s">
        <v>1901</v>
      </c>
      <c r="K1245" s="164" t="s">
        <v>1902</v>
      </c>
      <c r="L1245" s="165">
        <v>3</v>
      </c>
      <c r="M1245" s="165">
        <v>4</v>
      </c>
      <c r="N1245" s="164" t="s">
        <v>1548</v>
      </c>
      <c r="O1245" s="165">
        <v>0.5</v>
      </c>
      <c r="P1245" s="165">
        <v>0.25</v>
      </c>
      <c r="Q1245" s="165">
        <v>20</v>
      </c>
      <c r="R1245" s="164" t="s">
        <v>574</v>
      </c>
      <c r="S1245" s="164" t="s">
        <v>575</v>
      </c>
      <c r="T1245" s="165">
        <v>239</v>
      </c>
      <c r="U1245" s="164" t="s">
        <v>1618</v>
      </c>
      <c r="V1245" s="164" t="s">
        <v>1619</v>
      </c>
      <c r="W1245" s="165">
        <v>3</v>
      </c>
      <c r="X1245" s="165">
        <v>2</v>
      </c>
      <c r="Y1245" s="164" t="s">
        <v>194</v>
      </c>
      <c r="Z1245" s="164" t="s">
        <v>195</v>
      </c>
      <c r="AA1245" s="164" t="s">
        <v>196</v>
      </c>
      <c r="AB1245" s="164" t="s">
        <v>187</v>
      </c>
      <c r="AC1245" s="164" t="s">
        <v>209</v>
      </c>
      <c r="AD1245" s="165">
        <v>1</v>
      </c>
      <c r="AE1245" s="164" t="s">
        <v>209</v>
      </c>
      <c r="AF1245" s="165">
        <v>14.193849999999999</v>
      </c>
      <c r="AG1245" s="166">
        <v>107.19404</v>
      </c>
      <c r="AO1245" s="121"/>
      <c r="AT1245" s="111"/>
      <c r="AX1245" s="121"/>
    </row>
    <row r="1246" spans="1:50" s="110" customFormat="1" ht="20" customHeight="1">
      <c r="A1246" s="125" t="s">
        <v>483</v>
      </c>
      <c r="B1246" s="126" t="s">
        <v>55</v>
      </c>
      <c r="C1246" s="127">
        <v>12836</v>
      </c>
      <c r="D1246" s="163">
        <v>105301</v>
      </c>
      <c r="E1246" s="164" t="s">
        <v>3482</v>
      </c>
      <c r="F1246" s="164" t="s">
        <v>3482</v>
      </c>
      <c r="G1246" s="165">
        <v>8200</v>
      </c>
      <c r="H1246" s="165">
        <v>1</v>
      </c>
      <c r="I1246" s="164" t="s">
        <v>187</v>
      </c>
      <c r="J1246" s="164" t="s">
        <v>3483</v>
      </c>
      <c r="K1246" s="164" t="s">
        <v>3484</v>
      </c>
      <c r="L1246" s="165">
        <v>1</v>
      </c>
      <c r="M1246" s="165">
        <v>4</v>
      </c>
      <c r="N1246" s="164" t="s">
        <v>1548</v>
      </c>
      <c r="O1246" s="165">
        <v>1</v>
      </c>
      <c r="P1246" s="165">
        <v>0.1</v>
      </c>
      <c r="Q1246" s="165">
        <v>20</v>
      </c>
      <c r="R1246" s="164" t="s">
        <v>574</v>
      </c>
      <c r="S1246" s="164" t="s">
        <v>575</v>
      </c>
      <c r="T1246" s="165">
        <v>239</v>
      </c>
      <c r="U1246" s="164" t="s">
        <v>1618</v>
      </c>
      <c r="V1246" s="164" t="s">
        <v>1619</v>
      </c>
      <c r="W1246" s="165">
        <v>1</v>
      </c>
      <c r="X1246" s="165">
        <v>2</v>
      </c>
      <c r="Y1246" s="164" t="s">
        <v>194</v>
      </c>
      <c r="Z1246" s="164" t="s">
        <v>195</v>
      </c>
      <c r="AA1246" s="164" t="s">
        <v>196</v>
      </c>
      <c r="AB1246" s="164" t="s">
        <v>187</v>
      </c>
      <c r="AC1246" s="164" t="s">
        <v>187</v>
      </c>
      <c r="AD1246" s="165">
        <v>1</v>
      </c>
      <c r="AE1246" s="164" t="s">
        <v>209</v>
      </c>
      <c r="AF1246" s="165">
        <v>14.198729999999999</v>
      </c>
      <c r="AG1246" s="166">
        <v>106.5856</v>
      </c>
      <c r="AO1246" s="121"/>
      <c r="AT1246" s="111"/>
      <c r="AX1246" s="121"/>
    </row>
    <row r="1247" spans="1:50" s="110" customFormat="1" ht="20" customHeight="1">
      <c r="A1247" s="125" t="s">
        <v>483</v>
      </c>
      <c r="B1247" s="126" t="s">
        <v>55</v>
      </c>
      <c r="C1247" s="127">
        <v>18993</v>
      </c>
      <c r="D1247" s="163">
        <v>115793</v>
      </c>
      <c r="E1247" s="164" t="s">
        <v>3280</v>
      </c>
      <c r="F1247" s="164" t="s">
        <v>3280</v>
      </c>
      <c r="G1247" s="165">
        <v>5800</v>
      </c>
      <c r="H1247" s="165">
        <v>1</v>
      </c>
      <c r="I1247" s="164" t="s">
        <v>187</v>
      </c>
      <c r="J1247" s="164" t="s">
        <v>1750</v>
      </c>
      <c r="K1247" s="164" t="s">
        <v>1751</v>
      </c>
      <c r="L1247" s="165">
        <v>5</v>
      </c>
      <c r="M1247" s="165">
        <v>4</v>
      </c>
      <c r="N1247" s="164" t="s">
        <v>1548</v>
      </c>
      <c r="O1247" s="165">
        <v>1</v>
      </c>
      <c r="P1247" s="165">
        <v>0.2</v>
      </c>
      <c r="Q1247" s="165">
        <v>20</v>
      </c>
      <c r="R1247" s="164" t="s">
        <v>574</v>
      </c>
      <c r="S1247" s="164" t="s">
        <v>575</v>
      </c>
      <c r="T1247" s="165">
        <v>239</v>
      </c>
      <c r="U1247" s="164" t="s">
        <v>1618</v>
      </c>
      <c r="V1247" s="164" t="s">
        <v>1619</v>
      </c>
      <c r="W1247" s="165">
        <v>1</v>
      </c>
      <c r="X1247" s="165">
        <v>2</v>
      </c>
      <c r="Y1247" s="164" t="s">
        <v>194</v>
      </c>
      <c r="Z1247" s="164" t="s">
        <v>195</v>
      </c>
      <c r="AA1247" s="164" t="s">
        <v>196</v>
      </c>
      <c r="AB1247" s="164" t="s">
        <v>187</v>
      </c>
      <c r="AC1247" s="164" t="s">
        <v>187</v>
      </c>
      <c r="AD1247" s="165">
        <v>1</v>
      </c>
      <c r="AE1247" s="164" t="s">
        <v>209</v>
      </c>
      <c r="AF1247" s="165">
        <v>11.4549</v>
      </c>
      <c r="AG1247" s="166">
        <v>104.49337</v>
      </c>
      <c r="AO1247" s="121"/>
      <c r="AT1247" s="111"/>
      <c r="AX1247" s="121"/>
    </row>
    <row r="1248" spans="1:50" s="110" customFormat="1" ht="20" customHeight="1">
      <c r="A1248" s="125" t="s">
        <v>483</v>
      </c>
      <c r="B1248" s="126" t="s">
        <v>55</v>
      </c>
      <c r="C1248" s="127">
        <v>14986</v>
      </c>
      <c r="D1248" s="163">
        <v>109397</v>
      </c>
      <c r="E1248" s="164" t="s">
        <v>3209</v>
      </c>
      <c r="F1248" s="164" t="s">
        <v>3209</v>
      </c>
      <c r="G1248" s="165">
        <v>5100</v>
      </c>
      <c r="H1248" s="165">
        <v>1</v>
      </c>
      <c r="I1248" s="164" t="s">
        <v>187</v>
      </c>
      <c r="J1248" s="164" t="s">
        <v>3210</v>
      </c>
      <c r="K1248" s="164" t="s">
        <v>3209</v>
      </c>
      <c r="L1248" s="165">
        <v>0</v>
      </c>
      <c r="M1248" s="165">
        <v>4</v>
      </c>
      <c r="N1248" s="164" t="s">
        <v>1548</v>
      </c>
      <c r="O1248" s="165">
        <v>1</v>
      </c>
      <c r="P1248" s="165">
        <v>0.5</v>
      </c>
      <c r="Q1248" s="165">
        <v>20</v>
      </c>
      <c r="R1248" s="164" t="s">
        <v>574</v>
      </c>
      <c r="S1248" s="164" t="s">
        <v>575</v>
      </c>
      <c r="T1248" s="165">
        <v>239</v>
      </c>
      <c r="U1248" s="164" t="s">
        <v>1618</v>
      </c>
      <c r="V1248" s="164" t="s">
        <v>1619</v>
      </c>
      <c r="W1248" s="165">
        <v>1</v>
      </c>
      <c r="X1248" s="165">
        <v>2</v>
      </c>
      <c r="Y1248" s="164" t="s">
        <v>194</v>
      </c>
      <c r="Z1248" s="164" t="s">
        <v>195</v>
      </c>
      <c r="AA1248" s="164" t="s">
        <v>196</v>
      </c>
      <c r="AB1248" s="164" t="s">
        <v>187</v>
      </c>
      <c r="AC1248" s="164" t="s">
        <v>187</v>
      </c>
      <c r="AD1248" s="165">
        <v>1</v>
      </c>
      <c r="AE1248" s="164" t="s">
        <v>209</v>
      </c>
      <c r="AF1248" s="165">
        <v>12.28206</v>
      </c>
      <c r="AG1248" s="166">
        <v>103.18404</v>
      </c>
      <c r="AO1248" s="121"/>
      <c r="AT1248" s="111"/>
      <c r="AX1248" s="121"/>
    </row>
    <row r="1249" spans="1:50" s="110" customFormat="1" ht="20" customHeight="1">
      <c r="A1249" s="125" t="s">
        <v>483</v>
      </c>
      <c r="B1249" s="126" t="s">
        <v>55</v>
      </c>
      <c r="C1249" s="127">
        <v>12835</v>
      </c>
      <c r="D1249" s="163">
        <v>105300</v>
      </c>
      <c r="E1249" s="164" t="s">
        <v>2079</v>
      </c>
      <c r="F1249" s="164" t="s">
        <v>2079</v>
      </c>
      <c r="G1249" s="165">
        <v>4900</v>
      </c>
      <c r="H1249" s="165">
        <v>1</v>
      </c>
      <c r="I1249" s="164" t="s">
        <v>187</v>
      </c>
      <c r="J1249" s="164" t="s">
        <v>2078</v>
      </c>
      <c r="K1249" s="164" t="s">
        <v>2079</v>
      </c>
      <c r="L1249" s="165">
        <v>2</v>
      </c>
      <c r="M1249" s="165">
        <v>4</v>
      </c>
      <c r="N1249" s="164" t="s">
        <v>1548</v>
      </c>
      <c r="O1249" s="165">
        <v>0.1</v>
      </c>
      <c r="P1249" s="165">
        <v>0.1</v>
      </c>
      <c r="Q1249" s="165">
        <v>20</v>
      </c>
      <c r="R1249" s="164" t="s">
        <v>574</v>
      </c>
      <c r="S1249" s="164" t="s">
        <v>575</v>
      </c>
      <c r="T1249" s="165">
        <v>239</v>
      </c>
      <c r="U1249" s="164" t="s">
        <v>1618</v>
      </c>
      <c r="V1249" s="164" t="s">
        <v>1619</v>
      </c>
      <c r="W1249" s="165">
        <v>1</v>
      </c>
      <c r="X1249" s="165">
        <v>2</v>
      </c>
      <c r="Y1249" s="164" t="s">
        <v>194</v>
      </c>
      <c r="Z1249" s="164" t="s">
        <v>195</v>
      </c>
      <c r="AA1249" s="164" t="s">
        <v>196</v>
      </c>
      <c r="AB1249" s="164" t="s">
        <v>187</v>
      </c>
      <c r="AC1249" s="164" t="s">
        <v>187</v>
      </c>
      <c r="AD1249" s="165">
        <v>1</v>
      </c>
      <c r="AE1249" s="164" t="s">
        <v>187</v>
      </c>
      <c r="AF1249" s="165">
        <v>12.810700000304699</v>
      </c>
      <c r="AG1249" s="166">
        <v>106.53863999983599</v>
      </c>
      <c r="AO1249" s="121"/>
      <c r="AT1249" s="111"/>
      <c r="AX1249" s="121"/>
    </row>
    <row r="1250" spans="1:50" s="110" customFormat="1" ht="20" customHeight="1">
      <c r="A1250" s="125" t="s">
        <v>483</v>
      </c>
      <c r="B1250" s="126" t="s">
        <v>55</v>
      </c>
      <c r="C1250" s="127">
        <v>18987</v>
      </c>
      <c r="D1250" s="163">
        <v>115223</v>
      </c>
      <c r="E1250" s="164" t="s">
        <v>2947</v>
      </c>
      <c r="F1250" s="164" t="s">
        <v>2947</v>
      </c>
      <c r="G1250" s="165">
        <v>3400</v>
      </c>
      <c r="H1250" s="165">
        <v>1</v>
      </c>
      <c r="I1250" s="164" t="s">
        <v>187</v>
      </c>
      <c r="J1250" s="164" t="s">
        <v>1818</v>
      </c>
      <c r="K1250" s="164" t="s">
        <v>1819</v>
      </c>
      <c r="L1250" s="165">
        <v>1</v>
      </c>
      <c r="M1250" s="165">
        <v>4</v>
      </c>
      <c r="N1250" s="164" t="s">
        <v>1548</v>
      </c>
      <c r="O1250" s="165">
        <v>2</v>
      </c>
      <c r="P1250" s="165">
        <v>0.6</v>
      </c>
      <c r="Q1250" s="165">
        <v>20</v>
      </c>
      <c r="R1250" s="164" t="s">
        <v>574</v>
      </c>
      <c r="S1250" s="164" t="s">
        <v>575</v>
      </c>
      <c r="T1250" s="165">
        <v>239</v>
      </c>
      <c r="U1250" s="164" t="s">
        <v>1618</v>
      </c>
      <c r="V1250" s="164" t="s">
        <v>1619</v>
      </c>
      <c r="W1250" s="165">
        <v>1</v>
      </c>
      <c r="X1250" s="165">
        <v>2</v>
      </c>
      <c r="Y1250" s="164" t="s">
        <v>194</v>
      </c>
      <c r="Z1250" s="164" t="s">
        <v>195</v>
      </c>
      <c r="AA1250" s="164" t="s">
        <v>196</v>
      </c>
      <c r="AB1250" s="164" t="s">
        <v>187</v>
      </c>
      <c r="AC1250" s="164" t="s">
        <v>187</v>
      </c>
      <c r="AD1250" s="165">
        <v>1</v>
      </c>
      <c r="AE1250" s="164" t="s">
        <v>209</v>
      </c>
      <c r="AF1250" s="165">
        <v>12.53003</v>
      </c>
      <c r="AG1250" s="166">
        <v>106.569485</v>
      </c>
      <c r="AO1250" s="121"/>
      <c r="AT1250" s="111"/>
      <c r="AX1250" s="121"/>
    </row>
    <row r="1251" spans="1:50" s="110" customFormat="1" ht="20" customHeight="1">
      <c r="A1251" s="125" t="s">
        <v>483</v>
      </c>
      <c r="B1251" s="126" t="s">
        <v>55</v>
      </c>
      <c r="C1251" s="127">
        <v>14351</v>
      </c>
      <c r="D1251" s="163">
        <v>107961</v>
      </c>
      <c r="E1251" s="164" t="s">
        <v>2660</v>
      </c>
      <c r="F1251" s="164" t="s">
        <v>2660</v>
      </c>
      <c r="G1251" s="165">
        <v>1900</v>
      </c>
      <c r="H1251" s="165">
        <v>1</v>
      </c>
      <c r="I1251" s="164" t="s">
        <v>187</v>
      </c>
      <c r="J1251" s="164" t="s">
        <v>2661</v>
      </c>
      <c r="K1251" s="164" t="s">
        <v>2660</v>
      </c>
      <c r="L1251" s="165">
        <v>0</v>
      </c>
      <c r="M1251" s="165">
        <v>4</v>
      </c>
      <c r="N1251" s="164" t="s">
        <v>1548</v>
      </c>
      <c r="O1251" s="165">
        <v>2</v>
      </c>
      <c r="P1251" s="165">
        <v>0.3</v>
      </c>
      <c r="Q1251" s="165">
        <v>20</v>
      </c>
      <c r="R1251" s="164" t="s">
        <v>574</v>
      </c>
      <c r="S1251" s="164" t="s">
        <v>575</v>
      </c>
      <c r="T1251" s="165">
        <v>239</v>
      </c>
      <c r="U1251" s="164" t="s">
        <v>1618</v>
      </c>
      <c r="V1251" s="164" t="s">
        <v>1619</v>
      </c>
      <c r="W1251" s="165">
        <v>1</v>
      </c>
      <c r="X1251" s="165">
        <v>2</v>
      </c>
      <c r="Y1251" s="164" t="s">
        <v>194</v>
      </c>
      <c r="Z1251" s="164" t="s">
        <v>195</v>
      </c>
      <c r="AA1251" s="164" t="s">
        <v>196</v>
      </c>
      <c r="AB1251" s="164" t="s">
        <v>187</v>
      </c>
      <c r="AC1251" s="164" t="s">
        <v>187</v>
      </c>
      <c r="AD1251" s="165">
        <v>1</v>
      </c>
      <c r="AE1251" s="164" t="s">
        <v>209</v>
      </c>
      <c r="AF1251" s="165">
        <v>13.592999999950001</v>
      </c>
      <c r="AG1251" s="166">
        <v>105.02774000020101</v>
      </c>
      <c r="AO1251" s="121"/>
      <c r="AT1251" s="111"/>
      <c r="AX1251" s="121"/>
    </row>
    <row r="1252" spans="1:50" s="110" customFormat="1" ht="20" customHeight="1">
      <c r="A1252" s="125" t="s">
        <v>483</v>
      </c>
      <c r="B1252" s="126" t="s">
        <v>55</v>
      </c>
      <c r="C1252" s="127">
        <v>15126</v>
      </c>
      <c r="D1252" s="163">
        <v>109615</v>
      </c>
      <c r="E1252" s="164" t="s">
        <v>2551</v>
      </c>
      <c r="F1252" s="164" t="s">
        <v>2551</v>
      </c>
      <c r="G1252" s="165">
        <v>1600</v>
      </c>
      <c r="H1252" s="165">
        <v>1</v>
      </c>
      <c r="I1252" s="164" t="s">
        <v>187</v>
      </c>
      <c r="J1252" s="164" t="s">
        <v>2552</v>
      </c>
      <c r="K1252" s="164" t="s">
        <v>2553</v>
      </c>
      <c r="L1252" s="165">
        <v>0</v>
      </c>
      <c r="M1252" s="165">
        <v>4</v>
      </c>
      <c r="N1252" s="164" t="s">
        <v>1548</v>
      </c>
      <c r="O1252" s="165">
        <v>1.5</v>
      </c>
      <c r="P1252" s="165">
        <v>1.5</v>
      </c>
      <c r="Q1252" s="165">
        <v>20</v>
      </c>
      <c r="R1252" s="164" t="s">
        <v>574</v>
      </c>
      <c r="S1252" s="164" t="s">
        <v>575</v>
      </c>
      <c r="T1252" s="165">
        <v>239</v>
      </c>
      <c r="U1252" s="164" t="s">
        <v>1618</v>
      </c>
      <c r="V1252" s="164" t="s">
        <v>1619</v>
      </c>
      <c r="W1252" s="165">
        <v>1</v>
      </c>
      <c r="X1252" s="165">
        <v>2</v>
      </c>
      <c r="Y1252" s="164" t="s">
        <v>194</v>
      </c>
      <c r="Z1252" s="164" t="s">
        <v>195</v>
      </c>
      <c r="AA1252" s="164" t="s">
        <v>196</v>
      </c>
      <c r="AB1252" s="164" t="s">
        <v>187</v>
      </c>
      <c r="AC1252" s="164" t="s">
        <v>187</v>
      </c>
      <c r="AD1252" s="165">
        <v>1</v>
      </c>
      <c r="AE1252" s="164" t="s">
        <v>209</v>
      </c>
      <c r="AF1252" s="165">
        <v>11.93708</v>
      </c>
      <c r="AG1252" s="166">
        <v>104.13415999999999</v>
      </c>
      <c r="AO1252" s="121"/>
      <c r="AT1252" s="111"/>
      <c r="AX1252" s="121"/>
    </row>
    <row r="1253" spans="1:50" s="110" customFormat="1" ht="20" customHeight="1">
      <c r="A1253" s="125" t="s">
        <v>483</v>
      </c>
      <c r="B1253" s="126" t="s">
        <v>55</v>
      </c>
      <c r="C1253" s="127">
        <v>14754</v>
      </c>
      <c r="D1253" s="163">
        <v>108690</v>
      </c>
      <c r="E1253" s="164" t="s">
        <v>1919</v>
      </c>
      <c r="F1253" s="164" t="s">
        <v>1919</v>
      </c>
      <c r="G1253" s="165">
        <v>500</v>
      </c>
      <c r="H1253" s="165">
        <v>1</v>
      </c>
      <c r="I1253" s="164" t="s">
        <v>187</v>
      </c>
      <c r="J1253" s="164" t="s">
        <v>1750</v>
      </c>
      <c r="K1253" s="164" t="s">
        <v>1751</v>
      </c>
      <c r="L1253" s="165">
        <v>5</v>
      </c>
      <c r="M1253" s="165">
        <v>4</v>
      </c>
      <c r="N1253" s="164" t="s">
        <v>1548</v>
      </c>
      <c r="O1253" s="165">
        <v>1</v>
      </c>
      <c r="P1253" s="165">
        <v>0.4</v>
      </c>
      <c r="Q1253" s="165">
        <v>20</v>
      </c>
      <c r="R1253" s="164" t="s">
        <v>574</v>
      </c>
      <c r="S1253" s="164" t="s">
        <v>575</v>
      </c>
      <c r="T1253" s="165">
        <v>239</v>
      </c>
      <c r="U1253" s="164" t="s">
        <v>1618</v>
      </c>
      <c r="V1253" s="164" t="s">
        <v>1619</v>
      </c>
      <c r="W1253" s="165">
        <v>1</v>
      </c>
      <c r="X1253" s="165">
        <v>2</v>
      </c>
      <c r="Y1253" s="164" t="s">
        <v>194</v>
      </c>
      <c r="Z1253" s="164" t="s">
        <v>195</v>
      </c>
      <c r="AA1253" s="164" t="s">
        <v>196</v>
      </c>
      <c r="AB1253" s="164" t="s">
        <v>187</v>
      </c>
      <c r="AC1253" s="164" t="s">
        <v>187</v>
      </c>
      <c r="AD1253" s="165">
        <v>1</v>
      </c>
      <c r="AE1253" s="164" t="s">
        <v>209</v>
      </c>
      <c r="AF1253" s="165">
        <v>10.857799999999999</v>
      </c>
      <c r="AG1253" s="166">
        <v>103.82608</v>
      </c>
      <c r="AO1253" s="121"/>
      <c r="AT1253" s="111"/>
      <c r="AX1253" s="121"/>
    </row>
    <row r="1254" spans="1:50" s="110" customFormat="1" ht="20" customHeight="1">
      <c r="A1254" s="125" t="s">
        <v>483</v>
      </c>
      <c r="B1254" s="126" t="s">
        <v>55</v>
      </c>
      <c r="C1254" s="127">
        <v>21457</v>
      </c>
      <c r="D1254" s="163">
        <v>118273</v>
      </c>
      <c r="E1254" s="164" t="s">
        <v>1817</v>
      </c>
      <c r="F1254" s="164" t="s">
        <v>1817</v>
      </c>
      <c r="G1254" s="165">
        <v>400</v>
      </c>
      <c r="H1254" s="165">
        <v>1</v>
      </c>
      <c r="I1254" s="164" t="s">
        <v>187</v>
      </c>
      <c r="J1254" s="164" t="s">
        <v>1818</v>
      </c>
      <c r="K1254" s="164" t="s">
        <v>1819</v>
      </c>
      <c r="L1254" s="165">
        <v>1</v>
      </c>
      <c r="M1254" s="165">
        <v>4</v>
      </c>
      <c r="N1254" s="164" t="s">
        <v>1548</v>
      </c>
      <c r="O1254" s="165">
        <v>2</v>
      </c>
      <c r="P1254" s="165">
        <v>0.6</v>
      </c>
      <c r="Q1254" s="165">
        <v>20</v>
      </c>
      <c r="R1254" s="164" t="s">
        <v>574</v>
      </c>
      <c r="S1254" s="164" t="s">
        <v>575</v>
      </c>
      <c r="T1254" s="165">
        <v>239</v>
      </c>
      <c r="U1254" s="164" t="s">
        <v>1618</v>
      </c>
      <c r="V1254" s="164" t="s">
        <v>1619</v>
      </c>
      <c r="W1254" s="165">
        <v>1</v>
      </c>
      <c r="X1254" s="165">
        <v>2</v>
      </c>
      <c r="Y1254" s="164" t="s">
        <v>194</v>
      </c>
      <c r="Z1254" s="164" t="s">
        <v>195</v>
      </c>
      <c r="AA1254" s="164" t="s">
        <v>196</v>
      </c>
      <c r="AB1254" s="164" t="s">
        <v>187</v>
      </c>
      <c r="AC1254" s="164" t="s">
        <v>187</v>
      </c>
      <c r="AD1254" s="165">
        <v>1</v>
      </c>
      <c r="AE1254" s="164" t="s">
        <v>209</v>
      </c>
      <c r="AF1254" s="165">
        <v>12.494197</v>
      </c>
      <c r="AG1254" s="166">
        <v>106.02911899999999</v>
      </c>
      <c r="AO1254" s="121"/>
      <c r="AT1254" s="111"/>
      <c r="AX1254" s="121"/>
    </row>
    <row r="1255" spans="1:50" s="110" customFormat="1" ht="20" customHeight="1">
      <c r="A1255" s="125" t="s">
        <v>483</v>
      </c>
      <c r="B1255" s="126" t="s">
        <v>55</v>
      </c>
      <c r="C1255" s="127">
        <v>14679</v>
      </c>
      <c r="D1255" s="163">
        <v>108586</v>
      </c>
      <c r="E1255" s="164" t="s">
        <v>1749</v>
      </c>
      <c r="F1255" s="164" t="s">
        <v>1749</v>
      </c>
      <c r="G1255" s="165">
        <v>300</v>
      </c>
      <c r="H1255" s="165">
        <v>1</v>
      </c>
      <c r="I1255" s="164" t="s">
        <v>187</v>
      </c>
      <c r="J1255" s="164" t="s">
        <v>1750</v>
      </c>
      <c r="K1255" s="164" t="s">
        <v>1751</v>
      </c>
      <c r="L1255" s="165">
        <v>5</v>
      </c>
      <c r="M1255" s="165">
        <v>4</v>
      </c>
      <c r="N1255" s="164" t="s">
        <v>1548</v>
      </c>
      <c r="O1255" s="165">
        <v>1</v>
      </c>
      <c r="P1255" s="165">
        <v>0</v>
      </c>
      <c r="Q1255" s="165">
        <v>20</v>
      </c>
      <c r="R1255" s="164" t="s">
        <v>574</v>
      </c>
      <c r="S1255" s="164" t="s">
        <v>575</v>
      </c>
      <c r="T1255" s="165">
        <v>239</v>
      </c>
      <c r="U1255" s="164" t="s">
        <v>1618</v>
      </c>
      <c r="V1255" s="164" t="s">
        <v>1619</v>
      </c>
      <c r="W1255" s="165">
        <v>1</v>
      </c>
      <c r="X1255" s="165">
        <v>2</v>
      </c>
      <c r="Y1255" s="164" t="s">
        <v>194</v>
      </c>
      <c r="Z1255" s="164" t="s">
        <v>195</v>
      </c>
      <c r="AA1255" s="164" t="s">
        <v>196</v>
      </c>
      <c r="AB1255" s="164" t="s">
        <v>187</v>
      </c>
      <c r="AC1255" s="164" t="s">
        <v>187</v>
      </c>
      <c r="AD1255" s="165">
        <v>1</v>
      </c>
      <c r="AE1255" s="164" t="s">
        <v>209</v>
      </c>
      <c r="AF1255" s="165">
        <v>13.479010000000001</v>
      </c>
      <c r="AG1255" s="166">
        <v>103.97341</v>
      </c>
      <c r="AO1255" s="121"/>
      <c r="AT1255" s="111"/>
      <c r="AX1255" s="121"/>
    </row>
    <row r="1256" spans="1:50" s="110" customFormat="1" ht="20" customHeight="1">
      <c r="A1256" s="125" t="s">
        <v>483</v>
      </c>
      <c r="B1256" s="126" t="s">
        <v>55</v>
      </c>
      <c r="C1256" s="127">
        <v>11129</v>
      </c>
      <c r="D1256" s="145">
        <v>101925</v>
      </c>
      <c r="E1256" s="146" t="s">
        <v>4352</v>
      </c>
      <c r="F1256" s="146" t="s">
        <v>4352</v>
      </c>
      <c r="G1256" s="147">
        <v>46000</v>
      </c>
      <c r="H1256" s="147">
        <v>4</v>
      </c>
      <c r="I1256" s="146" t="s">
        <v>209</v>
      </c>
      <c r="J1256" s="146" t="s">
        <v>4353</v>
      </c>
      <c r="K1256" s="146" t="s">
        <v>4352</v>
      </c>
      <c r="L1256" s="147">
        <v>4</v>
      </c>
      <c r="M1256" s="147">
        <v>4</v>
      </c>
      <c r="N1256" s="146" t="s">
        <v>1548</v>
      </c>
      <c r="O1256" s="147">
        <v>8.1</v>
      </c>
      <c r="P1256" s="147">
        <v>5.2</v>
      </c>
      <c r="Q1256" s="147">
        <v>20</v>
      </c>
      <c r="R1256" s="146" t="s">
        <v>574</v>
      </c>
      <c r="S1256" s="146" t="s">
        <v>575</v>
      </c>
      <c r="T1256" s="147">
        <v>239</v>
      </c>
      <c r="U1256" s="146" t="s">
        <v>1618</v>
      </c>
      <c r="V1256" s="146" t="s">
        <v>1619</v>
      </c>
      <c r="W1256" s="147">
        <v>2</v>
      </c>
      <c r="X1256" s="147">
        <v>2</v>
      </c>
      <c r="Y1256" s="146" t="s">
        <v>194</v>
      </c>
      <c r="Z1256" s="146" t="s">
        <v>195</v>
      </c>
      <c r="AA1256" s="146" t="s">
        <v>196</v>
      </c>
      <c r="AB1256" s="146" t="s">
        <v>187</v>
      </c>
      <c r="AC1256" s="146" t="s">
        <v>209</v>
      </c>
      <c r="AD1256" s="148"/>
      <c r="AE1256" s="146" t="s">
        <v>209</v>
      </c>
      <c r="AF1256" s="147">
        <v>12.615190000018501</v>
      </c>
      <c r="AG1256" s="149">
        <v>106.938840000166</v>
      </c>
      <c r="AO1256" s="121"/>
      <c r="AT1256" s="111"/>
      <c r="AX1256" s="121"/>
    </row>
    <row r="1257" spans="1:50" s="110" customFormat="1" ht="20" customHeight="1">
      <c r="A1257" s="125" t="s">
        <v>483</v>
      </c>
      <c r="B1257" s="126" t="s">
        <v>55</v>
      </c>
      <c r="C1257" s="127">
        <v>15088</v>
      </c>
      <c r="D1257" s="145">
        <v>109552</v>
      </c>
      <c r="E1257" s="146" t="s">
        <v>3485</v>
      </c>
      <c r="F1257" s="146" t="s">
        <v>3485</v>
      </c>
      <c r="G1257" s="147">
        <v>8200</v>
      </c>
      <c r="H1257" s="147">
        <v>4</v>
      </c>
      <c r="I1257" s="146" t="s">
        <v>209</v>
      </c>
      <c r="J1257" s="146" t="s">
        <v>3486</v>
      </c>
      <c r="K1257" s="146" t="s">
        <v>3485</v>
      </c>
      <c r="L1257" s="147">
        <v>3</v>
      </c>
      <c r="M1257" s="147">
        <v>4</v>
      </c>
      <c r="N1257" s="146" t="s">
        <v>1548</v>
      </c>
      <c r="O1257" s="147">
        <v>10</v>
      </c>
      <c r="P1257" s="147">
        <v>3</v>
      </c>
      <c r="Q1257" s="147">
        <v>20</v>
      </c>
      <c r="R1257" s="146" t="s">
        <v>574</v>
      </c>
      <c r="S1257" s="146" t="s">
        <v>575</v>
      </c>
      <c r="T1257" s="147">
        <v>239</v>
      </c>
      <c r="U1257" s="146" t="s">
        <v>1618</v>
      </c>
      <c r="V1257" s="146" t="s">
        <v>1619</v>
      </c>
      <c r="W1257" s="147">
        <v>2</v>
      </c>
      <c r="X1257" s="147">
        <v>2</v>
      </c>
      <c r="Y1257" s="146" t="s">
        <v>194</v>
      </c>
      <c r="Z1257" s="146" t="s">
        <v>195</v>
      </c>
      <c r="AA1257" s="146" t="s">
        <v>196</v>
      </c>
      <c r="AB1257" s="146" t="s">
        <v>187</v>
      </c>
      <c r="AC1257" s="146" t="s">
        <v>209</v>
      </c>
      <c r="AD1257" s="148"/>
      <c r="AE1257" s="146" t="s">
        <v>209</v>
      </c>
      <c r="AF1257" s="147">
        <v>12.139340000000001</v>
      </c>
      <c r="AG1257" s="149">
        <v>106.54698999999999</v>
      </c>
      <c r="AO1257" s="121"/>
      <c r="AT1257" s="111"/>
      <c r="AX1257" s="121"/>
    </row>
    <row r="1258" spans="1:50" s="110" customFormat="1" ht="20" customHeight="1">
      <c r="A1258" s="125" t="s">
        <v>483</v>
      </c>
      <c r="B1258" s="126" t="s">
        <v>55</v>
      </c>
      <c r="C1258" s="127">
        <v>18381</v>
      </c>
      <c r="D1258" s="145">
        <v>113972</v>
      </c>
      <c r="E1258" s="146" t="s">
        <v>3044</v>
      </c>
      <c r="F1258" s="146" t="s">
        <v>3045</v>
      </c>
      <c r="G1258" s="147">
        <v>4100</v>
      </c>
      <c r="H1258" s="147">
        <v>4</v>
      </c>
      <c r="I1258" s="146" t="s">
        <v>209</v>
      </c>
      <c r="J1258" s="146" t="s">
        <v>3046</v>
      </c>
      <c r="K1258" s="146" t="s">
        <v>3047</v>
      </c>
      <c r="L1258" s="147">
        <v>2</v>
      </c>
      <c r="M1258" s="147">
        <v>4</v>
      </c>
      <c r="N1258" s="146" t="s">
        <v>1548</v>
      </c>
      <c r="O1258" s="147">
        <v>5</v>
      </c>
      <c r="P1258" s="147">
        <v>5</v>
      </c>
      <c r="Q1258" s="147">
        <v>20</v>
      </c>
      <c r="R1258" s="146" t="s">
        <v>574</v>
      </c>
      <c r="S1258" s="146" t="s">
        <v>575</v>
      </c>
      <c r="T1258" s="147">
        <v>239</v>
      </c>
      <c r="U1258" s="146" t="s">
        <v>1618</v>
      </c>
      <c r="V1258" s="146" t="s">
        <v>1619</v>
      </c>
      <c r="W1258" s="147">
        <v>1</v>
      </c>
      <c r="X1258" s="147">
        <v>2</v>
      </c>
      <c r="Y1258" s="146" t="s">
        <v>194</v>
      </c>
      <c r="Z1258" s="146" t="s">
        <v>195</v>
      </c>
      <c r="AA1258" s="146" t="s">
        <v>196</v>
      </c>
      <c r="AB1258" s="146" t="s">
        <v>187</v>
      </c>
      <c r="AC1258" s="146" t="s">
        <v>187</v>
      </c>
      <c r="AD1258" s="148"/>
      <c r="AE1258" s="146" t="s">
        <v>209</v>
      </c>
      <c r="AF1258" s="147">
        <v>13.80763</v>
      </c>
      <c r="AG1258" s="149">
        <v>107.24775</v>
      </c>
      <c r="AO1258" s="121"/>
      <c r="AT1258" s="111"/>
      <c r="AX1258" s="121"/>
    </row>
    <row r="1259" spans="1:50" s="110" customFormat="1" ht="20" customHeight="1">
      <c r="A1259" s="125" t="s">
        <v>471</v>
      </c>
      <c r="B1259" s="126" t="s">
        <v>65</v>
      </c>
      <c r="C1259" s="127">
        <v>12566</v>
      </c>
      <c r="D1259" s="163">
        <v>104721</v>
      </c>
      <c r="E1259" s="164" t="s">
        <v>4491</v>
      </c>
      <c r="F1259" s="164" t="s">
        <v>4491</v>
      </c>
      <c r="G1259" s="165">
        <v>67000</v>
      </c>
      <c r="H1259" s="165">
        <v>1</v>
      </c>
      <c r="I1259" s="164" t="s">
        <v>187</v>
      </c>
      <c r="J1259" s="164" t="s">
        <v>4492</v>
      </c>
      <c r="K1259" s="164" t="s">
        <v>4491</v>
      </c>
      <c r="L1259" s="165">
        <v>4</v>
      </c>
      <c r="M1259" s="165">
        <v>4</v>
      </c>
      <c r="N1259" s="164" t="s">
        <v>1548</v>
      </c>
      <c r="O1259" s="165">
        <v>0.08</v>
      </c>
      <c r="P1259" s="165">
        <v>7.4999999999999997E-2</v>
      </c>
      <c r="Q1259" s="165">
        <v>20</v>
      </c>
      <c r="R1259" s="164" t="s">
        <v>574</v>
      </c>
      <c r="S1259" s="164" t="s">
        <v>575</v>
      </c>
      <c r="T1259" s="165">
        <v>239</v>
      </c>
      <c r="U1259" s="164" t="s">
        <v>1618</v>
      </c>
      <c r="V1259" s="164" t="s">
        <v>1619</v>
      </c>
      <c r="W1259" s="165">
        <v>1</v>
      </c>
      <c r="X1259" s="165">
        <v>2</v>
      </c>
      <c r="Y1259" s="164" t="s">
        <v>194</v>
      </c>
      <c r="Z1259" s="164" t="s">
        <v>195</v>
      </c>
      <c r="AA1259" s="164" t="s">
        <v>196</v>
      </c>
      <c r="AB1259" s="164" t="s">
        <v>187</v>
      </c>
      <c r="AC1259" s="164" t="s">
        <v>187</v>
      </c>
      <c r="AD1259" s="165">
        <v>1</v>
      </c>
      <c r="AE1259" s="164" t="s">
        <v>187</v>
      </c>
      <c r="AF1259" s="165">
        <v>16.252649999999999</v>
      </c>
      <c r="AG1259" s="166">
        <v>106.4037</v>
      </c>
      <c r="AO1259" s="121"/>
      <c r="AT1259" s="111"/>
      <c r="AX1259" s="121"/>
    </row>
    <row r="1260" spans="1:50" s="110" customFormat="1" ht="20" customHeight="1">
      <c r="A1260" s="125" t="s">
        <v>471</v>
      </c>
      <c r="B1260" s="126" t="s">
        <v>65</v>
      </c>
      <c r="C1260" s="127">
        <v>13013</v>
      </c>
      <c r="D1260" s="163">
        <v>105682</v>
      </c>
      <c r="E1260" s="164" t="s">
        <v>4448</v>
      </c>
      <c r="F1260" s="164" t="s">
        <v>4448</v>
      </c>
      <c r="G1260" s="165">
        <v>57000</v>
      </c>
      <c r="H1260" s="165">
        <v>1</v>
      </c>
      <c r="I1260" s="164" t="s">
        <v>187</v>
      </c>
      <c r="J1260" s="164" t="s">
        <v>4449</v>
      </c>
      <c r="K1260" s="164" t="s">
        <v>4448</v>
      </c>
      <c r="L1260" s="165">
        <v>0</v>
      </c>
      <c r="M1260" s="165">
        <v>4</v>
      </c>
      <c r="N1260" s="164" t="s">
        <v>1548</v>
      </c>
      <c r="O1260" s="165">
        <v>0</v>
      </c>
      <c r="P1260" s="165">
        <v>0</v>
      </c>
      <c r="Q1260" s="165">
        <v>20</v>
      </c>
      <c r="R1260" s="164" t="s">
        <v>574</v>
      </c>
      <c r="S1260" s="164" t="s">
        <v>575</v>
      </c>
      <c r="T1260" s="165">
        <v>239</v>
      </c>
      <c r="U1260" s="164" t="s">
        <v>1618</v>
      </c>
      <c r="V1260" s="164" t="s">
        <v>1619</v>
      </c>
      <c r="W1260" s="165">
        <v>2</v>
      </c>
      <c r="X1260" s="165">
        <v>2</v>
      </c>
      <c r="Y1260" s="164" t="s">
        <v>194</v>
      </c>
      <c r="Z1260" s="164" t="s">
        <v>195</v>
      </c>
      <c r="AA1260" s="164" t="s">
        <v>196</v>
      </c>
      <c r="AB1260" s="164" t="s">
        <v>187</v>
      </c>
      <c r="AC1260" s="164" t="s">
        <v>187</v>
      </c>
      <c r="AD1260" s="165">
        <v>1</v>
      </c>
      <c r="AE1260" s="164" t="s">
        <v>187</v>
      </c>
      <c r="AF1260" s="165">
        <v>15.28646</v>
      </c>
      <c r="AG1260" s="166">
        <v>106.33242</v>
      </c>
      <c r="AO1260" s="121"/>
      <c r="AT1260" s="111"/>
      <c r="AX1260" s="121"/>
    </row>
    <row r="1261" spans="1:50" s="110" customFormat="1" ht="20" customHeight="1">
      <c r="A1261" s="125" t="s">
        <v>471</v>
      </c>
      <c r="B1261" s="126" t="s">
        <v>65</v>
      </c>
      <c r="C1261" s="127">
        <v>15260</v>
      </c>
      <c r="D1261" s="163">
        <v>109837</v>
      </c>
      <c r="E1261" s="164" t="s">
        <v>4100</v>
      </c>
      <c r="F1261" s="164" t="s">
        <v>4100</v>
      </c>
      <c r="G1261" s="165">
        <v>48000</v>
      </c>
      <c r="H1261" s="165">
        <v>1</v>
      </c>
      <c r="I1261" s="164" t="s">
        <v>187</v>
      </c>
      <c r="J1261" s="164" t="s">
        <v>4102</v>
      </c>
      <c r="K1261" s="164" t="s">
        <v>4103</v>
      </c>
      <c r="L1261" s="165">
        <v>3</v>
      </c>
      <c r="M1261" s="165">
        <v>4</v>
      </c>
      <c r="N1261" s="164" t="s">
        <v>1548</v>
      </c>
      <c r="O1261" s="165">
        <v>2</v>
      </c>
      <c r="P1261" s="165">
        <v>1.8</v>
      </c>
      <c r="Q1261" s="165">
        <v>20</v>
      </c>
      <c r="R1261" s="164" t="s">
        <v>574</v>
      </c>
      <c r="S1261" s="164" t="s">
        <v>575</v>
      </c>
      <c r="T1261" s="165">
        <v>239</v>
      </c>
      <c r="U1261" s="164" t="s">
        <v>1618</v>
      </c>
      <c r="V1261" s="164" t="s">
        <v>1619</v>
      </c>
      <c r="W1261" s="165">
        <v>2</v>
      </c>
      <c r="X1261" s="165">
        <v>2</v>
      </c>
      <c r="Y1261" s="164" t="s">
        <v>194</v>
      </c>
      <c r="Z1261" s="164" t="s">
        <v>195</v>
      </c>
      <c r="AA1261" s="164" t="s">
        <v>196</v>
      </c>
      <c r="AB1261" s="164" t="s">
        <v>187</v>
      </c>
      <c r="AC1261" s="164" t="s">
        <v>187</v>
      </c>
      <c r="AD1261" s="165">
        <v>1</v>
      </c>
      <c r="AE1261" s="164" t="s">
        <v>209</v>
      </c>
      <c r="AF1261" s="165">
        <v>16.091940000000001</v>
      </c>
      <c r="AG1261" s="166">
        <v>106.83283</v>
      </c>
      <c r="AO1261" s="121"/>
      <c r="AT1261" s="111"/>
      <c r="AX1261" s="121"/>
    </row>
    <row r="1262" spans="1:50" s="110" customFormat="1" ht="20" customHeight="1">
      <c r="A1262" s="125" t="s">
        <v>471</v>
      </c>
      <c r="B1262" s="126" t="s">
        <v>65</v>
      </c>
      <c r="C1262" s="127">
        <v>21062</v>
      </c>
      <c r="D1262" s="163">
        <v>117892</v>
      </c>
      <c r="E1262" s="164" t="s">
        <v>4371</v>
      </c>
      <c r="F1262" s="164" t="s">
        <v>4371</v>
      </c>
      <c r="G1262" s="165">
        <v>41000</v>
      </c>
      <c r="H1262" s="165">
        <v>1</v>
      </c>
      <c r="I1262" s="164" t="s">
        <v>187</v>
      </c>
      <c r="J1262" s="164" t="s">
        <v>4372</v>
      </c>
      <c r="K1262" s="164" t="s">
        <v>4371</v>
      </c>
      <c r="L1262" s="165">
        <v>4</v>
      </c>
      <c r="M1262" s="165">
        <v>4</v>
      </c>
      <c r="N1262" s="164" t="s">
        <v>1548</v>
      </c>
      <c r="O1262" s="165">
        <v>0.08</v>
      </c>
      <c r="P1262" s="165">
        <v>7.4999999999999997E-2</v>
      </c>
      <c r="Q1262" s="165">
        <v>20</v>
      </c>
      <c r="R1262" s="164" t="s">
        <v>574</v>
      </c>
      <c r="S1262" s="164" t="s">
        <v>575</v>
      </c>
      <c r="T1262" s="165">
        <v>239</v>
      </c>
      <c r="U1262" s="164" t="s">
        <v>1618</v>
      </c>
      <c r="V1262" s="164" t="s">
        <v>1619</v>
      </c>
      <c r="W1262" s="165">
        <v>1</v>
      </c>
      <c r="X1262" s="165">
        <v>2</v>
      </c>
      <c r="Y1262" s="164" t="s">
        <v>194</v>
      </c>
      <c r="Z1262" s="164" t="s">
        <v>195</v>
      </c>
      <c r="AA1262" s="164" t="s">
        <v>196</v>
      </c>
      <c r="AB1262" s="164" t="s">
        <v>187</v>
      </c>
      <c r="AC1262" s="164" t="s">
        <v>187</v>
      </c>
      <c r="AD1262" s="165">
        <v>1</v>
      </c>
      <c r="AE1262" s="164" t="s">
        <v>187</v>
      </c>
      <c r="AF1262" s="165">
        <v>15.719023</v>
      </c>
      <c r="AG1262" s="166">
        <v>106.392717</v>
      </c>
      <c r="AO1262" s="121"/>
      <c r="AT1262" s="111"/>
      <c r="AX1262" s="121"/>
    </row>
    <row r="1263" spans="1:50" s="110" customFormat="1" ht="20" customHeight="1">
      <c r="A1263" s="125" t="s">
        <v>471</v>
      </c>
      <c r="B1263" s="126" t="s">
        <v>65</v>
      </c>
      <c r="C1263" s="127">
        <v>18842</v>
      </c>
      <c r="D1263" s="163">
        <v>114651</v>
      </c>
      <c r="E1263" s="164" t="s">
        <v>3179</v>
      </c>
      <c r="F1263" s="164" t="s">
        <v>3179</v>
      </c>
      <c r="G1263" s="165">
        <v>36000</v>
      </c>
      <c r="H1263" s="165">
        <v>1</v>
      </c>
      <c r="I1263" s="164" t="s">
        <v>187</v>
      </c>
      <c r="J1263" s="164" t="s">
        <v>3180</v>
      </c>
      <c r="K1263" s="164" t="s">
        <v>3179</v>
      </c>
      <c r="L1263" s="165">
        <v>4</v>
      </c>
      <c r="M1263" s="165">
        <v>4</v>
      </c>
      <c r="N1263" s="164" t="s">
        <v>1548</v>
      </c>
      <c r="O1263" s="165">
        <v>2</v>
      </c>
      <c r="P1263" s="165">
        <v>1.8</v>
      </c>
      <c r="Q1263" s="165">
        <v>20</v>
      </c>
      <c r="R1263" s="164" t="s">
        <v>574</v>
      </c>
      <c r="S1263" s="164" t="s">
        <v>575</v>
      </c>
      <c r="T1263" s="165">
        <v>239</v>
      </c>
      <c r="U1263" s="164" t="s">
        <v>1618</v>
      </c>
      <c r="V1263" s="164" t="s">
        <v>1619</v>
      </c>
      <c r="W1263" s="165">
        <v>2</v>
      </c>
      <c r="X1263" s="165">
        <v>2</v>
      </c>
      <c r="Y1263" s="164" t="s">
        <v>194</v>
      </c>
      <c r="Z1263" s="164" t="s">
        <v>195</v>
      </c>
      <c r="AA1263" s="164" t="s">
        <v>196</v>
      </c>
      <c r="AB1263" s="164" t="s">
        <v>187</v>
      </c>
      <c r="AC1263" s="164" t="s">
        <v>187</v>
      </c>
      <c r="AD1263" s="165">
        <v>1</v>
      </c>
      <c r="AE1263" s="164" t="s">
        <v>209</v>
      </c>
      <c r="AF1263" s="165">
        <v>19.3063</v>
      </c>
      <c r="AG1263" s="166">
        <v>101.27387</v>
      </c>
      <c r="AO1263" s="121"/>
      <c r="AT1263" s="111"/>
      <c r="AX1263" s="121"/>
    </row>
    <row r="1264" spans="1:50" s="110" customFormat="1" ht="20" customHeight="1">
      <c r="A1264" s="125" t="s">
        <v>471</v>
      </c>
      <c r="B1264" s="126" t="s">
        <v>65</v>
      </c>
      <c r="C1264" s="127">
        <v>15216</v>
      </c>
      <c r="D1264" s="163">
        <v>109758</v>
      </c>
      <c r="E1264" s="164" t="s">
        <v>2581</v>
      </c>
      <c r="F1264" s="164" t="s">
        <v>2581</v>
      </c>
      <c r="G1264" s="165">
        <v>36000</v>
      </c>
      <c r="H1264" s="165">
        <v>1</v>
      </c>
      <c r="I1264" s="164" t="s">
        <v>187</v>
      </c>
      <c r="J1264" s="164" t="s">
        <v>2580</v>
      </c>
      <c r="K1264" s="164" t="s">
        <v>2581</v>
      </c>
      <c r="L1264" s="165">
        <v>0</v>
      </c>
      <c r="M1264" s="165">
        <v>4</v>
      </c>
      <c r="N1264" s="164" t="s">
        <v>1548</v>
      </c>
      <c r="O1264" s="165">
        <v>0.2</v>
      </c>
      <c r="P1264" s="165">
        <v>0.115</v>
      </c>
      <c r="Q1264" s="165">
        <v>20</v>
      </c>
      <c r="R1264" s="164" t="s">
        <v>574</v>
      </c>
      <c r="S1264" s="164" t="s">
        <v>575</v>
      </c>
      <c r="T1264" s="165">
        <v>239</v>
      </c>
      <c r="U1264" s="164" t="s">
        <v>1618</v>
      </c>
      <c r="V1264" s="164" t="s">
        <v>1619</v>
      </c>
      <c r="W1264" s="165">
        <v>1</v>
      </c>
      <c r="X1264" s="165">
        <v>2</v>
      </c>
      <c r="Y1264" s="164" t="s">
        <v>194</v>
      </c>
      <c r="Z1264" s="164" t="s">
        <v>195</v>
      </c>
      <c r="AA1264" s="164" t="s">
        <v>196</v>
      </c>
      <c r="AB1264" s="164" t="s">
        <v>187</v>
      </c>
      <c r="AC1264" s="164" t="s">
        <v>187</v>
      </c>
      <c r="AD1264" s="165">
        <v>1</v>
      </c>
      <c r="AE1264" s="164" t="s">
        <v>209</v>
      </c>
      <c r="AF1264" s="165">
        <v>16.528749999712701</v>
      </c>
      <c r="AG1264" s="166">
        <v>106.102050000407</v>
      </c>
      <c r="AO1264" s="121"/>
      <c r="AT1264" s="111"/>
      <c r="AX1264" s="121"/>
    </row>
    <row r="1265" spans="1:50" s="110" customFormat="1" ht="20" customHeight="1">
      <c r="A1265" s="125" t="s">
        <v>471</v>
      </c>
      <c r="B1265" s="126" t="s">
        <v>65</v>
      </c>
      <c r="C1265" s="127">
        <v>14442</v>
      </c>
      <c r="D1265" s="163">
        <v>108116</v>
      </c>
      <c r="E1265" s="164" t="s">
        <v>4238</v>
      </c>
      <c r="F1265" s="164" t="s">
        <v>4238</v>
      </c>
      <c r="G1265" s="165">
        <v>31000</v>
      </c>
      <c r="H1265" s="165">
        <v>1</v>
      </c>
      <c r="I1265" s="164" t="s">
        <v>187</v>
      </c>
      <c r="J1265" s="164" t="s">
        <v>4239</v>
      </c>
      <c r="K1265" s="164" t="s">
        <v>4240</v>
      </c>
      <c r="L1265" s="165">
        <v>1</v>
      </c>
      <c r="M1265" s="165">
        <v>4</v>
      </c>
      <c r="N1265" s="164" t="s">
        <v>1548</v>
      </c>
      <c r="O1265" s="165">
        <v>0</v>
      </c>
      <c r="P1265" s="165">
        <v>0</v>
      </c>
      <c r="Q1265" s="165">
        <v>20</v>
      </c>
      <c r="R1265" s="164" t="s">
        <v>574</v>
      </c>
      <c r="S1265" s="164" t="s">
        <v>575</v>
      </c>
      <c r="T1265" s="165">
        <v>239</v>
      </c>
      <c r="U1265" s="164" t="s">
        <v>1618</v>
      </c>
      <c r="V1265" s="164" t="s">
        <v>1619</v>
      </c>
      <c r="W1265" s="165">
        <v>1</v>
      </c>
      <c r="X1265" s="165">
        <v>2</v>
      </c>
      <c r="Y1265" s="164" t="s">
        <v>194</v>
      </c>
      <c r="Z1265" s="164" t="s">
        <v>195</v>
      </c>
      <c r="AA1265" s="164" t="s">
        <v>196</v>
      </c>
      <c r="AB1265" s="164" t="s">
        <v>187</v>
      </c>
      <c r="AC1265" s="164" t="s">
        <v>187</v>
      </c>
      <c r="AD1265" s="165">
        <v>1</v>
      </c>
      <c r="AE1265" s="164" t="s">
        <v>187</v>
      </c>
      <c r="AF1265" s="165">
        <v>19.991109999999999</v>
      </c>
      <c r="AG1265" s="166">
        <v>103.97736999999999</v>
      </c>
      <c r="AO1265" s="121"/>
      <c r="AT1265" s="111"/>
      <c r="AX1265" s="121"/>
    </row>
    <row r="1266" spans="1:50" s="110" customFormat="1" ht="20" customHeight="1">
      <c r="A1266" s="125" t="s">
        <v>471</v>
      </c>
      <c r="B1266" s="126" t="s">
        <v>65</v>
      </c>
      <c r="C1266" s="127">
        <v>12503</v>
      </c>
      <c r="D1266" s="163">
        <v>104595</v>
      </c>
      <c r="E1266" s="164" t="s">
        <v>4201</v>
      </c>
      <c r="F1266" s="164" t="s">
        <v>4201</v>
      </c>
      <c r="G1266" s="165">
        <v>29000</v>
      </c>
      <c r="H1266" s="165">
        <v>1</v>
      </c>
      <c r="I1266" s="164" t="s">
        <v>187</v>
      </c>
      <c r="J1266" s="164" t="s">
        <v>4202</v>
      </c>
      <c r="K1266" s="164" t="s">
        <v>4201</v>
      </c>
      <c r="L1266" s="165">
        <v>1</v>
      </c>
      <c r="M1266" s="165">
        <v>4</v>
      </c>
      <c r="N1266" s="164" t="s">
        <v>1548</v>
      </c>
      <c r="O1266" s="165">
        <v>1</v>
      </c>
      <c r="P1266" s="165">
        <v>0.8</v>
      </c>
      <c r="Q1266" s="165">
        <v>20</v>
      </c>
      <c r="R1266" s="164" t="s">
        <v>574</v>
      </c>
      <c r="S1266" s="164" t="s">
        <v>575</v>
      </c>
      <c r="T1266" s="165">
        <v>239</v>
      </c>
      <c r="U1266" s="164" t="s">
        <v>1618</v>
      </c>
      <c r="V1266" s="164" t="s">
        <v>1619</v>
      </c>
      <c r="W1266" s="165">
        <v>1</v>
      </c>
      <c r="X1266" s="165">
        <v>2</v>
      </c>
      <c r="Y1266" s="164" t="s">
        <v>194</v>
      </c>
      <c r="Z1266" s="164" t="s">
        <v>195</v>
      </c>
      <c r="AA1266" s="164" t="s">
        <v>196</v>
      </c>
      <c r="AB1266" s="164" t="s">
        <v>187</v>
      </c>
      <c r="AC1266" s="164" t="s">
        <v>187</v>
      </c>
      <c r="AD1266" s="165">
        <v>1</v>
      </c>
      <c r="AE1266" s="164" t="s">
        <v>209</v>
      </c>
      <c r="AF1266" s="165">
        <v>16.254128350443001</v>
      </c>
      <c r="AG1266" s="166">
        <v>106.671312494576</v>
      </c>
      <c r="AO1266" s="121"/>
      <c r="AT1266" s="111"/>
      <c r="AX1266" s="121"/>
    </row>
    <row r="1267" spans="1:50" s="110" customFormat="1" ht="20" customHeight="1">
      <c r="A1267" s="125" t="s">
        <v>471</v>
      </c>
      <c r="B1267" s="126" t="s">
        <v>65</v>
      </c>
      <c r="C1267" s="127">
        <v>14377</v>
      </c>
      <c r="D1267" s="163">
        <v>108003</v>
      </c>
      <c r="E1267" s="164" t="s">
        <v>4052</v>
      </c>
      <c r="F1267" s="164" t="s">
        <v>4052</v>
      </c>
      <c r="G1267" s="165">
        <v>29000</v>
      </c>
      <c r="H1267" s="165">
        <v>1</v>
      </c>
      <c r="I1267" s="164" t="s">
        <v>187</v>
      </c>
      <c r="J1267" s="164" t="s">
        <v>4053</v>
      </c>
      <c r="K1267" s="164" t="s">
        <v>4052</v>
      </c>
      <c r="L1267" s="165">
        <v>3</v>
      </c>
      <c r="M1267" s="165">
        <v>4</v>
      </c>
      <c r="N1267" s="164" t="s">
        <v>1548</v>
      </c>
      <c r="O1267" s="165">
        <v>1</v>
      </c>
      <c r="P1267" s="165">
        <v>0.9</v>
      </c>
      <c r="Q1267" s="165">
        <v>20</v>
      </c>
      <c r="R1267" s="164" t="s">
        <v>574</v>
      </c>
      <c r="S1267" s="164" t="s">
        <v>575</v>
      </c>
      <c r="T1267" s="165">
        <v>239</v>
      </c>
      <c r="U1267" s="164" t="s">
        <v>1618</v>
      </c>
      <c r="V1267" s="164" t="s">
        <v>1619</v>
      </c>
      <c r="W1267" s="165">
        <v>2</v>
      </c>
      <c r="X1267" s="165">
        <v>2</v>
      </c>
      <c r="Y1267" s="164" t="s">
        <v>194</v>
      </c>
      <c r="Z1267" s="164" t="s">
        <v>195</v>
      </c>
      <c r="AA1267" s="164" t="s">
        <v>196</v>
      </c>
      <c r="AB1267" s="164" t="s">
        <v>187</v>
      </c>
      <c r="AC1267" s="164" t="s">
        <v>187</v>
      </c>
      <c r="AD1267" s="165">
        <v>1</v>
      </c>
      <c r="AE1267" s="164" t="s">
        <v>209</v>
      </c>
      <c r="AF1267" s="165">
        <v>19.268599999999999</v>
      </c>
      <c r="AG1267" s="166">
        <v>101.39127999999999</v>
      </c>
      <c r="AO1267" s="121"/>
      <c r="AT1267" s="111"/>
      <c r="AX1267" s="121"/>
    </row>
    <row r="1268" spans="1:50" s="110" customFormat="1" ht="20" customHeight="1">
      <c r="A1268" s="125" t="s">
        <v>471</v>
      </c>
      <c r="B1268" s="126" t="s">
        <v>65</v>
      </c>
      <c r="C1268" s="127">
        <v>10243</v>
      </c>
      <c r="D1268" s="163">
        <v>100212</v>
      </c>
      <c r="E1268" s="164" t="s">
        <v>4164</v>
      </c>
      <c r="F1268" s="164" t="s">
        <v>4164</v>
      </c>
      <c r="G1268" s="165">
        <v>26000</v>
      </c>
      <c r="H1268" s="165">
        <v>1</v>
      </c>
      <c r="I1268" s="164" t="s">
        <v>187</v>
      </c>
      <c r="J1268" s="164" t="s">
        <v>4165</v>
      </c>
      <c r="K1268" s="164" t="s">
        <v>4164</v>
      </c>
      <c r="L1268" s="165">
        <v>1</v>
      </c>
      <c r="M1268" s="165">
        <v>4</v>
      </c>
      <c r="N1268" s="164" t="s">
        <v>1548</v>
      </c>
      <c r="O1268" s="165">
        <v>0.04</v>
      </c>
      <c r="P1268" s="165">
        <v>0.02</v>
      </c>
      <c r="Q1268" s="165">
        <v>20</v>
      </c>
      <c r="R1268" s="164" t="s">
        <v>574</v>
      </c>
      <c r="S1268" s="164" t="s">
        <v>575</v>
      </c>
      <c r="T1268" s="165">
        <v>239</v>
      </c>
      <c r="U1268" s="164" t="s">
        <v>1618</v>
      </c>
      <c r="V1268" s="164" t="s">
        <v>1619</v>
      </c>
      <c r="W1268" s="165">
        <v>1</v>
      </c>
      <c r="X1268" s="165">
        <v>2</v>
      </c>
      <c r="Y1268" s="164" t="s">
        <v>194</v>
      </c>
      <c r="Z1268" s="164" t="s">
        <v>195</v>
      </c>
      <c r="AA1268" s="164" t="s">
        <v>196</v>
      </c>
      <c r="AB1268" s="164" t="s">
        <v>187</v>
      </c>
      <c r="AC1268" s="164" t="s">
        <v>187</v>
      </c>
      <c r="AD1268" s="165">
        <v>1</v>
      </c>
      <c r="AE1268" s="164" t="s">
        <v>187</v>
      </c>
      <c r="AF1268" s="165">
        <v>15.55701</v>
      </c>
      <c r="AG1268" s="166">
        <v>106.60577000000001</v>
      </c>
      <c r="AO1268" s="121"/>
      <c r="AT1268" s="111"/>
      <c r="AX1268" s="121"/>
    </row>
    <row r="1269" spans="1:50" s="110" customFormat="1" ht="20" customHeight="1">
      <c r="A1269" s="125" t="s">
        <v>471</v>
      </c>
      <c r="B1269" s="126" t="s">
        <v>65</v>
      </c>
      <c r="C1269" s="127">
        <v>10960</v>
      </c>
      <c r="D1269" s="163">
        <v>101655</v>
      </c>
      <c r="E1269" s="164" t="s">
        <v>1900</v>
      </c>
      <c r="F1269" s="164" t="s">
        <v>1900</v>
      </c>
      <c r="G1269" s="165">
        <v>26000</v>
      </c>
      <c r="H1269" s="165">
        <v>1</v>
      </c>
      <c r="I1269" s="164" t="s">
        <v>187</v>
      </c>
      <c r="J1269" s="164" t="s">
        <v>1901</v>
      </c>
      <c r="K1269" s="164" t="s">
        <v>1902</v>
      </c>
      <c r="L1269" s="165">
        <v>3</v>
      </c>
      <c r="M1269" s="165">
        <v>4</v>
      </c>
      <c r="N1269" s="164" t="s">
        <v>1548</v>
      </c>
      <c r="O1269" s="165">
        <v>1</v>
      </c>
      <c r="P1269" s="165">
        <v>0.76100000000000001</v>
      </c>
      <c r="Q1269" s="165">
        <v>20</v>
      </c>
      <c r="R1269" s="164" t="s">
        <v>574</v>
      </c>
      <c r="S1269" s="164" t="s">
        <v>575</v>
      </c>
      <c r="T1269" s="165">
        <v>239</v>
      </c>
      <c r="U1269" s="164" t="s">
        <v>1618</v>
      </c>
      <c r="V1269" s="164" t="s">
        <v>1619</v>
      </c>
      <c r="W1269" s="165">
        <v>3</v>
      </c>
      <c r="X1269" s="165">
        <v>2</v>
      </c>
      <c r="Y1269" s="164" t="s">
        <v>194</v>
      </c>
      <c r="Z1269" s="164" t="s">
        <v>195</v>
      </c>
      <c r="AA1269" s="164" t="s">
        <v>196</v>
      </c>
      <c r="AB1269" s="164" t="s">
        <v>187</v>
      </c>
      <c r="AC1269" s="164" t="s">
        <v>187</v>
      </c>
      <c r="AD1269" s="165">
        <v>1</v>
      </c>
      <c r="AE1269" s="164" t="s">
        <v>209</v>
      </c>
      <c r="AF1269" s="165">
        <v>14.56216</v>
      </c>
      <c r="AG1269" s="166">
        <v>106.60037</v>
      </c>
      <c r="AO1269" s="121"/>
      <c r="AT1269" s="111"/>
      <c r="AX1269" s="121"/>
    </row>
    <row r="1270" spans="1:50" s="110" customFormat="1" ht="20" customHeight="1">
      <c r="A1270" s="125" t="s">
        <v>471</v>
      </c>
      <c r="B1270" s="126" t="s">
        <v>65</v>
      </c>
      <c r="C1270" s="127">
        <v>12649</v>
      </c>
      <c r="D1270" s="163">
        <v>104890</v>
      </c>
      <c r="E1270" s="164" t="s">
        <v>1729</v>
      </c>
      <c r="F1270" s="164" t="s">
        <v>1729</v>
      </c>
      <c r="G1270" s="165">
        <v>23000</v>
      </c>
      <c r="H1270" s="165">
        <v>1</v>
      </c>
      <c r="I1270" s="164" t="s">
        <v>187</v>
      </c>
      <c r="J1270" s="164" t="s">
        <v>1730</v>
      </c>
      <c r="K1270" s="164" t="s">
        <v>1731</v>
      </c>
      <c r="L1270" s="165">
        <v>3</v>
      </c>
      <c r="M1270" s="165">
        <v>4</v>
      </c>
      <c r="N1270" s="164" t="s">
        <v>1548</v>
      </c>
      <c r="O1270" s="165">
        <v>1</v>
      </c>
      <c r="P1270" s="165">
        <v>0.8</v>
      </c>
      <c r="Q1270" s="165">
        <v>20</v>
      </c>
      <c r="R1270" s="164" t="s">
        <v>574</v>
      </c>
      <c r="S1270" s="164" t="s">
        <v>575</v>
      </c>
      <c r="T1270" s="165">
        <v>239</v>
      </c>
      <c r="U1270" s="164" t="s">
        <v>1618</v>
      </c>
      <c r="V1270" s="164" t="s">
        <v>1619</v>
      </c>
      <c r="W1270" s="165">
        <v>2</v>
      </c>
      <c r="X1270" s="165">
        <v>2</v>
      </c>
      <c r="Y1270" s="164" t="s">
        <v>194</v>
      </c>
      <c r="Z1270" s="164" t="s">
        <v>195</v>
      </c>
      <c r="AA1270" s="164" t="s">
        <v>196</v>
      </c>
      <c r="AB1270" s="164" t="s">
        <v>187</v>
      </c>
      <c r="AC1270" s="164" t="s">
        <v>187</v>
      </c>
      <c r="AD1270" s="165">
        <v>1</v>
      </c>
      <c r="AE1270" s="164" t="s">
        <v>209</v>
      </c>
      <c r="AF1270" s="165">
        <v>20.3855</v>
      </c>
      <c r="AG1270" s="166">
        <v>100.98741</v>
      </c>
      <c r="AO1270" s="121"/>
      <c r="AT1270" s="111"/>
      <c r="AX1270" s="121"/>
    </row>
    <row r="1271" spans="1:50" s="110" customFormat="1" ht="20" customHeight="1">
      <c r="A1271" s="125" t="s">
        <v>471</v>
      </c>
      <c r="B1271" s="126" t="s">
        <v>65</v>
      </c>
      <c r="C1271" s="127">
        <v>14249</v>
      </c>
      <c r="D1271" s="163">
        <v>107730</v>
      </c>
      <c r="E1271" s="164" t="s">
        <v>2275</v>
      </c>
      <c r="F1271" s="164" t="s">
        <v>2275</v>
      </c>
      <c r="G1271" s="165">
        <v>23000</v>
      </c>
      <c r="H1271" s="165">
        <v>1</v>
      </c>
      <c r="I1271" s="164" t="s">
        <v>187</v>
      </c>
      <c r="J1271" s="164" t="s">
        <v>2274</v>
      </c>
      <c r="K1271" s="164" t="s">
        <v>2275</v>
      </c>
      <c r="L1271" s="165">
        <v>4</v>
      </c>
      <c r="M1271" s="165">
        <v>4</v>
      </c>
      <c r="N1271" s="164" t="s">
        <v>1548</v>
      </c>
      <c r="O1271" s="165">
        <v>0</v>
      </c>
      <c r="P1271" s="165">
        <v>0</v>
      </c>
      <c r="Q1271" s="165">
        <v>20</v>
      </c>
      <c r="R1271" s="164" t="s">
        <v>574</v>
      </c>
      <c r="S1271" s="164" t="s">
        <v>575</v>
      </c>
      <c r="T1271" s="165">
        <v>239</v>
      </c>
      <c r="U1271" s="164" t="s">
        <v>1618</v>
      </c>
      <c r="V1271" s="164" t="s">
        <v>1619</v>
      </c>
      <c r="W1271" s="165">
        <v>2</v>
      </c>
      <c r="X1271" s="165">
        <v>2</v>
      </c>
      <c r="Y1271" s="164" t="s">
        <v>194</v>
      </c>
      <c r="Z1271" s="164" t="s">
        <v>195</v>
      </c>
      <c r="AA1271" s="164" t="s">
        <v>196</v>
      </c>
      <c r="AB1271" s="164" t="s">
        <v>187</v>
      </c>
      <c r="AC1271" s="164" t="s">
        <v>187</v>
      </c>
      <c r="AD1271" s="165">
        <v>1</v>
      </c>
      <c r="AE1271" s="164" t="s">
        <v>187</v>
      </c>
      <c r="AF1271" s="165">
        <v>16.230779999999999</v>
      </c>
      <c r="AG1271" s="166">
        <v>107.05434</v>
      </c>
      <c r="AO1271" s="121"/>
      <c r="AT1271" s="111"/>
      <c r="AX1271" s="121"/>
    </row>
    <row r="1272" spans="1:50" s="110" customFormat="1" ht="20" customHeight="1">
      <c r="A1272" s="125" t="s">
        <v>471</v>
      </c>
      <c r="B1272" s="126" t="s">
        <v>65</v>
      </c>
      <c r="C1272" s="127">
        <v>11686</v>
      </c>
      <c r="D1272" s="163">
        <v>102833</v>
      </c>
      <c r="E1272" s="164" t="s">
        <v>2200</v>
      </c>
      <c r="F1272" s="164" t="s">
        <v>2200</v>
      </c>
      <c r="G1272" s="165">
        <v>22000</v>
      </c>
      <c r="H1272" s="165">
        <v>1</v>
      </c>
      <c r="I1272" s="164" t="s">
        <v>187</v>
      </c>
      <c r="J1272" s="164" t="s">
        <v>2199</v>
      </c>
      <c r="K1272" s="164" t="s">
        <v>2200</v>
      </c>
      <c r="L1272" s="165">
        <v>5</v>
      </c>
      <c r="M1272" s="165">
        <v>4</v>
      </c>
      <c r="N1272" s="164" t="s">
        <v>1548</v>
      </c>
      <c r="O1272" s="165">
        <v>2</v>
      </c>
      <c r="P1272" s="165">
        <v>1.5</v>
      </c>
      <c r="Q1272" s="165">
        <v>20</v>
      </c>
      <c r="R1272" s="164" t="s">
        <v>574</v>
      </c>
      <c r="S1272" s="164" t="s">
        <v>575</v>
      </c>
      <c r="T1272" s="165">
        <v>239</v>
      </c>
      <c r="U1272" s="164" t="s">
        <v>1618</v>
      </c>
      <c r="V1272" s="164" t="s">
        <v>1619</v>
      </c>
      <c r="W1272" s="165">
        <v>3</v>
      </c>
      <c r="X1272" s="165">
        <v>2</v>
      </c>
      <c r="Y1272" s="164" t="s">
        <v>194</v>
      </c>
      <c r="Z1272" s="164" t="s">
        <v>195</v>
      </c>
      <c r="AA1272" s="164" t="s">
        <v>196</v>
      </c>
      <c r="AB1272" s="164" t="s">
        <v>187</v>
      </c>
      <c r="AC1272" s="164" t="s">
        <v>187</v>
      </c>
      <c r="AD1272" s="165">
        <v>1</v>
      </c>
      <c r="AE1272" s="164" t="s">
        <v>209</v>
      </c>
      <c r="AF1272" s="165">
        <v>16.605742425972199</v>
      </c>
      <c r="AG1272" s="166">
        <v>106.537771720588</v>
      </c>
      <c r="AO1272" s="121"/>
      <c r="AT1272" s="111"/>
      <c r="AX1272" s="121"/>
    </row>
    <row r="1273" spans="1:50" s="110" customFormat="1" ht="20" customHeight="1">
      <c r="A1273" s="125" t="s">
        <v>471</v>
      </c>
      <c r="B1273" s="126" t="s">
        <v>65</v>
      </c>
      <c r="C1273" s="127">
        <v>19360</v>
      </c>
      <c r="D1273" s="163">
        <v>115455</v>
      </c>
      <c r="E1273" s="164" t="s">
        <v>4084</v>
      </c>
      <c r="F1273" s="164" t="s">
        <v>4084</v>
      </c>
      <c r="G1273" s="165">
        <v>22000</v>
      </c>
      <c r="H1273" s="165">
        <v>1</v>
      </c>
      <c r="I1273" s="164" t="s">
        <v>187</v>
      </c>
      <c r="J1273" s="164" t="s">
        <v>4085</v>
      </c>
      <c r="K1273" s="164" t="s">
        <v>4086</v>
      </c>
      <c r="L1273" s="165">
        <v>0</v>
      </c>
      <c r="M1273" s="165">
        <v>4</v>
      </c>
      <c r="N1273" s="164" t="s">
        <v>1548</v>
      </c>
      <c r="O1273" s="165">
        <v>0.1</v>
      </c>
      <c r="P1273" s="165">
        <v>0.1</v>
      </c>
      <c r="Q1273" s="165">
        <v>20</v>
      </c>
      <c r="R1273" s="164" t="s">
        <v>574</v>
      </c>
      <c r="S1273" s="164" t="s">
        <v>575</v>
      </c>
      <c r="T1273" s="165">
        <v>239</v>
      </c>
      <c r="U1273" s="164" t="s">
        <v>1618</v>
      </c>
      <c r="V1273" s="164" t="s">
        <v>1619</v>
      </c>
      <c r="W1273" s="165">
        <v>1</v>
      </c>
      <c r="X1273" s="165">
        <v>2</v>
      </c>
      <c r="Y1273" s="164" t="s">
        <v>194</v>
      </c>
      <c r="Z1273" s="164" t="s">
        <v>195</v>
      </c>
      <c r="AA1273" s="164" t="s">
        <v>196</v>
      </c>
      <c r="AB1273" s="164" t="s">
        <v>187</v>
      </c>
      <c r="AC1273" s="164" t="s">
        <v>187</v>
      </c>
      <c r="AD1273" s="165">
        <v>1</v>
      </c>
      <c r="AE1273" s="164" t="s">
        <v>187</v>
      </c>
      <c r="AF1273" s="165">
        <v>15.915380000000001</v>
      </c>
      <c r="AG1273" s="166">
        <v>106.88721</v>
      </c>
      <c r="AO1273" s="121"/>
      <c r="AT1273" s="111"/>
      <c r="AX1273" s="121"/>
    </row>
    <row r="1274" spans="1:50" s="110" customFormat="1" ht="20" customHeight="1">
      <c r="A1274" s="125" t="s">
        <v>471</v>
      </c>
      <c r="B1274" s="126" t="s">
        <v>65</v>
      </c>
      <c r="C1274" s="127">
        <v>13369</v>
      </c>
      <c r="D1274" s="163">
        <v>107284</v>
      </c>
      <c r="E1274" s="164" t="s">
        <v>4038</v>
      </c>
      <c r="F1274" s="164" t="s">
        <v>4038</v>
      </c>
      <c r="G1274" s="165">
        <v>20000</v>
      </c>
      <c r="H1274" s="165">
        <v>1</v>
      </c>
      <c r="I1274" s="164" t="s">
        <v>187</v>
      </c>
      <c r="J1274" s="164" t="s">
        <v>1607</v>
      </c>
      <c r="K1274" s="164" t="s">
        <v>1608</v>
      </c>
      <c r="L1274" s="165">
        <v>3</v>
      </c>
      <c r="M1274" s="165">
        <v>4</v>
      </c>
      <c r="N1274" s="164" t="s">
        <v>1548</v>
      </c>
      <c r="O1274" s="165">
        <v>1</v>
      </c>
      <c r="P1274" s="165">
        <v>0.84699999999999998</v>
      </c>
      <c r="Q1274" s="165">
        <v>20</v>
      </c>
      <c r="R1274" s="164" t="s">
        <v>574</v>
      </c>
      <c r="S1274" s="164" t="s">
        <v>575</v>
      </c>
      <c r="T1274" s="165">
        <v>239</v>
      </c>
      <c r="U1274" s="164" t="s">
        <v>1618</v>
      </c>
      <c r="V1274" s="164" t="s">
        <v>1619</v>
      </c>
      <c r="W1274" s="165">
        <v>1</v>
      </c>
      <c r="X1274" s="165">
        <v>2</v>
      </c>
      <c r="Y1274" s="164" t="s">
        <v>194</v>
      </c>
      <c r="Z1274" s="164" t="s">
        <v>195</v>
      </c>
      <c r="AA1274" s="164" t="s">
        <v>196</v>
      </c>
      <c r="AB1274" s="164" t="s">
        <v>187</v>
      </c>
      <c r="AC1274" s="164" t="s">
        <v>187</v>
      </c>
      <c r="AD1274" s="165">
        <v>1</v>
      </c>
      <c r="AE1274" s="164" t="s">
        <v>209</v>
      </c>
      <c r="AF1274" s="165">
        <v>20.690067823571201</v>
      </c>
      <c r="AG1274" s="166">
        <v>101.08588019101801</v>
      </c>
      <c r="AO1274" s="121"/>
      <c r="AT1274" s="111"/>
      <c r="AX1274" s="121"/>
    </row>
    <row r="1275" spans="1:50" s="110" customFormat="1" ht="20" customHeight="1">
      <c r="A1275" s="125" t="s">
        <v>471</v>
      </c>
      <c r="B1275" s="126" t="s">
        <v>65</v>
      </c>
      <c r="C1275" s="127">
        <v>15272</v>
      </c>
      <c r="D1275" s="163">
        <v>109856</v>
      </c>
      <c r="E1275" s="164" t="s">
        <v>3684</v>
      </c>
      <c r="F1275" s="164" t="s">
        <v>3684</v>
      </c>
      <c r="G1275" s="165">
        <v>11000</v>
      </c>
      <c r="H1275" s="165">
        <v>1</v>
      </c>
      <c r="I1275" s="164" t="s">
        <v>187</v>
      </c>
      <c r="J1275" s="164" t="s">
        <v>3685</v>
      </c>
      <c r="K1275" s="164" t="s">
        <v>3686</v>
      </c>
      <c r="L1275" s="165">
        <v>1</v>
      </c>
      <c r="M1275" s="165">
        <v>4</v>
      </c>
      <c r="N1275" s="164" t="s">
        <v>1548</v>
      </c>
      <c r="O1275" s="165">
        <v>1</v>
      </c>
      <c r="P1275" s="165">
        <v>0.8</v>
      </c>
      <c r="Q1275" s="165">
        <v>20</v>
      </c>
      <c r="R1275" s="164" t="s">
        <v>574</v>
      </c>
      <c r="S1275" s="164" t="s">
        <v>575</v>
      </c>
      <c r="T1275" s="165">
        <v>239</v>
      </c>
      <c r="U1275" s="164" t="s">
        <v>1618</v>
      </c>
      <c r="V1275" s="164" t="s">
        <v>1619</v>
      </c>
      <c r="W1275" s="165">
        <v>1</v>
      </c>
      <c r="X1275" s="165">
        <v>2</v>
      </c>
      <c r="Y1275" s="164" t="s">
        <v>194</v>
      </c>
      <c r="Z1275" s="164" t="s">
        <v>195</v>
      </c>
      <c r="AA1275" s="164" t="s">
        <v>196</v>
      </c>
      <c r="AB1275" s="164" t="s">
        <v>187</v>
      </c>
      <c r="AC1275" s="164" t="s">
        <v>187</v>
      </c>
      <c r="AD1275" s="165">
        <v>1</v>
      </c>
      <c r="AE1275" s="164" t="s">
        <v>209</v>
      </c>
      <c r="AF1275" s="165">
        <v>15.48072</v>
      </c>
      <c r="AG1275" s="166">
        <v>107.28091000000001</v>
      </c>
      <c r="AO1275" s="121"/>
      <c r="AT1275" s="111"/>
      <c r="AX1275" s="121"/>
    </row>
    <row r="1276" spans="1:50" s="110" customFormat="1" ht="20" customHeight="1">
      <c r="A1276" s="125" t="s">
        <v>471</v>
      </c>
      <c r="B1276" s="126" t="s">
        <v>65</v>
      </c>
      <c r="C1276" s="127">
        <v>14967</v>
      </c>
      <c r="D1276" s="163">
        <v>109366</v>
      </c>
      <c r="E1276" s="164" t="s">
        <v>3687</v>
      </c>
      <c r="F1276" s="164" t="s">
        <v>3687</v>
      </c>
      <c r="G1276" s="165">
        <v>11000</v>
      </c>
      <c r="H1276" s="165">
        <v>1</v>
      </c>
      <c r="I1276" s="164" t="s">
        <v>187</v>
      </c>
      <c r="J1276" s="164" t="s">
        <v>2199</v>
      </c>
      <c r="K1276" s="164" t="s">
        <v>2200</v>
      </c>
      <c r="L1276" s="165">
        <v>5</v>
      </c>
      <c r="M1276" s="165">
        <v>4</v>
      </c>
      <c r="N1276" s="164" t="s">
        <v>1548</v>
      </c>
      <c r="O1276" s="165">
        <v>0.1</v>
      </c>
      <c r="P1276" s="165">
        <v>0.05</v>
      </c>
      <c r="Q1276" s="165">
        <v>20</v>
      </c>
      <c r="R1276" s="164" t="s">
        <v>574</v>
      </c>
      <c r="S1276" s="164" t="s">
        <v>575</v>
      </c>
      <c r="T1276" s="165">
        <v>239</v>
      </c>
      <c r="U1276" s="164" t="s">
        <v>1618</v>
      </c>
      <c r="V1276" s="164" t="s">
        <v>1619</v>
      </c>
      <c r="W1276" s="165">
        <v>1</v>
      </c>
      <c r="X1276" s="165">
        <v>2</v>
      </c>
      <c r="Y1276" s="164" t="s">
        <v>194</v>
      </c>
      <c r="Z1276" s="164" t="s">
        <v>195</v>
      </c>
      <c r="AA1276" s="164" t="s">
        <v>196</v>
      </c>
      <c r="AB1276" s="164" t="s">
        <v>187</v>
      </c>
      <c r="AC1276" s="164" t="s">
        <v>187</v>
      </c>
      <c r="AD1276" s="165">
        <v>1</v>
      </c>
      <c r="AE1276" s="164" t="s">
        <v>187</v>
      </c>
      <c r="AF1276" s="165">
        <v>17.2782595430435</v>
      </c>
      <c r="AG1276" s="166">
        <v>105.46970576371</v>
      </c>
      <c r="AO1276" s="121"/>
      <c r="AT1276" s="111"/>
      <c r="AX1276" s="121"/>
    </row>
    <row r="1277" spans="1:50" s="110" customFormat="1" ht="20" customHeight="1">
      <c r="A1277" s="125" t="s">
        <v>471</v>
      </c>
      <c r="B1277" s="126" t="s">
        <v>65</v>
      </c>
      <c r="C1277" s="127">
        <v>14485</v>
      </c>
      <c r="D1277" s="163">
        <v>108192</v>
      </c>
      <c r="E1277" s="164" t="s">
        <v>2990</v>
      </c>
      <c r="F1277" s="164" t="s">
        <v>2991</v>
      </c>
      <c r="G1277" s="165">
        <v>10000</v>
      </c>
      <c r="H1277" s="165">
        <v>1</v>
      </c>
      <c r="I1277" s="164" t="s">
        <v>187</v>
      </c>
      <c r="J1277" s="164" t="s">
        <v>2992</v>
      </c>
      <c r="K1277" s="164" t="s">
        <v>2991</v>
      </c>
      <c r="L1277" s="165">
        <v>1</v>
      </c>
      <c r="M1277" s="165">
        <v>4</v>
      </c>
      <c r="N1277" s="164" t="s">
        <v>1548</v>
      </c>
      <c r="O1277" s="165">
        <v>0</v>
      </c>
      <c r="P1277" s="165">
        <v>0</v>
      </c>
      <c r="Q1277" s="165">
        <v>20</v>
      </c>
      <c r="R1277" s="164" t="s">
        <v>574</v>
      </c>
      <c r="S1277" s="164" t="s">
        <v>575</v>
      </c>
      <c r="T1277" s="165">
        <v>239</v>
      </c>
      <c r="U1277" s="164" t="s">
        <v>1618</v>
      </c>
      <c r="V1277" s="164" t="s">
        <v>1619</v>
      </c>
      <c r="W1277" s="165">
        <v>3</v>
      </c>
      <c r="X1277" s="165">
        <v>2</v>
      </c>
      <c r="Y1277" s="164" t="s">
        <v>194</v>
      </c>
      <c r="Z1277" s="164" t="s">
        <v>195</v>
      </c>
      <c r="AA1277" s="164" t="s">
        <v>196</v>
      </c>
      <c r="AB1277" s="164" t="s">
        <v>187</v>
      </c>
      <c r="AC1277" s="164" t="s">
        <v>209</v>
      </c>
      <c r="AD1277" s="165">
        <v>1</v>
      </c>
      <c r="AE1277" s="164" t="s">
        <v>187</v>
      </c>
      <c r="AF1277" s="165">
        <v>20.67061</v>
      </c>
      <c r="AG1277" s="166">
        <v>103.79961</v>
      </c>
      <c r="AO1277" s="121"/>
      <c r="AT1277" s="111"/>
      <c r="AX1277" s="121"/>
    </row>
    <row r="1278" spans="1:50" s="110" customFormat="1" ht="20" customHeight="1">
      <c r="A1278" s="125" t="s">
        <v>471</v>
      </c>
      <c r="B1278" s="126" t="s">
        <v>65</v>
      </c>
      <c r="C1278" s="127">
        <v>16150</v>
      </c>
      <c r="D1278" s="163">
        <v>111250</v>
      </c>
      <c r="E1278" s="164" t="s">
        <v>3632</v>
      </c>
      <c r="F1278" s="164" t="s">
        <v>3632</v>
      </c>
      <c r="G1278" s="165">
        <v>10000</v>
      </c>
      <c r="H1278" s="165">
        <v>1</v>
      </c>
      <c r="I1278" s="164" t="s">
        <v>187</v>
      </c>
      <c r="J1278" s="164" t="s">
        <v>3533</v>
      </c>
      <c r="K1278" s="164" t="s">
        <v>3534</v>
      </c>
      <c r="L1278" s="165">
        <v>0</v>
      </c>
      <c r="M1278" s="165">
        <v>4</v>
      </c>
      <c r="N1278" s="164" t="s">
        <v>1548</v>
      </c>
      <c r="O1278" s="165">
        <v>0</v>
      </c>
      <c r="P1278" s="165">
        <v>0</v>
      </c>
      <c r="Q1278" s="165">
        <v>20</v>
      </c>
      <c r="R1278" s="164" t="s">
        <v>574</v>
      </c>
      <c r="S1278" s="164" t="s">
        <v>575</v>
      </c>
      <c r="T1278" s="165">
        <v>239</v>
      </c>
      <c r="U1278" s="164" t="s">
        <v>1618</v>
      </c>
      <c r="V1278" s="164" t="s">
        <v>1619</v>
      </c>
      <c r="W1278" s="165">
        <v>1</v>
      </c>
      <c r="X1278" s="165">
        <v>2</v>
      </c>
      <c r="Y1278" s="164" t="s">
        <v>194</v>
      </c>
      <c r="Z1278" s="164" t="s">
        <v>195</v>
      </c>
      <c r="AA1278" s="164" t="s">
        <v>196</v>
      </c>
      <c r="AB1278" s="164" t="s">
        <v>187</v>
      </c>
      <c r="AC1278" s="164" t="s">
        <v>187</v>
      </c>
      <c r="AD1278" s="165">
        <v>1</v>
      </c>
      <c r="AE1278" s="164" t="s">
        <v>187</v>
      </c>
      <c r="AF1278" s="165">
        <v>14.673249999999999</v>
      </c>
      <c r="AG1278" s="166">
        <v>106.66701999999999</v>
      </c>
      <c r="AO1278" s="121"/>
      <c r="AT1278" s="111"/>
      <c r="AX1278" s="121"/>
    </row>
    <row r="1279" spans="1:50" s="110" customFormat="1" ht="20" customHeight="1">
      <c r="A1279" s="125" t="s">
        <v>471</v>
      </c>
      <c r="B1279" s="126" t="s">
        <v>65</v>
      </c>
      <c r="C1279" s="127">
        <v>19027</v>
      </c>
      <c r="D1279" s="163">
        <v>107528</v>
      </c>
      <c r="E1279" s="164" t="s">
        <v>3565</v>
      </c>
      <c r="F1279" s="164" t="s">
        <v>3565</v>
      </c>
      <c r="G1279" s="165">
        <v>9100</v>
      </c>
      <c r="H1279" s="165">
        <v>1</v>
      </c>
      <c r="I1279" s="164" t="s">
        <v>187</v>
      </c>
      <c r="J1279" s="164" t="s">
        <v>3566</v>
      </c>
      <c r="K1279" s="164" t="s">
        <v>3567</v>
      </c>
      <c r="L1279" s="165">
        <v>0</v>
      </c>
      <c r="M1279" s="165">
        <v>4</v>
      </c>
      <c r="N1279" s="164" t="s">
        <v>1548</v>
      </c>
      <c r="O1279" s="165">
        <v>0</v>
      </c>
      <c r="P1279" s="165">
        <v>0</v>
      </c>
      <c r="Q1279" s="165">
        <v>20</v>
      </c>
      <c r="R1279" s="164" t="s">
        <v>574</v>
      </c>
      <c r="S1279" s="164" t="s">
        <v>575</v>
      </c>
      <c r="T1279" s="165">
        <v>239</v>
      </c>
      <c r="U1279" s="164" t="s">
        <v>1618</v>
      </c>
      <c r="V1279" s="164" t="s">
        <v>1619</v>
      </c>
      <c r="W1279" s="165">
        <v>1</v>
      </c>
      <c r="X1279" s="165">
        <v>2</v>
      </c>
      <c r="Y1279" s="164" t="s">
        <v>194</v>
      </c>
      <c r="Z1279" s="164" t="s">
        <v>195</v>
      </c>
      <c r="AA1279" s="164" t="s">
        <v>196</v>
      </c>
      <c r="AB1279" s="164" t="s">
        <v>187</v>
      </c>
      <c r="AC1279" s="164" t="s">
        <v>187</v>
      </c>
      <c r="AD1279" s="165">
        <v>1</v>
      </c>
      <c r="AE1279" s="164" t="s">
        <v>187</v>
      </c>
      <c r="AF1279" s="165">
        <v>15.09717</v>
      </c>
      <c r="AG1279" s="166">
        <v>106.55542</v>
      </c>
      <c r="AO1279" s="121"/>
      <c r="AT1279" s="111"/>
      <c r="AX1279" s="121"/>
    </row>
    <row r="1280" spans="1:50" s="110" customFormat="1" ht="20" customHeight="1">
      <c r="A1280" s="125" t="s">
        <v>471</v>
      </c>
      <c r="B1280" s="126" t="s">
        <v>65</v>
      </c>
      <c r="C1280" s="127">
        <v>12341</v>
      </c>
      <c r="D1280" s="163">
        <v>104229</v>
      </c>
      <c r="E1280" s="164" t="s">
        <v>3532</v>
      </c>
      <c r="F1280" s="164" t="s">
        <v>3532</v>
      </c>
      <c r="G1280" s="165">
        <v>8800</v>
      </c>
      <c r="H1280" s="165">
        <v>1</v>
      </c>
      <c r="I1280" s="164" t="s">
        <v>187</v>
      </c>
      <c r="J1280" s="164" t="s">
        <v>3533</v>
      </c>
      <c r="K1280" s="164" t="s">
        <v>3534</v>
      </c>
      <c r="L1280" s="165">
        <v>0</v>
      </c>
      <c r="M1280" s="165">
        <v>4</v>
      </c>
      <c r="N1280" s="164" t="s">
        <v>1548</v>
      </c>
      <c r="O1280" s="165">
        <v>0</v>
      </c>
      <c r="P1280" s="165">
        <v>0</v>
      </c>
      <c r="Q1280" s="165">
        <v>20</v>
      </c>
      <c r="R1280" s="164" t="s">
        <v>574</v>
      </c>
      <c r="S1280" s="164" t="s">
        <v>575</v>
      </c>
      <c r="T1280" s="165">
        <v>239</v>
      </c>
      <c r="U1280" s="164" t="s">
        <v>1618</v>
      </c>
      <c r="V1280" s="164" t="s">
        <v>1619</v>
      </c>
      <c r="W1280" s="165">
        <v>1</v>
      </c>
      <c r="X1280" s="165">
        <v>2</v>
      </c>
      <c r="Y1280" s="164" t="s">
        <v>194</v>
      </c>
      <c r="Z1280" s="164" t="s">
        <v>195</v>
      </c>
      <c r="AA1280" s="164" t="s">
        <v>196</v>
      </c>
      <c r="AB1280" s="164" t="s">
        <v>187</v>
      </c>
      <c r="AC1280" s="164" t="s">
        <v>187</v>
      </c>
      <c r="AD1280" s="165">
        <v>1</v>
      </c>
      <c r="AE1280" s="164" t="s">
        <v>187</v>
      </c>
      <c r="AF1280" s="165">
        <v>15.01009</v>
      </c>
      <c r="AG1280" s="166">
        <v>107.13744</v>
      </c>
      <c r="AO1280" s="121"/>
      <c r="AT1280" s="111"/>
      <c r="AX1280" s="121"/>
    </row>
    <row r="1281" spans="1:50" s="110" customFormat="1" ht="20" customHeight="1">
      <c r="A1281" s="125" t="s">
        <v>471</v>
      </c>
      <c r="B1281" s="126" t="s">
        <v>65</v>
      </c>
      <c r="C1281" s="127">
        <v>13955</v>
      </c>
      <c r="D1281" s="163">
        <v>107361</v>
      </c>
      <c r="E1281" s="164" t="s">
        <v>3535</v>
      </c>
      <c r="F1281" s="164" t="s">
        <v>3535</v>
      </c>
      <c r="G1281" s="165">
        <v>8800</v>
      </c>
      <c r="H1281" s="165">
        <v>1</v>
      </c>
      <c r="I1281" s="164" t="s">
        <v>187</v>
      </c>
      <c r="J1281" s="164" t="s">
        <v>3536</v>
      </c>
      <c r="K1281" s="164" t="s">
        <v>3537</v>
      </c>
      <c r="L1281" s="165">
        <v>3</v>
      </c>
      <c r="M1281" s="165">
        <v>4</v>
      </c>
      <c r="N1281" s="164" t="s">
        <v>1548</v>
      </c>
      <c r="O1281" s="165">
        <v>0.5</v>
      </c>
      <c r="P1281" s="165">
        <v>0.4</v>
      </c>
      <c r="Q1281" s="165">
        <v>20</v>
      </c>
      <c r="R1281" s="164" t="s">
        <v>574</v>
      </c>
      <c r="S1281" s="164" t="s">
        <v>575</v>
      </c>
      <c r="T1281" s="165">
        <v>239</v>
      </c>
      <c r="U1281" s="164" t="s">
        <v>1618</v>
      </c>
      <c r="V1281" s="164" t="s">
        <v>1619</v>
      </c>
      <c r="W1281" s="165">
        <v>1</v>
      </c>
      <c r="X1281" s="165">
        <v>2</v>
      </c>
      <c r="Y1281" s="164" t="s">
        <v>194</v>
      </c>
      <c r="Z1281" s="164" t="s">
        <v>195</v>
      </c>
      <c r="AA1281" s="164" t="s">
        <v>196</v>
      </c>
      <c r="AB1281" s="164" t="s">
        <v>187</v>
      </c>
      <c r="AC1281" s="164" t="s">
        <v>187</v>
      </c>
      <c r="AD1281" s="165">
        <v>1</v>
      </c>
      <c r="AE1281" s="164" t="s">
        <v>209</v>
      </c>
      <c r="AF1281" s="165">
        <v>15.488062443826699</v>
      </c>
      <c r="AG1281" s="166">
        <v>106.25436006076799</v>
      </c>
      <c r="AO1281" s="121"/>
      <c r="AT1281" s="111"/>
      <c r="AX1281" s="121"/>
    </row>
    <row r="1282" spans="1:50" s="110" customFormat="1" ht="20" customHeight="1">
      <c r="A1282" s="125" t="s">
        <v>471</v>
      </c>
      <c r="B1282" s="126" t="s">
        <v>65</v>
      </c>
      <c r="C1282" s="127">
        <v>16138</v>
      </c>
      <c r="D1282" s="163">
        <v>111234</v>
      </c>
      <c r="E1282" s="164" t="s">
        <v>3320</v>
      </c>
      <c r="F1282" s="164" t="s">
        <v>3320</v>
      </c>
      <c r="G1282" s="165">
        <v>6200</v>
      </c>
      <c r="H1282" s="165">
        <v>1</v>
      </c>
      <c r="I1282" s="164" t="s">
        <v>187</v>
      </c>
      <c r="J1282" s="164" t="s">
        <v>3321</v>
      </c>
      <c r="K1282" s="164" t="s">
        <v>3320</v>
      </c>
      <c r="L1282" s="165">
        <v>4</v>
      </c>
      <c r="M1282" s="165">
        <v>4</v>
      </c>
      <c r="N1282" s="164" t="s">
        <v>1548</v>
      </c>
      <c r="O1282" s="165">
        <v>0</v>
      </c>
      <c r="P1282" s="165">
        <v>0</v>
      </c>
      <c r="Q1282" s="165">
        <v>20</v>
      </c>
      <c r="R1282" s="164" t="s">
        <v>574</v>
      </c>
      <c r="S1282" s="164" t="s">
        <v>575</v>
      </c>
      <c r="T1282" s="165">
        <v>239</v>
      </c>
      <c r="U1282" s="164" t="s">
        <v>1618</v>
      </c>
      <c r="V1282" s="164" t="s">
        <v>1619</v>
      </c>
      <c r="W1282" s="165">
        <v>2</v>
      </c>
      <c r="X1282" s="165">
        <v>2</v>
      </c>
      <c r="Y1282" s="164" t="s">
        <v>194</v>
      </c>
      <c r="Z1282" s="164" t="s">
        <v>195</v>
      </c>
      <c r="AA1282" s="164" t="s">
        <v>196</v>
      </c>
      <c r="AB1282" s="164" t="s">
        <v>187</v>
      </c>
      <c r="AC1282" s="164" t="s">
        <v>187</v>
      </c>
      <c r="AD1282" s="165">
        <v>1</v>
      </c>
      <c r="AE1282" s="164" t="s">
        <v>187</v>
      </c>
      <c r="AF1282" s="165">
        <v>14.77896</v>
      </c>
      <c r="AG1282" s="166">
        <v>107.46306</v>
      </c>
      <c r="AO1282" s="121"/>
      <c r="AT1282" s="111"/>
      <c r="AX1282" s="121"/>
    </row>
    <row r="1283" spans="1:50" s="110" customFormat="1" ht="20" customHeight="1">
      <c r="A1283" s="125" t="s">
        <v>471</v>
      </c>
      <c r="B1283" s="126" t="s">
        <v>65</v>
      </c>
      <c r="C1283" s="127">
        <v>12243</v>
      </c>
      <c r="D1283" s="163">
        <v>104046</v>
      </c>
      <c r="E1283" s="164" t="s">
        <v>3313</v>
      </c>
      <c r="F1283" s="164" t="s">
        <v>3313</v>
      </c>
      <c r="G1283" s="165">
        <v>6100</v>
      </c>
      <c r="H1283" s="165">
        <v>1</v>
      </c>
      <c r="I1283" s="164" t="s">
        <v>187</v>
      </c>
      <c r="J1283" s="164" t="s">
        <v>3314</v>
      </c>
      <c r="K1283" s="164" t="s">
        <v>3313</v>
      </c>
      <c r="L1283" s="165">
        <v>1</v>
      </c>
      <c r="M1283" s="165">
        <v>4</v>
      </c>
      <c r="N1283" s="164" t="s">
        <v>1548</v>
      </c>
      <c r="O1283" s="165">
        <v>0</v>
      </c>
      <c r="P1283" s="165">
        <v>0</v>
      </c>
      <c r="Q1283" s="165">
        <v>20</v>
      </c>
      <c r="R1283" s="164" t="s">
        <v>574</v>
      </c>
      <c r="S1283" s="164" t="s">
        <v>575</v>
      </c>
      <c r="T1283" s="165">
        <v>239</v>
      </c>
      <c r="U1283" s="164" t="s">
        <v>1618</v>
      </c>
      <c r="V1283" s="164" t="s">
        <v>1619</v>
      </c>
      <c r="W1283" s="165">
        <v>1</v>
      </c>
      <c r="X1283" s="165">
        <v>2</v>
      </c>
      <c r="Y1283" s="164" t="s">
        <v>194</v>
      </c>
      <c r="Z1283" s="164" t="s">
        <v>195</v>
      </c>
      <c r="AA1283" s="164" t="s">
        <v>196</v>
      </c>
      <c r="AB1283" s="164" t="s">
        <v>187</v>
      </c>
      <c r="AC1283" s="164" t="s">
        <v>187</v>
      </c>
      <c r="AD1283" s="165">
        <v>1</v>
      </c>
      <c r="AE1283" s="164" t="s">
        <v>187</v>
      </c>
      <c r="AF1283" s="165">
        <v>15.71087</v>
      </c>
      <c r="AG1283" s="166">
        <v>106.55495999999999</v>
      </c>
      <c r="AO1283" s="121"/>
      <c r="AT1283" s="111"/>
      <c r="AX1283" s="121"/>
    </row>
    <row r="1284" spans="1:50" s="110" customFormat="1" ht="20" customHeight="1">
      <c r="A1284" s="125" t="s">
        <v>471</v>
      </c>
      <c r="B1284" s="126" t="s">
        <v>65</v>
      </c>
      <c r="C1284" s="127">
        <v>14758</v>
      </c>
      <c r="D1284" s="163">
        <v>108706</v>
      </c>
      <c r="E1284" s="164" t="s">
        <v>3236</v>
      </c>
      <c r="F1284" s="164" t="s">
        <v>3236</v>
      </c>
      <c r="G1284" s="165">
        <v>5300</v>
      </c>
      <c r="H1284" s="165">
        <v>1</v>
      </c>
      <c r="I1284" s="164" t="s">
        <v>187</v>
      </c>
      <c r="J1284" s="164" t="s">
        <v>3237</v>
      </c>
      <c r="K1284" s="164" t="s">
        <v>3236</v>
      </c>
      <c r="L1284" s="165">
        <v>1</v>
      </c>
      <c r="M1284" s="165">
        <v>4</v>
      </c>
      <c r="N1284" s="164" t="s">
        <v>1548</v>
      </c>
      <c r="O1284" s="165">
        <v>0</v>
      </c>
      <c r="P1284" s="165">
        <v>0</v>
      </c>
      <c r="Q1284" s="165">
        <v>20</v>
      </c>
      <c r="R1284" s="164" t="s">
        <v>574</v>
      </c>
      <c r="S1284" s="164" t="s">
        <v>575</v>
      </c>
      <c r="T1284" s="165">
        <v>239</v>
      </c>
      <c r="U1284" s="164" t="s">
        <v>1618</v>
      </c>
      <c r="V1284" s="164" t="s">
        <v>1619</v>
      </c>
      <c r="W1284" s="165">
        <v>1</v>
      </c>
      <c r="X1284" s="165">
        <v>2</v>
      </c>
      <c r="Y1284" s="164" t="s">
        <v>194</v>
      </c>
      <c r="Z1284" s="164" t="s">
        <v>195</v>
      </c>
      <c r="AA1284" s="164" t="s">
        <v>196</v>
      </c>
      <c r="AB1284" s="164" t="s">
        <v>187</v>
      </c>
      <c r="AC1284" s="164" t="s">
        <v>187</v>
      </c>
      <c r="AD1284" s="165">
        <v>1</v>
      </c>
      <c r="AE1284" s="164" t="s">
        <v>187</v>
      </c>
      <c r="AF1284" s="165">
        <v>15.337</v>
      </c>
      <c r="AG1284" s="166">
        <v>106.84751</v>
      </c>
      <c r="AO1284" s="121"/>
      <c r="AT1284" s="111"/>
      <c r="AX1284" s="121"/>
    </row>
    <row r="1285" spans="1:50" s="110" customFormat="1" ht="20" customHeight="1">
      <c r="A1285" s="125" t="s">
        <v>471</v>
      </c>
      <c r="B1285" s="126" t="s">
        <v>65</v>
      </c>
      <c r="C1285" s="127">
        <v>12668</v>
      </c>
      <c r="D1285" s="163">
        <v>104970</v>
      </c>
      <c r="E1285" s="164" t="s">
        <v>3089</v>
      </c>
      <c r="F1285" s="164" t="s">
        <v>3089</v>
      </c>
      <c r="G1285" s="165">
        <v>4400</v>
      </c>
      <c r="H1285" s="165">
        <v>1</v>
      </c>
      <c r="I1285" s="164" t="s">
        <v>187</v>
      </c>
      <c r="J1285" s="164" t="s">
        <v>3090</v>
      </c>
      <c r="K1285" s="164" t="s">
        <v>3089</v>
      </c>
      <c r="L1285" s="165">
        <v>1</v>
      </c>
      <c r="M1285" s="165">
        <v>4</v>
      </c>
      <c r="N1285" s="164" t="s">
        <v>1548</v>
      </c>
      <c r="O1285" s="165">
        <v>0</v>
      </c>
      <c r="P1285" s="165">
        <v>0</v>
      </c>
      <c r="Q1285" s="165">
        <v>20</v>
      </c>
      <c r="R1285" s="164" t="s">
        <v>574</v>
      </c>
      <c r="S1285" s="164" t="s">
        <v>575</v>
      </c>
      <c r="T1285" s="165">
        <v>239</v>
      </c>
      <c r="U1285" s="164" t="s">
        <v>1618</v>
      </c>
      <c r="V1285" s="164" t="s">
        <v>1619</v>
      </c>
      <c r="W1285" s="165">
        <v>2</v>
      </c>
      <c r="X1285" s="165">
        <v>2</v>
      </c>
      <c r="Y1285" s="164" t="s">
        <v>194</v>
      </c>
      <c r="Z1285" s="164" t="s">
        <v>195</v>
      </c>
      <c r="AA1285" s="164" t="s">
        <v>196</v>
      </c>
      <c r="AB1285" s="164" t="s">
        <v>187</v>
      </c>
      <c r="AC1285" s="164" t="s">
        <v>187</v>
      </c>
      <c r="AD1285" s="165">
        <v>1</v>
      </c>
      <c r="AE1285" s="164" t="s">
        <v>187</v>
      </c>
      <c r="AF1285" s="165">
        <v>17.297170000000001</v>
      </c>
      <c r="AG1285" s="166">
        <v>105.93991</v>
      </c>
      <c r="AO1285" s="121"/>
      <c r="AT1285" s="111"/>
      <c r="AX1285" s="121"/>
    </row>
    <row r="1286" spans="1:50" s="110" customFormat="1" ht="20" customHeight="1">
      <c r="A1286" s="125" t="s">
        <v>471</v>
      </c>
      <c r="B1286" s="126" t="s">
        <v>65</v>
      </c>
      <c r="C1286" s="127">
        <v>18906</v>
      </c>
      <c r="D1286" s="163">
        <v>114864</v>
      </c>
      <c r="E1286" s="164" t="s">
        <v>3032</v>
      </c>
      <c r="F1286" s="164" t="s">
        <v>3032</v>
      </c>
      <c r="G1286" s="165">
        <v>4000</v>
      </c>
      <c r="H1286" s="165">
        <v>1</v>
      </c>
      <c r="I1286" s="164" t="s">
        <v>187</v>
      </c>
      <c r="J1286" s="164" t="s">
        <v>3033</v>
      </c>
      <c r="K1286" s="164" t="s">
        <v>3032</v>
      </c>
      <c r="L1286" s="165">
        <v>1</v>
      </c>
      <c r="M1286" s="165">
        <v>4</v>
      </c>
      <c r="N1286" s="164" t="s">
        <v>1548</v>
      </c>
      <c r="O1286" s="165">
        <v>0</v>
      </c>
      <c r="P1286" s="165">
        <v>0</v>
      </c>
      <c r="Q1286" s="165">
        <v>20</v>
      </c>
      <c r="R1286" s="164" t="s">
        <v>574</v>
      </c>
      <c r="S1286" s="164" t="s">
        <v>575</v>
      </c>
      <c r="T1286" s="165">
        <v>239</v>
      </c>
      <c r="U1286" s="164" t="s">
        <v>1618</v>
      </c>
      <c r="V1286" s="164" t="s">
        <v>1619</v>
      </c>
      <c r="W1286" s="165">
        <v>1</v>
      </c>
      <c r="X1286" s="165">
        <v>2</v>
      </c>
      <c r="Y1286" s="164" t="s">
        <v>194</v>
      </c>
      <c r="Z1286" s="164" t="s">
        <v>195</v>
      </c>
      <c r="AA1286" s="164" t="s">
        <v>196</v>
      </c>
      <c r="AB1286" s="164" t="s">
        <v>187</v>
      </c>
      <c r="AC1286" s="164" t="s">
        <v>187</v>
      </c>
      <c r="AD1286" s="165">
        <v>1</v>
      </c>
      <c r="AE1286" s="164" t="s">
        <v>187</v>
      </c>
      <c r="AF1286" s="165">
        <v>18.25234</v>
      </c>
      <c r="AG1286" s="166">
        <v>104.30625999999999</v>
      </c>
      <c r="AO1286" s="121"/>
      <c r="AT1286" s="111"/>
      <c r="AX1286" s="121"/>
    </row>
    <row r="1287" spans="1:50" s="110" customFormat="1" ht="20" customHeight="1">
      <c r="A1287" s="125" t="s">
        <v>471</v>
      </c>
      <c r="B1287" s="126" t="s">
        <v>65</v>
      </c>
      <c r="C1287" s="127">
        <v>15006</v>
      </c>
      <c r="D1287" s="163">
        <v>109433</v>
      </c>
      <c r="E1287" s="164" t="s">
        <v>2923</v>
      </c>
      <c r="F1287" s="164" t="s">
        <v>2923</v>
      </c>
      <c r="G1287" s="165">
        <v>3200</v>
      </c>
      <c r="H1287" s="165">
        <v>1</v>
      </c>
      <c r="I1287" s="164" t="s">
        <v>187</v>
      </c>
      <c r="J1287" s="164" t="s">
        <v>2924</v>
      </c>
      <c r="K1287" s="164" t="s">
        <v>2923</v>
      </c>
      <c r="L1287" s="165">
        <v>1</v>
      </c>
      <c r="M1287" s="165">
        <v>4</v>
      </c>
      <c r="N1287" s="164" t="s">
        <v>1548</v>
      </c>
      <c r="O1287" s="165">
        <v>0</v>
      </c>
      <c r="P1287" s="165">
        <v>0</v>
      </c>
      <c r="Q1287" s="165">
        <v>20</v>
      </c>
      <c r="R1287" s="164" t="s">
        <v>574</v>
      </c>
      <c r="S1287" s="164" t="s">
        <v>575</v>
      </c>
      <c r="T1287" s="165">
        <v>239</v>
      </c>
      <c r="U1287" s="164" t="s">
        <v>1618</v>
      </c>
      <c r="V1287" s="164" t="s">
        <v>1619</v>
      </c>
      <c r="W1287" s="165">
        <v>1</v>
      </c>
      <c r="X1287" s="165">
        <v>2</v>
      </c>
      <c r="Y1287" s="164" t="s">
        <v>194</v>
      </c>
      <c r="Z1287" s="164" t="s">
        <v>195</v>
      </c>
      <c r="AA1287" s="164" t="s">
        <v>196</v>
      </c>
      <c r="AB1287" s="164" t="s">
        <v>187</v>
      </c>
      <c r="AC1287" s="164" t="s">
        <v>187</v>
      </c>
      <c r="AD1287" s="165">
        <v>1</v>
      </c>
      <c r="AE1287" s="164" t="s">
        <v>187</v>
      </c>
      <c r="AF1287" s="165">
        <v>14.6869999998501</v>
      </c>
      <c r="AG1287" s="166">
        <v>106.53974000020099</v>
      </c>
      <c r="AO1287" s="121"/>
      <c r="AT1287" s="111"/>
      <c r="AX1287" s="121"/>
    </row>
    <row r="1288" spans="1:50" s="110" customFormat="1" ht="20" customHeight="1">
      <c r="A1288" s="125" t="s">
        <v>471</v>
      </c>
      <c r="B1288" s="126" t="s">
        <v>65</v>
      </c>
      <c r="C1288" s="127">
        <v>10882</v>
      </c>
      <c r="D1288" s="163">
        <v>101500</v>
      </c>
      <c r="E1288" s="164" t="s">
        <v>2801</v>
      </c>
      <c r="F1288" s="164" t="s">
        <v>2801</v>
      </c>
      <c r="G1288" s="165">
        <v>2400</v>
      </c>
      <c r="H1288" s="165">
        <v>1</v>
      </c>
      <c r="I1288" s="164" t="s">
        <v>187</v>
      </c>
      <c r="J1288" s="164" t="s">
        <v>2802</v>
      </c>
      <c r="K1288" s="164" t="s">
        <v>2801</v>
      </c>
      <c r="L1288" s="165">
        <v>1</v>
      </c>
      <c r="M1288" s="165">
        <v>4</v>
      </c>
      <c r="N1288" s="164" t="s">
        <v>1548</v>
      </c>
      <c r="O1288" s="165">
        <v>0</v>
      </c>
      <c r="P1288" s="165">
        <v>0</v>
      </c>
      <c r="Q1288" s="165">
        <v>20</v>
      </c>
      <c r="R1288" s="164" t="s">
        <v>574</v>
      </c>
      <c r="S1288" s="164" t="s">
        <v>575</v>
      </c>
      <c r="T1288" s="165">
        <v>239</v>
      </c>
      <c r="U1288" s="164" t="s">
        <v>1618</v>
      </c>
      <c r="V1288" s="164" t="s">
        <v>1619</v>
      </c>
      <c r="W1288" s="165">
        <v>2</v>
      </c>
      <c r="X1288" s="165">
        <v>2</v>
      </c>
      <c r="Y1288" s="164" t="s">
        <v>194</v>
      </c>
      <c r="Z1288" s="164" t="s">
        <v>195</v>
      </c>
      <c r="AA1288" s="164" t="s">
        <v>196</v>
      </c>
      <c r="AB1288" s="164" t="s">
        <v>187</v>
      </c>
      <c r="AC1288" s="164" t="s">
        <v>187</v>
      </c>
      <c r="AD1288" s="165">
        <v>1</v>
      </c>
      <c r="AE1288" s="164" t="s">
        <v>187</v>
      </c>
      <c r="AF1288" s="165">
        <v>21.397639999999999</v>
      </c>
      <c r="AG1288" s="166">
        <v>102.01085999999999</v>
      </c>
      <c r="AO1288" s="121"/>
      <c r="AT1288" s="111"/>
      <c r="AX1288" s="121"/>
    </row>
    <row r="1289" spans="1:50" s="110" customFormat="1" ht="20" customHeight="1">
      <c r="A1289" s="125" t="s">
        <v>471</v>
      </c>
      <c r="B1289" s="126" t="s">
        <v>65</v>
      </c>
      <c r="C1289" s="127">
        <v>19501</v>
      </c>
      <c r="D1289" s="163">
        <v>115070</v>
      </c>
      <c r="E1289" s="164" t="s">
        <v>2747</v>
      </c>
      <c r="F1289" s="164" t="s">
        <v>2747</v>
      </c>
      <c r="G1289" s="165">
        <v>2200</v>
      </c>
      <c r="H1289" s="165">
        <v>1</v>
      </c>
      <c r="I1289" s="164" t="s">
        <v>187</v>
      </c>
      <c r="J1289" s="164" t="s">
        <v>2748</v>
      </c>
      <c r="K1289" s="164" t="s">
        <v>2747</v>
      </c>
      <c r="L1289" s="165">
        <v>1</v>
      </c>
      <c r="M1289" s="165">
        <v>4</v>
      </c>
      <c r="N1289" s="164" t="s">
        <v>1548</v>
      </c>
      <c r="O1289" s="165">
        <v>0</v>
      </c>
      <c r="P1289" s="165">
        <v>0</v>
      </c>
      <c r="Q1289" s="165">
        <v>20</v>
      </c>
      <c r="R1289" s="164" t="s">
        <v>574</v>
      </c>
      <c r="S1289" s="164" t="s">
        <v>575</v>
      </c>
      <c r="T1289" s="165">
        <v>239</v>
      </c>
      <c r="U1289" s="164" t="s">
        <v>1618</v>
      </c>
      <c r="V1289" s="164" t="s">
        <v>1619</v>
      </c>
      <c r="W1289" s="165">
        <v>1</v>
      </c>
      <c r="X1289" s="165">
        <v>2</v>
      </c>
      <c r="Y1289" s="164" t="s">
        <v>194</v>
      </c>
      <c r="Z1289" s="164" t="s">
        <v>195</v>
      </c>
      <c r="AA1289" s="164" t="s">
        <v>196</v>
      </c>
      <c r="AB1289" s="164" t="s">
        <v>187</v>
      </c>
      <c r="AC1289" s="164" t="s">
        <v>187</v>
      </c>
      <c r="AD1289" s="165">
        <v>1</v>
      </c>
      <c r="AE1289" s="164" t="s">
        <v>187</v>
      </c>
      <c r="AF1289" s="165">
        <v>20.64978</v>
      </c>
      <c r="AG1289" s="166">
        <v>100.89976</v>
      </c>
      <c r="AO1289" s="121"/>
      <c r="AT1289" s="111"/>
      <c r="AX1289" s="121"/>
    </row>
    <row r="1290" spans="1:50" s="110" customFormat="1" ht="20" customHeight="1">
      <c r="A1290" s="125" t="s">
        <v>471</v>
      </c>
      <c r="B1290" s="126" t="s">
        <v>65</v>
      </c>
      <c r="C1290" s="127">
        <v>12563</v>
      </c>
      <c r="D1290" s="163">
        <v>104717</v>
      </c>
      <c r="E1290" s="164" t="s">
        <v>2579</v>
      </c>
      <c r="F1290" s="164" t="s">
        <v>2579</v>
      </c>
      <c r="G1290" s="165">
        <v>1600</v>
      </c>
      <c r="H1290" s="165">
        <v>1</v>
      </c>
      <c r="I1290" s="164" t="s">
        <v>187</v>
      </c>
      <c r="J1290" s="164" t="s">
        <v>2580</v>
      </c>
      <c r="K1290" s="164" t="s">
        <v>2581</v>
      </c>
      <c r="L1290" s="165">
        <v>0</v>
      </c>
      <c r="M1290" s="165">
        <v>4</v>
      </c>
      <c r="N1290" s="164" t="s">
        <v>1548</v>
      </c>
      <c r="O1290" s="165">
        <v>0</v>
      </c>
      <c r="P1290" s="165">
        <v>0</v>
      </c>
      <c r="Q1290" s="165">
        <v>20</v>
      </c>
      <c r="R1290" s="164" t="s">
        <v>574</v>
      </c>
      <c r="S1290" s="164" t="s">
        <v>575</v>
      </c>
      <c r="T1290" s="165">
        <v>239</v>
      </c>
      <c r="U1290" s="164" t="s">
        <v>1618</v>
      </c>
      <c r="V1290" s="164" t="s">
        <v>1619</v>
      </c>
      <c r="W1290" s="165">
        <v>1</v>
      </c>
      <c r="X1290" s="165">
        <v>2</v>
      </c>
      <c r="Y1290" s="164" t="s">
        <v>194</v>
      </c>
      <c r="Z1290" s="164" t="s">
        <v>195</v>
      </c>
      <c r="AA1290" s="164" t="s">
        <v>196</v>
      </c>
      <c r="AB1290" s="164" t="s">
        <v>187</v>
      </c>
      <c r="AC1290" s="164" t="s">
        <v>187</v>
      </c>
      <c r="AD1290" s="165">
        <v>1</v>
      </c>
      <c r="AE1290" s="164" t="s">
        <v>187</v>
      </c>
      <c r="AF1290" s="165">
        <v>15.293150000000001</v>
      </c>
      <c r="AG1290" s="166">
        <v>107.35308999999999</v>
      </c>
      <c r="AO1290" s="121"/>
      <c r="AT1290" s="111"/>
      <c r="AX1290" s="121"/>
    </row>
    <row r="1291" spans="1:50" s="110" customFormat="1" ht="20" customHeight="1">
      <c r="A1291" s="125" t="s">
        <v>471</v>
      </c>
      <c r="B1291" s="126" t="s">
        <v>65</v>
      </c>
      <c r="C1291" s="127">
        <v>11241</v>
      </c>
      <c r="D1291" s="163">
        <v>105307</v>
      </c>
      <c r="E1291" s="164" t="s">
        <v>2366</v>
      </c>
      <c r="F1291" s="164" t="s">
        <v>2366</v>
      </c>
      <c r="G1291" s="165">
        <v>1100</v>
      </c>
      <c r="H1291" s="165">
        <v>1</v>
      </c>
      <c r="I1291" s="164" t="s">
        <v>187</v>
      </c>
      <c r="J1291" s="164" t="s">
        <v>634</v>
      </c>
      <c r="K1291" s="164" t="s">
        <v>635</v>
      </c>
      <c r="L1291" s="165">
        <v>0</v>
      </c>
      <c r="M1291" s="165">
        <v>4</v>
      </c>
      <c r="N1291" s="164" t="s">
        <v>1548</v>
      </c>
      <c r="O1291" s="165">
        <v>0</v>
      </c>
      <c r="P1291" s="165">
        <v>0</v>
      </c>
      <c r="Q1291" s="165">
        <v>20</v>
      </c>
      <c r="R1291" s="164" t="s">
        <v>574</v>
      </c>
      <c r="S1291" s="164" t="s">
        <v>575</v>
      </c>
      <c r="T1291" s="165">
        <v>239</v>
      </c>
      <c r="U1291" s="164" t="s">
        <v>1618</v>
      </c>
      <c r="V1291" s="164" t="s">
        <v>1619</v>
      </c>
      <c r="W1291" s="165">
        <v>1</v>
      </c>
      <c r="X1291" s="165">
        <v>2</v>
      </c>
      <c r="Y1291" s="164" t="s">
        <v>194</v>
      </c>
      <c r="Z1291" s="164" t="s">
        <v>195</v>
      </c>
      <c r="AA1291" s="164" t="s">
        <v>196</v>
      </c>
      <c r="AB1291" s="164" t="s">
        <v>187</v>
      </c>
      <c r="AC1291" s="164" t="s">
        <v>187</v>
      </c>
      <c r="AD1291" s="165">
        <v>1</v>
      </c>
      <c r="AE1291" s="164" t="s">
        <v>187</v>
      </c>
      <c r="AF1291" s="165">
        <v>17.557929138219201</v>
      </c>
      <c r="AG1291" s="166">
        <v>105.75259956781601</v>
      </c>
      <c r="AO1291" s="121"/>
      <c r="AT1291" s="111"/>
      <c r="AX1291" s="121"/>
    </row>
    <row r="1292" spans="1:50" s="110" customFormat="1" ht="20" customHeight="1">
      <c r="A1292" s="125" t="s">
        <v>471</v>
      </c>
      <c r="B1292" s="126" t="s">
        <v>65</v>
      </c>
      <c r="C1292" s="127">
        <v>18527</v>
      </c>
      <c r="D1292" s="163">
        <v>114142</v>
      </c>
      <c r="E1292" s="164" t="s">
        <v>2276</v>
      </c>
      <c r="F1292" s="164" t="s">
        <v>2276</v>
      </c>
      <c r="G1292" s="165">
        <v>900</v>
      </c>
      <c r="H1292" s="165">
        <v>1</v>
      </c>
      <c r="I1292" s="164" t="s">
        <v>187</v>
      </c>
      <c r="J1292" s="164" t="s">
        <v>2277</v>
      </c>
      <c r="K1292" s="164" t="s">
        <v>2276</v>
      </c>
      <c r="L1292" s="165">
        <v>1</v>
      </c>
      <c r="M1292" s="165">
        <v>4</v>
      </c>
      <c r="N1292" s="164" t="s">
        <v>1548</v>
      </c>
      <c r="O1292" s="165">
        <v>0</v>
      </c>
      <c r="P1292" s="165">
        <v>0</v>
      </c>
      <c r="Q1292" s="165">
        <v>20</v>
      </c>
      <c r="R1292" s="164" t="s">
        <v>574</v>
      </c>
      <c r="S1292" s="164" t="s">
        <v>575</v>
      </c>
      <c r="T1292" s="165">
        <v>239</v>
      </c>
      <c r="U1292" s="164" t="s">
        <v>1618</v>
      </c>
      <c r="V1292" s="164" t="s">
        <v>1619</v>
      </c>
      <c r="W1292" s="165">
        <v>1</v>
      </c>
      <c r="X1292" s="165">
        <v>2</v>
      </c>
      <c r="Y1292" s="164" t="s">
        <v>194</v>
      </c>
      <c r="Z1292" s="164" t="s">
        <v>195</v>
      </c>
      <c r="AA1292" s="164" t="s">
        <v>196</v>
      </c>
      <c r="AB1292" s="164" t="s">
        <v>187</v>
      </c>
      <c r="AC1292" s="164" t="s">
        <v>187</v>
      </c>
      <c r="AD1292" s="165">
        <v>1</v>
      </c>
      <c r="AE1292" s="164" t="s">
        <v>187</v>
      </c>
      <c r="AF1292" s="165">
        <v>18.076920000000001</v>
      </c>
      <c r="AG1292" s="166">
        <v>105.31037999999999</v>
      </c>
      <c r="AO1292" s="121"/>
      <c r="AT1292" s="111"/>
      <c r="AX1292" s="121"/>
    </row>
    <row r="1293" spans="1:50" s="110" customFormat="1" ht="20" customHeight="1">
      <c r="A1293" s="125" t="s">
        <v>471</v>
      </c>
      <c r="B1293" s="126" t="s">
        <v>65</v>
      </c>
      <c r="C1293" s="127">
        <v>14810</v>
      </c>
      <c r="D1293" s="163">
        <v>108785</v>
      </c>
      <c r="E1293" s="164" t="s">
        <v>2278</v>
      </c>
      <c r="F1293" s="164" t="s">
        <v>2278</v>
      </c>
      <c r="G1293" s="165">
        <v>900</v>
      </c>
      <c r="H1293" s="165">
        <v>1</v>
      </c>
      <c r="I1293" s="164" t="s">
        <v>187</v>
      </c>
      <c r="J1293" s="164" t="s">
        <v>2279</v>
      </c>
      <c r="K1293" s="164" t="s">
        <v>2278</v>
      </c>
      <c r="L1293" s="165">
        <v>3</v>
      </c>
      <c r="M1293" s="165">
        <v>4</v>
      </c>
      <c r="N1293" s="164" t="s">
        <v>1548</v>
      </c>
      <c r="O1293" s="165">
        <v>0</v>
      </c>
      <c r="P1293" s="165">
        <v>0</v>
      </c>
      <c r="Q1293" s="165">
        <v>20</v>
      </c>
      <c r="R1293" s="164" t="s">
        <v>574</v>
      </c>
      <c r="S1293" s="164" t="s">
        <v>575</v>
      </c>
      <c r="T1293" s="165">
        <v>239</v>
      </c>
      <c r="U1293" s="164" t="s">
        <v>1618</v>
      </c>
      <c r="V1293" s="164" t="s">
        <v>1619</v>
      </c>
      <c r="W1293" s="165">
        <v>2</v>
      </c>
      <c r="X1293" s="165">
        <v>2</v>
      </c>
      <c r="Y1293" s="164" t="s">
        <v>194</v>
      </c>
      <c r="Z1293" s="164" t="s">
        <v>195</v>
      </c>
      <c r="AA1293" s="164" t="s">
        <v>196</v>
      </c>
      <c r="AB1293" s="164" t="s">
        <v>187</v>
      </c>
      <c r="AC1293" s="164" t="s">
        <v>209</v>
      </c>
      <c r="AD1293" s="165">
        <v>1</v>
      </c>
      <c r="AE1293" s="164" t="s">
        <v>187</v>
      </c>
      <c r="AF1293" s="165">
        <v>14.6486344438245</v>
      </c>
      <c r="AG1293" s="166">
        <v>107.462127832034</v>
      </c>
      <c r="AO1293" s="121"/>
      <c r="AT1293" s="111"/>
      <c r="AX1293" s="121"/>
    </row>
    <row r="1294" spans="1:50" s="110" customFormat="1" ht="20" customHeight="1">
      <c r="A1294" s="125" t="s">
        <v>471</v>
      </c>
      <c r="B1294" s="126" t="s">
        <v>65</v>
      </c>
      <c r="C1294" s="127">
        <v>10419</v>
      </c>
      <c r="D1294" s="163">
        <v>100487</v>
      </c>
      <c r="E1294" s="164" t="s">
        <v>1631</v>
      </c>
      <c r="F1294" s="164" t="s">
        <v>1631</v>
      </c>
      <c r="G1294" s="165">
        <v>800</v>
      </c>
      <c r="H1294" s="165">
        <v>1</v>
      </c>
      <c r="I1294" s="164" t="s">
        <v>187</v>
      </c>
      <c r="J1294" s="164" t="s">
        <v>2199</v>
      </c>
      <c r="K1294" s="164" t="s">
        <v>2200</v>
      </c>
      <c r="L1294" s="165">
        <v>5</v>
      </c>
      <c r="M1294" s="165">
        <v>4</v>
      </c>
      <c r="N1294" s="164" t="s">
        <v>1548</v>
      </c>
      <c r="O1294" s="165">
        <v>0</v>
      </c>
      <c r="P1294" s="165">
        <v>0</v>
      </c>
      <c r="Q1294" s="165">
        <v>20</v>
      </c>
      <c r="R1294" s="164" t="s">
        <v>574</v>
      </c>
      <c r="S1294" s="164" t="s">
        <v>575</v>
      </c>
      <c r="T1294" s="165">
        <v>239</v>
      </c>
      <c r="U1294" s="164" t="s">
        <v>1618</v>
      </c>
      <c r="V1294" s="164" t="s">
        <v>1619</v>
      </c>
      <c r="W1294" s="165">
        <v>2</v>
      </c>
      <c r="X1294" s="165">
        <v>2</v>
      </c>
      <c r="Y1294" s="164" t="s">
        <v>194</v>
      </c>
      <c r="Z1294" s="164" t="s">
        <v>195</v>
      </c>
      <c r="AA1294" s="164" t="s">
        <v>196</v>
      </c>
      <c r="AB1294" s="164" t="s">
        <v>187</v>
      </c>
      <c r="AC1294" s="164" t="s">
        <v>187</v>
      </c>
      <c r="AD1294" s="165">
        <v>1</v>
      </c>
      <c r="AE1294" s="164" t="s">
        <v>187</v>
      </c>
      <c r="AF1294" s="165">
        <v>18.138069999999999</v>
      </c>
      <c r="AG1294" s="166">
        <v>105.45147</v>
      </c>
      <c r="AO1294" s="121"/>
      <c r="AT1294" s="111"/>
      <c r="AX1294" s="121"/>
    </row>
    <row r="1295" spans="1:50" s="110" customFormat="1" ht="20" customHeight="1">
      <c r="A1295" s="125" t="s">
        <v>471</v>
      </c>
      <c r="B1295" s="126" t="s">
        <v>65</v>
      </c>
      <c r="C1295" s="127">
        <v>13375</v>
      </c>
      <c r="D1295" s="163">
        <v>107292</v>
      </c>
      <c r="E1295" s="164" t="s">
        <v>2202</v>
      </c>
      <c r="F1295" s="164" t="s">
        <v>2202</v>
      </c>
      <c r="G1295" s="165">
        <v>800</v>
      </c>
      <c r="H1295" s="165">
        <v>1</v>
      </c>
      <c r="I1295" s="164" t="s">
        <v>187</v>
      </c>
      <c r="J1295" s="164" t="s">
        <v>2203</v>
      </c>
      <c r="K1295" s="164" t="s">
        <v>2202</v>
      </c>
      <c r="L1295" s="165">
        <v>1</v>
      </c>
      <c r="M1295" s="165">
        <v>4</v>
      </c>
      <c r="N1295" s="164" t="s">
        <v>1548</v>
      </c>
      <c r="O1295" s="165">
        <v>0</v>
      </c>
      <c r="P1295" s="165">
        <v>0</v>
      </c>
      <c r="Q1295" s="165">
        <v>20</v>
      </c>
      <c r="R1295" s="164" t="s">
        <v>574</v>
      </c>
      <c r="S1295" s="164" t="s">
        <v>575</v>
      </c>
      <c r="T1295" s="165">
        <v>239</v>
      </c>
      <c r="U1295" s="164" t="s">
        <v>1618</v>
      </c>
      <c r="V1295" s="164" t="s">
        <v>1619</v>
      </c>
      <c r="W1295" s="165">
        <v>2</v>
      </c>
      <c r="X1295" s="165">
        <v>2</v>
      </c>
      <c r="Y1295" s="164" t="s">
        <v>194</v>
      </c>
      <c r="Z1295" s="164" t="s">
        <v>195</v>
      </c>
      <c r="AA1295" s="164" t="s">
        <v>196</v>
      </c>
      <c r="AB1295" s="164" t="s">
        <v>187</v>
      </c>
      <c r="AC1295" s="164" t="s">
        <v>187</v>
      </c>
      <c r="AD1295" s="165">
        <v>1</v>
      </c>
      <c r="AE1295" s="164" t="s">
        <v>187</v>
      </c>
      <c r="AF1295" s="165">
        <v>17.8947401030733</v>
      </c>
      <c r="AG1295" s="166">
        <v>105.487751985266</v>
      </c>
      <c r="AO1295" s="121"/>
      <c r="AT1295" s="111"/>
      <c r="AX1295" s="121"/>
    </row>
    <row r="1296" spans="1:50" s="110" customFormat="1" ht="20" customHeight="1">
      <c r="A1296" s="125" t="s">
        <v>471</v>
      </c>
      <c r="B1296" s="126" t="s">
        <v>65</v>
      </c>
      <c r="C1296" s="127">
        <v>15236</v>
      </c>
      <c r="D1296" s="163">
        <v>109793</v>
      </c>
      <c r="E1296" s="164" t="s">
        <v>2123</v>
      </c>
      <c r="F1296" s="164" t="s">
        <v>2123</v>
      </c>
      <c r="G1296" s="165">
        <v>700</v>
      </c>
      <c r="H1296" s="165">
        <v>1</v>
      </c>
      <c r="I1296" s="164" t="s">
        <v>187</v>
      </c>
      <c r="J1296" s="164" t="s">
        <v>634</v>
      </c>
      <c r="K1296" s="164" t="s">
        <v>635</v>
      </c>
      <c r="L1296" s="165">
        <v>0</v>
      </c>
      <c r="M1296" s="165">
        <v>4</v>
      </c>
      <c r="N1296" s="164" t="s">
        <v>1548</v>
      </c>
      <c r="O1296" s="165">
        <v>0</v>
      </c>
      <c r="P1296" s="165">
        <v>0</v>
      </c>
      <c r="Q1296" s="165">
        <v>20</v>
      </c>
      <c r="R1296" s="164" t="s">
        <v>574</v>
      </c>
      <c r="S1296" s="164" t="s">
        <v>575</v>
      </c>
      <c r="T1296" s="165">
        <v>239</v>
      </c>
      <c r="U1296" s="164" t="s">
        <v>1618</v>
      </c>
      <c r="V1296" s="164" t="s">
        <v>1619</v>
      </c>
      <c r="W1296" s="165">
        <v>1</v>
      </c>
      <c r="X1296" s="165">
        <v>2</v>
      </c>
      <c r="Y1296" s="164" t="s">
        <v>194</v>
      </c>
      <c r="Z1296" s="164" t="s">
        <v>195</v>
      </c>
      <c r="AA1296" s="164" t="s">
        <v>196</v>
      </c>
      <c r="AB1296" s="164" t="s">
        <v>187</v>
      </c>
      <c r="AC1296" s="164" t="s">
        <v>187</v>
      </c>
      <c r="AD1296" s="165">
        <v>1</v>
      </c>
      <c r="AE1296" s="164" t="s">
        <v>187</v>
      </c>
      <c r="AF1296" s="165">
        <v>20.679470143332399</v>
      </c>
      <c r="AG1296" s="166">
        <v>101.04675231296901</v>
      </c>
      <c r="AO1296" s="121"/>
      <c r="AT1296" s="111"/>
      <c r="AX1296" s="121"/>
    </row>
    <row r="1297" spans="1:50" s="110" customFormat="1" ht="20" customHeight="1">
      <c r="A1297" s="125" t="s">
        <v>471</v>
      </c>
      <c r="B1297" s="126" t="s">
        <v>65</v>
      </c>
      <c r="C1297" s="127">
        <v>13129</v>
      </c>
      <c r="D1297" s="163">
        <v>105894</v>
      </c>
      <c r="E1297" s="164" t="s">
        <v>2040</v>
      </c>
      <c r="F1297" s="164" t="s">
        <v>2040</v>
      </c>
      <c r="G1297" s="165">
        <v>600</v>
      </c>
      <c r="H1297" s="165">
        <v>1</v>
      </c>
      <c r="I1297" s="164" t="s">
        <v>187</v>
      </c>
      <c r="J1297" s="164" t="s">
        <v>2041</v>
      </c>
      <c r="K1297" s="164" t="s">
        <v>2042</v>
      </c>
      <c r="L1297" s="165">
        <v>1</v>
      </c>
      <c r="M1297" s="165">
        <v>4</v>
      </c>
      <c r="N1297" s="164" t="s">
        <v>1548</v>
      </c>
      <c r="O1297" s="165">
        <v>0</v>
      </c>
      <c r="P1297" s="165">
        <v>0</v>
      </c>
      <c r="Q1297" s="165">
        <v>20</v>
      </c>
      <c r="R1297" s="164" t="s">
        <v>574</v>
      </c>
      <c r="S1297" s="164" t="s">
        <v>575</v>
      </c>
      <c r="T1297" s="165">
        <v>239</v>
      </c>
      <c r="U1297" s="164" t="s">
        <v>1618</v>
      </c>
      <c r="V1297" s="164" t="s">
        <v>1619</v>
      </c>
      <c r="W1297" s="165">
        <v>2</v>
      </c>
      <c r="X1297" s="165">
        <v>2</v>
      </c>
      <c r="Y1297" s="164" t="s">
        <v>194</v>
      </c>
      <c r="Z1297" s="164" t="s">
        <v>195</v>
      </c>
      <c r="AA1297" s="164" t="s">
        <v>196</v>
      </c>
      <c r="AB1297" s="164" t="s">
        <v>187</v>
      </c>
      <c r="AC1297" s="164" t="s">
        <v>187</v>
      </c>
      <c r="AD1297" s="165">
        <v>1</v>
      </c>
      <c r="AE1297" s="164" t="s">
        <v>187</v>
      </c>
      <c r="AF1297" s="165">
        <v>18.227399999999999</v>
      </c>
      <c r="AG1297" s="166">
        <v>105.00563</v>
      </c>
      <c r="AO1297" s="121"/>
      <c r="AT1297" s="111"/>
      <c r="AX1297" s="121"/>
    </row>
    <row r="1298" spans="1:50" s="110" customFormat="1" ht="20" customHeight="1">
      <c r="A1298" s="125" t="s">
        <v>471</v>
      </c>
      <c r="B1298" s="126" t="s">
        <v>65</v>
      </c>
      <c r="C1298" s="127">
        <v>16144</v>
      </c>
      <c r="D1298" s="163">
        <v>111241</v>
      </c>
      <c r="E1298" s="164" t="s">
        <v>2044</v>
      </c>
      <c r="F1298" s="164" t="s">
        <v>2044</v>
      </c>
      <c r="G1298" s="165">
        <v>600</v>
      </c>
      <c r="H1298" s="165">
        <v>1</v>
      </c>
      <c r="I1298" s="164" t="s">
        <v>187</v>
      </c>
      <c r="J1298" s="164" t="s">
        <v>2045</v>
      </c>
      <c r="K1298" s="164" t="s">
        <v>2044</v>
      </c>
      <c r="L1298" s="165">
        <v>1</v>
      </c>
      <c r="M1298" s="165">
        <v>4</v>
      </c>
      <c r="N1298" s="164" t="s">
        <v>1548</v>
      </c>
      <c r="O1298" s="165">
        <v>0</v>
      </c>
      <c r="P1298" s="165">
        <v>0</v>
      </c>
      <c r="Q1298" s="165">
        <v>20</v>
      </c>
      <c r="R1298" s="164" t="s">
        <v>574</v>
      </c>
      <c r="S1298" s="164" t="s">
        <v>575</v>
      </c>
      <c r="T1298" s="165">
        <v>239</v>
      </c>
      <c r="U1298" s="164" t="s">
        <v>1618</v>
      </c>
      <c r="V1298" s="164" t="s">
        <v>1619</v>
      </c>
      <c r="W1298" s="165">
        <v>2</v>
      </c>
      <c r="X1298" s="165">
        <v>2</v>
      </c>
      <c r="Y1298" s="164" t="s">
        <v>194</v>
      </c>
      <c r="Z1298" s="164" t="s">
        <v>195</v>
      </c>
      <c r="AA1298" s="164" t="s">
        <v>196</v>
      </c>
      <c r="AB1298" s="164" t="s">
        <v>187</v>
      </c>
      <c r="AC1298" s="164" t="s">
        <v>187</v>
      </c>
      <c r="AD1298" s="165">
        <v>1</v>
      </c>
      <c r="AE1298" s="164" t="s">
        <v>187</v>
      </c>
      <c r="AF1298" s="165">
        <v>17.85613</v>
      </c>
      <c r="AG1298" s="166">
        <v>105.41276999999999</v>
      </c>
      <c r="AO1298" s="121"/>
      <c r="AT1298" s="111"/>
      <c r="AX1298" s="121"/>
    </row>
    <row r="1299" spans="1:50" s="110" customFormat="1" ht="20" customHeight="1">
      <c r="A1299" s="125" t="s">
        <v>471</v>
      </c>
      <c r="B1299" s="126" t="s">
        <v>65</v>
      </c>
      <c r="C1299" s="127">
        <v>13749</v>
      </c>
      <c r="D1299" s="163">
        <v>106686</v>
      </c>
      <c r="E1299" s="164" t="s">
        <v>1898</v>
      </c>
      <c r="F1299" s="164" t="s">
        <v>1898</v>
      </c>
      <c r="G1299" s="165">
        <v>600</v>
      </c>
      <c r="H1299" s="165">
        <v>1</v>
      </c>
      <c r="I1299" s="164" t="s">
        <v>187</v>
      </c>
      <c r="J1299" s="164" t="s">
        <v>1899</v>
      </c>
      <c r="K1299" s="164" t="s">
        <v>1898</v>
      </c>
      <c r="L1299" s="165">
        <v>1</v>
      </c>
      <c r="M1299" s="165">
        <v>4</v>
      </c>
      <c r="N1299" s="164" t="s">
        <v>1548</v>
      </c>
      <c r="O1299" s="165">
        <v>0</v>
      </c>
      <c r="P1299" s="165">
        <v>0</v>
      </c>
      <c r="Q1299" s="165">
        <v>20</v>
      </c>
      <c r="R1299" s="164" t="s">
        <v>574</v>
      </c>
      <c r="S1299" s="164" t="s">
        <v>575</v>
      </c>
      <c r="T1299" s="165">
        <v>239</v>
      </c>
      <c r="U1299" s="164" t="s">
        <v>1618</v>
      </c>
      <c r="V1299" s="164" t="s">
        <v>1619</v>
      </c>
      <c r="W1299" s="165">
        <v>2</v>
      </c>
      <c r="X1299" s="165">
        <v>2</v>
      </c>
      <c r="Y1299" s="164" t="s">
        <v>194</v>
      </c>
      <c r="Z1299" s="164" t="s">
        <v>195</v>
      </c>
      <c r="AA1299" s="164" t="s">
        <v>196</v>
      </c>
      <c r="AB1299" s="164" t="s">
        <v>187</v>
      </c>
      <c r="AC1299" s="164" t="s">
        <v>187</v>
      </c>
      <c r="AD1299" s="165">
        <v>1</v>
      </c>
      <c r="AE1299" s="164" t="s">
        <v>187</v>
      </c>
      <c r="AF1299" s="165">
        <v>18.640280000000001</v>
      </c>
      <c r="AG1299" s="166">
        <v>101.30568</v>
      </c>
      <c r="AO1299" s="121"/>
      <c r="AT1299" s="111"/>
      <c r="AX1299" s="121"/>
    </row>
    <row r="1300" spans="1:50" s="110" customFormat="1" ht="20" customHeight="1">
      <c r="A1300" s="125" t="s">
        <v>471</v>
      </c>
      <c r="B1300" s="126" t="s">
        <v>65</v>
      </c>
      <c r="C1300" s="127">
        <v>14118</v>
      </c>
      <c r="D1300" s="163">
        <v>107591</v>
      </c>
      <c r="E1300" s="164" t="s">
        <v>1905</v>
      </c>
      <c r="F1300" s="164" t="s">
        <v>1905</v>
      </c>
      <c r="G1300" s="165">
        <v>600</v>
      </c>
      <c r="H1300" s="165">
        <v>1</v>
      </c>
      <c r="I1300" s="164" t="s">
        <v>187</v>
      </c>
      <c r="J1300" s="164" t="s">
        <v>1906</v>
      </c>
      <c r="K1300" s="164" t="s">
        <v>1907</v>
      </c>
      <c r="L1300" s="165">
        <v>0</v>
      </c>
      <c r="M1300" s="165">
        <v>4</v>
      </c>
      <c r="N1300" s="164" t="s">
        <v>1548</v>
      </c>
      <c r="O1300" s="165">
        <v>0</v>
      </c>
      <c r="P1300" s="165">
        <v>0</v>
      </c>
      <c r="Q1300" s="165">
        <v>20</v>
      </c>
      <c r="R1300" s="164" t="s">
        <v>574</v>
      </c>
      <c r="S1300" s="164" t="s">
        <v>575</v>
      </c>
      <c r="T1300" s="165">
        <v>239</v>
      </c>
      <c r="U1300" s="164" t="s">
        <v>1618</v>
      </c>
      <c r="V1300" s="164" t="s">
        <v>1619</v>
      </c>
      <c r="W1300" s="165">
        <v>2</v>
      </c>
      <c r="X1300" s="165">
        <v>2</v>
      </c>
      <c r="Y1300" s="164" t="s">
        <v>194</v>
      </c>
      <c r="Z1300" s="164" t="s">
        <v>195</v>
      </c>
      <c r="AA1300" s="164" t="s">
        <v>196</v>
      </c>
      <c r="AB1300" s="164" t="s">
        <v>187</v>
      </c>
      <c r="AC1300" s="164" t="s">
        <v>187</v>
      </c>
      <c r="AD1300" s="165">
        <v>1</v>
      </c>
      <c r="AE1300" s="164" t="s">
        <v>187</v>
      </c>
      <c r="AF1300" s="165">
        <v>19.273710000116399</v>
      </c>
      <c r="AG1300" s="166">
        <v>103.776340000191</v>
      </c>
      <c r="AO1300" s="121"/>
      <c r="AT1300" s="111"/>
      <c r="AX1300" s="121"/>
    </row>
    <row r="1301" spans="1:50" s="110" customFormat="1" ht="20" customHeight="1">
      <c r="A1301" s="125" t="s">
        <v>471</v>
      </c>
      <c r="B1301" s="126" t="s">
        <v>65</v>
      </c>
      <c r="C1301" s="127">
        <v>13601</v>
      </c>
      <c r="D1301" s="163">
        <v>106436</v>
      </c>
      <c r="E1301" s="164" t="s">
        <v>1697</v>
      </c>
      <c r="F1301" s="164" t="s">
        <v>1883</v>
      </c>
      <c r="G1301" s="165">
        <v>400</v>
      </c>
      <c r="H1301" s="165">
        <v>1</v>
      </c>
      <c r="I1301" s="164" t="s">
        <v>187</v>
      </c>
      <c r="J1301" s="164" t="s">
        <v>1696</v>
      </c>
      <c r="K1301" s="164" t="s">
        <v>1697</v>
      </c>
      <c r="L1301" s="165">
        <v>0</v>
      </c>
      <c r="M1301" s="165">
        <v>4</v>
      </c>
      <c r="N1301" s="164" t="s">
        <v>1548</v>
      </c>
      <c r="O1301" s="165">
        <v>0</v>
      </c>
      <c r="P1301" s="165">
        <v>0</v>
      </c>
      <c r="Q1301" s="165">
        <v>20</v>
      </c>
      <c r="R1301" s="164" t="s">
        <v>574</v>
      </c>
      <c r="S1301" s="164" t="s">
        <v>575</v>
      </c>
      <c r="T1301" s="165">
        <v>239</v>
      </c>
      <c r="U1301" s="164" t="s">
        <v>1618</v>
      </c>
      <c r="V1301" s="164" t="s">
        <v>1619</v>
      </c>
      <c r="W1301" s="165">
        <v>2</v>
      </c>
      <c r="X1301" s="165">
        <v>2</v>
      </c>
      <c r="Y1301" s="164" t="s">
        <v>194</v>
      </c>
      <c r="Z1301" s="164" t="s">
        <v>195</v>
      </c>
      <c r="AA1301" s="164" t="s">
        <v>196</v>
      </c>
      <c r="AB1301" s="164" t="s">
        <v>187</v>
      </c>
      <c r="AC1301" s="164" t="s">
        <v>187</v>
      </c>
      <c r="AD1301" s="165">
        <v>1</v>
      </c>
      <c r="AE1301" s="164" t="s">
        <v>187</v>
      </c>
      <c r="AF1301" s="165">
        <v>17.240087831388301</v>
      </c>
      <c r="AG1301" s="166">
        <v>105.823537631257</v>
      </c>
      <c r="AO1301" s="121"/>
      <c r="AT1301" s="111"/>
      <c r="AX1301" s="121"/>
    </row>
    <row r="1302" spans="1:50" s="110" customFormat="1" ht="20" customHeight="1">
      <c r="A1302" s="125" t="s">
        <v>471</v>
      </c>
      <c r="B1302" s="126" t="s">
        <v>65</v>
      </c>
      <c r="C1302" s="127">
        <v>14586</v>
      </c>
      <c r="D1302" s="163">
        <v>108430</v>
      </c>
      <c r="E1302" s="164" t="s">
        <v>1695</v>
      </c>
      <c r="F1302" s="164" t="s">
        <v>1695</v>
      </c>
      <c r="G1302" s="165">
        <v>200</v>
      </c>
      <c r="H1302" s="165">
        <v>1</v>
      </c>
      <c r="I1302" s="164" t="s">
        <v>187</v>
      </c>
      <c r="J1302" s="164" t="s">
        <v>1696</v>
      </c>
      <c r="K1302" s="164" t="s">
        <v>1697</v>
      </c>
      <c r="L1302" s="165">
        <v>0</v>
      </c>
      <c r="M1302" s="165">
        <v>4</v>
      </c>
      <c r="N1302" s="164" t="s">
        <v>1548</v>
      </c>
      <c r="O1302" s="165">
        <v>0</v>
      </c>
      <c r="P1302" s="165">
        <v>0</v>
      </c>
      <c r="Q1302" s="165">
        <v>20</v>
      </c>
      <c r="R1302" s="164" t="s">
        <v>574</v>
      </c>
      <c r="S1302" s="164" t="s">
        <v>575</v>
      </c>
      <c r="T1302" s="165">
        <v>239</v>
      </c>
      <c r="U1302" s="164" t="s">
        <v>1618</v>
      </c>
      <c r="V1302" s="164" t="s">
        <v>1619</v>
      </c>
      <c r="W1302" s="165">
        <v>1</v>
      </c>
      <c r="X1302" s="165">
        <v>2</v>
      </c>
      <c r="Y1302" s="164" t="s">
        <v>194</v>
      </c>
      <c r="Z1302" s="164" t="s">
        <v>195</v>
      </c>
      <c r="AA1302" s="164" t="s">
        <v>196</v>
      </c>
      <c r="AB1302" s="164" t="s">
        <v>187</v>
      </c>
      <c r="AC1302" s="164" t="s">
        <v>187</v>
      </c>
      <c r="AD1302" s="165">
        <v>1</v>
      </c>
      <c r="AE1302" s="164" t="s">
        <v>187</v>
      </c>
      <c r="AF1302" s="165">
        <v>17.4054800165895</v>
      </c>
      <c r="AG1302" s="166">
        <v>106.022676622628</v>
      </c>
      <c r="AO1302" s="121"/>
      <c r="AT1302" s="111"/>
      <c r="AX1302" s="121"/>
    </row>
    <row r="1303" spans="1:50" s="110" customFormat="1" ht="20" customHeight="1">
      <c r="A1303" s="125" t="s">
        <v>471</v>
      </c>
      <c r="B1303" s="126" t="s">
        <v>65</v>
      </c>
      <c r="C1303" s="127">
        <v>14629</v>
      </c>
      <c r="D1303" s="163">
        <v>108497</v>
      </c>
      <c r="E1303" s="164" t="s">
        <v>1698</v>
      </c>
      <c r="F1303" s="164" t="s">
        <v>1698</v>
      </c>
      <c r="G1303" s="165">
        <v>200</v>
      </c>
      <c r="H1303" s="165">
        <v>1</v>
      </c>
      <c r="I1303" s="164" t="s">
        <v>187</v>
      </c>
      <c r="J1303" s="164" t="s">
        <v>1696</v>
      </c>
      <c r="K1303" s="164" t="s">
        <v>1697</v>
      </c>
      <c r="L1303" s="165">
        <v>0</v>
      </c>
      <c r="M1303" s="165">
        <v>4</v>
      </c>
      <c r="N1303" s="164" t="s">
        <v>1548</v>
      </c>
      <c r="O1303" s="165">
        <v>0</v>
      </c>
      <c r="P1303" s="165">
        <v>0</v>
      </c>
      <c r="Q1303" s="165">
        <v>20</v>
      </c>
      <c r="R1303" s="164" t="s">
        <v>574</v>
      </c>
      <c r="S1303" s="164" t="s">
        <v>575</v>
      </c>
      <c r="T1303" s="165">
        <v>239</v>
      </c>
      <c r="U1303" s="164" t="s">
        <v>1618</v>
      </c>
      <c r="V1303" s="164" t="s">
        <v>1619</v>
      </c>
      <c r="W1303" s="165">
        <v>1</v>
      </c>
      <c r="X1303" s="165">
        <v>2</v>
      </c>
      <c r="Y1303" s="164" t="s">
        <v>194</v>
      </c>
      <c r="Z1303" s="164" t="s">
        <v>195</v>
      </c>
      <c r="AA1303" s="164" t="s">
        <v>196</v>
      </c>
      <c r="AB1303" s="164" t="s">
        <v>187</v>
      </c>
      <c r="AC1303" s="164" t="s">
        <v>187</v>
      </c>
      <c r="AD1303" s="165">
        <v>1</v>
      </c>
      <c r="AE1303" s="164" t="s">
        <v>187</v>
      </c>
      <c r="AF1303" s="165">
        <v>17.3579755544283</v>
      </c>
      <c r="AG1303" s="166">
        <v>106.07776582933</v>
      </c>
      <c r="AO1303" s="121"/>
      <c r="AT1303" s="111"/>
      <c r="AX1303" s="121"/>
    </row>
    <row r="1304" spans="1:50" s="110" customFormat="1" ht="20" customHeight="1">
      <c r="A1304" s="125" t="s">
        <v>471</v>
      </c>
      <c r="B1304" s="126" t="s">
        <v>65</v>
      </c>
      <c r="C1304" s="127">
        <v>15629</v>
      </c>
      <c r="D1304" s="163">
        <v>110267</v>
      </c>
      <c r="E1304" s="164" t="s">
        <v>4905</v>
      </c>
      <c r="F1304" s="164" t="s">
        <v>4905</v>
      </c>
      <c r="G1304" s="168"/>
      <c r="H1304" s="165">
        <v>1</v>
      </c>
      <c r="I1304" s="164" t="s">
        <v>187</v>
      </c>
      <c r="J1304" s="164" t="s">
        <v>2295</v>
      </c>
      <c r="K1304" s="164" t="s">
        <v>2294</v>
      </c>
      <c r="L1304" s="165">
        <v>0</v>
      </c>
      <c r="M1304" s="165">
        <v>4</v>
      </c>
      <c r="N1304" s="164" t="s">
        <v>1548</v>
      </c>
      <c r="O1304" s="165">
        <v>0</v>
      </c>
      <c r="P1304" s="165">
        <v>0</v>
      </c>
      <c r="Q1304" s="165">
        <v>20</v>
      </c>
      <c r="R1304" s="164" t="s">
        <v>574</v>
      </c>
      <c r="S1304" s="164" t="s">
        <v>575</v>
      </c>
      <c r="T1304" s="165">
        <v>239</v>
      </c>
      <c r="U1304" s="164" t="s">
        <v>1618</v>
      </c>
      <c r="V1304" s="164" t="s">
        <v>1619</v>
      </c>
      <c r="W1304" s="165">
        <v>1</v>
      </c>
      <c r="X1304" s="165">
        <v>2</v>
      </c>
      <c r="Y1304" s="164" t="s">
        <v>194</v>
      </c>
      <c r="Z1304" s="164" t="s">
        <v>195</v>
      </c>
      <c r="AA1304" s="164" t="s">
        <v>196</v>
      </c>
      <c r="AB1304" s="164" t="s">
        <v>187</v>
      </c>
      <c r="AC1304" s="164" t="s">
        <v>187</v>
      </c>
      <c r="AD1304" s="168"/>
      <c r="AE1304" s="164" t="s">
        <v>187</v>
      </c>
      <c r="AF1304" s="165">
        <v>18.579012094032901</v>
      </c>
      <c r="AG1304" s="166">
        <v>104.986877638392</v>
      </c>
      <c r="AO1304" s="121"/>
      <c r="AT1304" s="111"/>
      <c r="AX1304" s="121"/>
    </row>
    <row r="1305" spans="1:50" s="110" customFormat="1" ht="20" customHeight="1">
      <c r="A1305" s="125" t="s">
        <v>471</v>
      </c>
      <c r="B1305" s="126" t="s">
        <v>65</v>
      </c>
      <c r="C1305" s="127">
        <v>15307</v>
      </c>
      <c r="D1305" s="163">
        <v>109907</v>
      </c>
      <c r="E1305" s="164" t="s">
        <v>4906</v>
      </c>
      <c r="F1305" s="164" t="s">
        <v>4906</v>
      </c>
      <c r="G1305" s="168"/>
      <c r="H1305" s="165">
        <v>1</v>
      </c>
      <c r="I1305" s="164" t="s">
        <v>187</v>
      </c>
      <c r="J1305" s="164" t="s">
        <v>2295</v>
      </c>
      <c r="K1305" s="164" t="s">
        <v>2294</v>
      </c>
      <c r="L1305" s="165">
        <v>0</v>
      </c>
      <c r="M1305" s="165">
        <v>4</v>
      </c>
      <c r="N1305" s="164" t="s">
        <v>1548</v>
      </c>
      <c r="O1305" s="165">
        <v>0</v>
      </c>
      <c r="P1305" s="165">
        <v>0</v>
      </c>
      <c r="Q1305" s="165">
        <v>20</v>
      </c>
      <c r="R1305" s="164" t="s">
        <v>574</v>
      </c>
      <c r="S1305" s="164" t="s">
        <v>575</v>
      </c>
      <c r="T1305" s="165">
        <v>239</v>
      </c>
      <c r="U1305" s="164" t="s">
        <v>1618</v>
      </c>
      <c r="V1305" s="164" t="s">
        <v>1619</v>
      </c>
      <c r="W1305" s="165">
        <v>1</v>
      </c>
      <c r="X1305" s="165">
        <v>2</v>
      </c>
      <c r="Y1305" s="164" t="s">
        <v>194</v>
      </c>
      <c r="Z1305" s="164" t="s">
        <v>195</v>
      </c>
      <c r="AA1305" s="164" t="s">
        <v>196</v>
      </c>
      <c r="AB1305" s="164" t="s">
        <v>187</v>
      </c>
      <c r="AC1305" s="164" t="s">
        <v>187</v>
      </c>
      <c r="AD1305" s="168"/>
      <c r="AE1305" s="164" t="s">
        <v>187</v>
      </c>
      <c r="AF1305" s="165">
        <v>18.5630611552481</v>
      </c>
      <c r="AG1305" s="166">
        <v>104.40254151028201</v>
      </c>
      <c r="AO1305" s="121"/>
      <c r="AT1305" s="111"/>
      <c r="AX1305" s="121"/>
    </row>
    <row r="1306" spans="1:50" s="110" customFormat="1" ht="20" customHeight="1">
      <c r="A1306" s="125" t="s">
        <v>471</v>
      </c>
      <c r="B1306" s="126" t="s">
        <v>65</v>
      </c>
      <c r="C1306" s="127">
        <v>18878</v>
      </c>
      <c r="D1306" s="145">
        <v>114799</v>
      </c>
      <c r="E1306" s="146" t="s">
        <v>1608</v>
      </c>
      <c r="F1306" s="146" t="s">
        <v>1608</v>
      </c>
      <c r="G1306" s="147">
        <v>714000</v>
      </c>
      <c r="H1306" s="147">
        <v>4</v>
      </c>
      <c r="I1306" s="146" t="s">
        <v>209</v>
      </c>
      <c r="J1306" s="146" t="s">
        <v>1607</v>
      </c>
      <c r="K1306" s="146" t="s">
        <v>1608</v>
      </c>
      <c r="L1306" s="147">
        <v>3</v>
      </c>
      <c r="M1306" s="147">
        <v>4</v>
      </c>
      <c r="N1306" s="146" t="s">
        <v>1548</v>
      </c>
      <c r="O1306" s="147">
        <v>10</v>
      </c>
      <c r="P1306" s="147">
        <v>9</v>
      </c>
      <c r="Q1306" s="147">
        <v>20</v>
      </c>
      <c r="R1306" s="146" t="s">
        <v>574</v>
      </c>
      <c r="S1306" s="146" t="s">
        <v>575</v>
      </c>
      <c r="T1306" s="147">
        <v>239</v>
      </c>
      <c r="U1306" s="146" t="s">
        <v>1618</v>
      </c>
      <c r="V1306" s="146" t="s">
        <v>1619</v>
      </c>
      <c r="W1306" s="147">
        <v>6</v>
      </c>
      <c r="X1306" s="147">
        <v>2</v>
      </c>
      <c r="Y1306" s="146" t="s">
        <v>194</v>
      </c>
      <c r="Z1306" s="146" t="s">
        <v>195</v>
      </c>
      <c r="AA1306" s="146" t="s">
        <v>196</v>
      </c>
      <c r="AB1306" s="146" t="s">
        <v>187</v>
      </c>
      <c r="AC1306" s="146" t="s">
        <v>187</v>
      </c>
      <c r="AD1306" s="148"/>
      <c r="AE1306" s="146" t="s">
        <v>209</v>
      </c>
      <c r="AF1306" s="147">
        <v>19.880221333347802</v>
      </c>
      <c r="AG1306" s="149">
        <v>102.136907596009</v>
      </c>
      <c r="AO1306" s="121"/>
      <c r="AT1306" s="111"/>
      <c r="AX1306" s="121"/>
    </row>
    <row r="1307" spans="1:50" s="110" customFormat="1" ht="20" customHeight="1">
      <c r="A1307" s="125" t="s">
        <v>471</v>
      </c>
      <c r="B1307" s="126" t="s">
        <v>65</v>
      </c>
      <c r="C1307" s="127">
        <v>15259</v>
      </c>
      <c r="D1307" s="145">
        <v>109836</v>
      </c>
      <c r="E1307" s="146" t="s">
        <v>3844</v>
      </c>
      <c r="F1307" s="146" t="s">
        <v>3844</v>
      </c>
      <c r="G1307" s="147">
        <v>14000</v>
      </c>
      <c r="H1307" s="147">
        <v>4</v>
      </c>
      <c r="I1307" s="146" t="s">
        <v>209</v>
      </c>
      <c r="J1307" s="146" t="s">
        <v>3845</v>
      </c>
      <c r="K1307" s="146" t="s">
        <v>3846</v>
      </c>
      <c r="L1307" s="147">
        <v>0</v>
      </c>
      <c r="M1307" s="147">
        <v>4</v>
      </c>
      <c r="N1307" s="146" t="s">
        <v>1548</v>
      </c>
      <c r="O1307" s="147">
        <v>3</v>
      </c>
      <c r="P1307" s="147">
        <v>2.2000000000000002</v>
      </c>
      <c r="Q1307" s="147">
        <v>20</v>
      </c>
      <c r="R1307" s="146" t="s">
        <v>574</v>
      </c>
      <c r="S1307" s="146" t="s">
        <v>575</v>
      </c>
      <c r="T1307" s="147">
        <v>239</v>
      </c>
      <c r="U1307" s="146" t="s">
        <v>1618</v>
      </c>
      <c r="V1307" s="146" t="s">
        <v>1619</v>
      </c>
      <c r="W1307" s="147">
        <v>1</v>
      </c>
      <c r="X1307" s="147">
        <v>2</v>
      </c>
      <c r="Y1307" s="146" t="s">
        <v>194</v>
      </c>
      <c r="Z1307" s="146" t="s">
        <v>195</v>
      </c>
      <c r="AA1307" s="146" t="s">
        <v>196</v>
      </c>
      <c r="AB1307" s="146" t="s">
        <v>187</v>
      </c>
      <c r="AC1307" s="146" t="s">
        <v>187</v>
      </c>
      <c r="AD1307" s="148"/>
      <c r="AE1307" s="146" t="s">
        <v>209</v>
      </c>
      <c r="AF1307" s="147">
        <v>15.18633</v>
      </c>
      <c r="AG1307" s="149">
        <v>105.99199</v>
      </c>
      <c r="AO1307" s="121"/>
      <c r="AT1307" s="111"/>
      <c r="AX1307" s="121"/>
    </row>
    <row r="1308" spans="1:50" s="110" customFormat="1" ht="20" customHeight="1">
      <c r="A1308" s="125" t="s">
        <v>471</v>
      </c>
      <c r="B1308" s="126" t="s">
        <v>65</v>
      </c>
      <c r="C1308" s="127">
        <v>12339</v>
      </c>
      <c r="D1308" s="145">
        <v>104227</v>
      </c>
      <c r="E1308" s="146" t="s">
        <v>3754</v>
      </c>
      <c r="F1308" s="146" t="s">
        <v>3754</v>
      </c>
      <c r="G1308" s="147">
        <v>12000</v>
      </c>
      <c r="H1308" s="147">
        <v>4</v>
      </c>
      <c r="I1308" s="146" t="s">
        <v>209</v>
      </c>
      <c r="J1308" s="146" t="s">
        <v>3755</v>
      </c>
      <c r="K1308" s="146" t="s">
        <v>3754</v>
      </c>
      <c r="L1308" s="147">
        <v>4</v>
      </c>
      <c r="M1308" s="147">
        <v>4</v>
      </c>
      <c r="N1308" s="146" t="s">
        <v>1548</v>
      </c>
      <c r="O1308" s="147">
        <v>3</v>
      </c>
      <c r="P1308" s="147">
        <v>2.4</v>
      </c>
      <c r="Q1308" s="147">
        <v>20</v>
      </c>
      <c r="R1308" s="146" t="s">
        <v>574</v>
      </c>
      <c r="S1308" s="146" t="s">
        <v>575</v>
      </c>
      <c r="T1308" s="147">
        <v>239</v>
      </c>
      <c r="U1308" s="146" t="s">
        <v>1618</v>
      </c>
      <c r="V1308" s="146" t="s">
        <v>1619</v>
      </c>
      <c r="W1308" s="147">
        <v>2</v>
      </c>
      <c r="X1308" s="147">
        <v>2</v>
      </c>
      <c r="Y1308" s="146" t="s">
        <v>194</v>
      </c>
      <c r="Z1308" s="146" t="s">
        <v>195</v>
      </c>
      <c r="AA1308" s="146" t="s">
        <v>196</v>
      </c>
      <c r="AB1308" s="146" t="s">
        <v>187</v>
      </c>
      <c r="AC1308" s="146" t="s">
        <v>187</v>
      </c>
      <c r="AD1308" s="148"/>
      <c r="AE1308" s="146" t="s">
        <v>209</v>
      </c>
      <c r="AF1308" s="147">
        <v>15.25867</v>
      </c>
      <c r="AG1308" s="149">
        <v>107.61488</v>
      </c>
      <c r="AO1308" s="121"/>
      <c r="AT1308" s="111"/>
      <c r="AX1308" s="121"/>
    </row>
    <row r="1309" spans="1:50" s="110" customFormat="1" ht="20" customHeight="1">
      <c r="A1309" s="125" t="s">
        <v>471</v>
      </c>
      <c r="B1309" s="126" t="s">
        <v>65</v>
      </c>
      <c r="C1309" s="127">
        <v>16145</v>
      </c>
      <c r="D1309" s="145">
        <v>111242</v>
      </c>
      <c r="E1309" s="146" t="s">
        <v>3538</v>
      </c>
      <c r="F1309" s="146" t="s">
        <v>3538</v>
      </c>
      <c r="G1309" s="147">
        <v>8800</v>
      </c>
      <c r="H1309" s="147">
        <v>4</v>
      </c>
      <c r="I1309" s="146" t="s">
        <v>209</v>
      </c>
      <c r="J1309" s="146" t="s">
        <v>3536</v>
      </c>
      <c r="K1309" s="146" t="s">
        <v>3537</v>
      </c>
      <c r="L1309" s="147">
        <v>3</v>
      </c>
      <c r="M1309" s="147">
        <v>4</v>
      </c>
      <c r="N1309" s="146" t="s">
        <v>1548</v>
      </c>
      <c r="O1309" s="147">
        <v>4</v>
      </c>
      <c r="P1309" s="147">
        <v>3.5</v>
      </c>
      <c r="Q1309" s="147">
        <v>20</v>
      </c>
      <c r="R1309" s="146" t="s">
        <v>574</v>
      </c>
      <c r="S1309" s="146" t="s">
        <v>575</v>
      </c>
      <c r="T1309" s="147">
        <v>239</v>
      </c>
      <c r="U1309" s="146" t="s">
        <v>1618</v>
      </c>
      <c r="V1309" s="146" t="s">
        <v>1619</v>
      </c>
      <c r="W1309" s="147">
        <v>1</v>
      </c>
      <c r="X1309" s="147">
        <v>2</v>
      </c>
      <c r="Y1309" s="146" t="s">
        <v>194</v>
      </c>
      <c r="Z1309" s="146" t="s">
        <v>195</v>
      </c>
      <c r="AA1309" s="146" t="s">
        <v>196</v>
      </c>
      <c r="AB1309" s="146" t="s">
        <v>187</v>
      </c>
      <c r="AC1309" s="146" t="s">
        <v>187</v>
      </c>
      <c r="AD1309" s="148"/>
      <c r="AE1309" s="146" t="s">
        <v>209</v>
      </c>
      <c r="AF1309" s="147">
        <v>15.1694219436678</v>
      </c>
      <c r="AG1309" s="149">
        <v>106.264691134288</v>
      </c>
      <c r="AO1309" s="121"/>
      <c r="AT1309" s="111"/>
      <c r="AX1309" s="121"/>
    </row>
    <row r="1310" spans="1:50" s="110" customFormat="1" ht="20" customHeight="1">
      <c r="A1310" s="125" t="s">
        <v>471</v>
      </c>
      <c r="B1310" s="126" t="s">
        <v>65</v>
      </c>
      <c r="C1310" s="127">
        <v>16142</v>
      </c>
      <c r="D1310" s="145">
        <v>111238</v>
      </c>
      <c r="E1310" s="146" t="s">
        <v>3176</v>
      </c>
      <c r="F1310" s="146" t="s">
        <v>3176</v>
      </c>
      <c r="G1310" s="147">
        <v>4900</v>
      </c>
      <c r="H1310" s="147">
        <v>4</v>
      </c>
      <c r="I1310" s="146" t="s">
        <v>209</v>
      </c>
      <c r="J1310" s="146" t="s">
        <v>2933</v>
      </c>
      <c r="K1310" s="146" t="s">
        <v>2934</v>
      </c>
      <c r="L1310" s="147">
        <v>5</v>
      </c>
      <c r="M1310" s="147">
        <v>4</v>
      </c>
      <c r="N1310" s="146" t="s">
        <v>1548</v>
      </c>
      <c r="O1310" s="147">
        <v>12</v>
      </c>
      <c r="P1310" s="147">
        <v>9</v>
      </c>
      <c r="Q1310" s="147">
        <v>20</v>
      </c>
      <c r="R1310" s="146" t="s">
        <v>574</v>
      </c>
      <c r="S1310" s="146" t="s">
        <v>575</v>
      </c>
      <c r="T1310" s="147">
        <v>239</v>
      </c>
      <c r="U1310" s="146" t="s">
        <v>1618</v>
      </c>
      <c r="V1310" s="146" t="s">
        <v>1619</v>
      </c>
      <c r="W1310" s="147">
        <v>1</v>
      </c>
      <c r="X1310" s="147">
        <v>2</v>
      </c>
      <c r="Y1310" s="146" t="s">
        <v>194</v>
      </c>
      <c r="Z1310" s="146" t="s">
        <v>195</v>
      </c>
      <c r="AA1310" s="146" t="s">
        <v>196</v>
      </c>
      <c r="AB1310" s="146" t="s">
        <v>187</v>
      </c>
      <c r="AC1310" s="146" t="s">
        <v>187</v>
      </c>
      <c r="AD1310" s="148"/>
      <c r="AE1310" s="146" t="s">
        <v>209</v>
      </c>
      <c r="AF1310" s="147">
        <v>20.772503227442002</v>
      </c>
      <c r="AG1310" s="149">
        <v>100.56274885377699</v>
      </c>
      <c r="AO1310" s="121"/>
      <c r="AT1310" s="111"/>
      <c r="AX1310" s="121"/>
    </row>
    <row r="1311" spans="1:50" s="110" customFormat="1" ht="20" customHeight="1">
      <c r="A1311" s="125" t="s">
        <v>471</v>
      </c>
      <c r="B1311" s="126" t="s">
        <v>65</v>
      </c>
      <c r="C1311" s="127">
        <v>12153</v>
      </c>
      <c r="D1311" s="145">
        <v>103916</v>
      </c>
      <c r="E1311" s="146" t="s">
        <v>2294</v>
      </c>
      <c r="F1311" s="146" t="s">
        <v>2294</v>
      </c>
      <c r="G1311" s="147">
        <v>3700</v>
      </c>
      <c r="H1311" s="147">
        <v>4</v>
      </c>
      <c r="I1311" s="146" t="s">
        <v>209</v>
      </c>
      <c r="J1311" s="146" t="s">
        <v>2295</v>
      </c>
      <c r="K1311" s="146" t="s">
        <v>2294</v>
      </c>
      <c r="L1311" s="147">
        <v>0</v>
      </c>
      <c r="M1311" s="147">
        <v>4</v>
      </c>
      <c r="N1311" s="146" t="s">
        <v>1548</v>
      </c>
      <c r="O1311" s="147">
        <v>3</v>
      </c>
      <c r="P1311" s="147">
        <v>2.5</v>
      </c>
      <c r="Q1311" s="147">
        <v>20</v>
      </c>
      <c r="R1311" s="146" t="s">
        <v>574</v>
      </c>
      <c r="S1311" s="146" t="s">
        <v>575</v>
      </c>
      <c r="T1311" s="147">
        <v>239</v>
      </c>
      <c r="U1311" s="146" t="s">
        <v>1618</v>
      </c>
      <c r="V1311" s="146" t="s">
        <v>1619</v>
      </c>
      <c r="W1311" s="147">
        <v>2</v>
      </c>
      <c r="X1311" s="147">
        <v>2</v>
      </c>
      <c r="Y1311" s="146" t="s">
        <v>194</v>
      </c>
      <c r="Z1311" s="146" t="s">
        <v>195</v>
      </c>
      <c r="AA1311" s="146" t="s">
        <v>196</v>
      </c>
      <c r="AB1311" s="146" t="s">
        <v>187</v>
      </c>
      <c r="AC1311" s="146" t="s">
        <v>187</v>
      </c>
      <c r="AD1311" s="148"/>
      <c r="AE1311" s="146" t="s">
        <v>209</v>
      </c>
      <c r="AF1311" s="147">
        <v>15.873348214148701</v>
      </c>
      <c r="AG1311" s="149">
        <v>106.28844897174299</v>
      </c>
      <c r="AO1311" s="121"/>
      <c r="AT1311" s="111"/>
      <c r="AX1311" s="121"/>
    </row>
    <row r="1312" spans="1:50" s="110" customFormat="1" ht="20" customHeight="1">
      <c r="A1312" s="125" t="s">
        <v>471</v>
      </c>
      <c r="B1312" s="126" t="s">
        <v>65</v>
      </c>
      <c r="C1312" s="127">
        <v>12039</v>
      </c>
      <c r="D1312" s="145">
        <v>103655</v>
      </c>
      <c r="E1312" s="146" t="s">
        <v>2908</v>
      </c>
      <c r="F1312" s="146" t="s">
        <v>2908</v>
      </c>
      <c r="G1312" s="147">
        <v>3100</v>
      </c>
      <c r="H1312" s="147">
        <v>4</v>
      </c>
      <c r="I1312" s="146" t="s">
        <v>209</v>
      </c>
      <c r="J1312" s="146" t="s">
        <v>2909</v>
      </c>
      <c r="K1312" s="146" t="s">
        <v>2908</v>
      </c>
      <c r="L1312" s="147">
        <v>1</v>
      </c>
      <c r="M1312" s="147">
        <v>4</v>
      </c>
      <c r="N1312" s="146" t="s">
        <v>1548</v>
      </c>
      <c r="O1312" s="147">
        <v>4</v>
      </c>
      <c r="P1312" s="147">
        <v>3</v>
      </c>
      <c r="Q1312" s="147">
        <v>20</v>
      </c>
      <c r="R1312" s="146" t="s">
        <v>574</v>
      </c>
      <c r="S1312" s="146" t="s">
        <v>575</v>
      </c>
      <c r="T1312" s="147">
        <v>239</v>
      </c>
      <c r="U1312" s="146" t="s">
        <v>1618</v>
      </c>
      <c r="V1312" s="146" t="s">
        <v>1619</v>
      </c>
      <c r="W1312" s="147">
        <v>2</v>
      </c>
      <c r="X1312" s="147">
        <v>2</v>
      </c>
      <c r="Y1312" s="146" t="s">
        <v>194</v>
      </c>
      <c r="Z1312" s="146" t="s">
        <v>195</v>
      </c>
      <c r="AA1312" s="146" t="s">
        <v>196</v>
      </c>
      <c r="AB1312" s="146" t="s">
        <v>187</v>
      </c>
      <c r="AC1312" s="146" t="s">
        <v>187</v>
      </c>
      <c r="AD1312" s="148"/>
      <c r="AE1312" s="146" t="s">
        <v>209</v>
      </c>
      <c r="AF1312" s="147">
        <v>15.06287</v>
      </c>
      <c r="AG1312" s="149">
        <v>107.50918</v>
      </c>
      <c r="AO1312" s="121"/>
      <c r="AT1312" s="111"/>
      <c r="AX1312" s="121"/>
    </row>
    <row r="1313" spans="1:50" s="110" customFormat="1" ht="20" customHeight="1">
      <c r="A1313" s="125" t="s">
        <v>471</v>
      </c>
      <c r="B1313" s="126" t="s">
        <v>65</v>
      </c>
      <c r="C1313" s="127">
        <v>18915</v>
      </c>
      <c r="D1313" s="145">
        <v>114880</v>
      </c>
      <c r="E1313" s="146" t="s">
        <v>2273</v>
      </c>
      <c r="F1313" s="146" t="s">
        <v>2273</v>
      </c>
      <c r="G1313" s="147">
        <v>900</v>
      </c>
      <c r="H1313" s="147">
        <v>4</v>
      </c>
      <c r="I1313" s="146" t="s">
        <v>209</v>
      </c>
      <c r="J1313" s="146" t="s">
        <v>2274</v>
      </c>
      <c r="K1313" s="146" t="s">
        <v>2275</v>
      </c>
      <c r="L1313" s="147">
        <v>4</v>
      </c>
      <c r="M1313" s="147">
        <v>4</v>
      </c>
      <c r="N1313" s="146" t="s">
        <v>1548</v>
      </c>
      <c r="O1313" s="147">
        <v>9</v>
      </c>
      <c r="P1313" s="147">
        <v>7</v>
      </c>
      <c r="Q1313" s="147">
        <v>20</v>
      </c>
      <c r="R1313" s="146" t="s">
        <v>574</v>
      </c>
      <c r="S1313" s="146" t="s">
        <v>575</v>
      </c>
      <c r="T1313" s="147">
        <v>239</v>
      </c>
      <c r="U1313" s="146" t="s">
        <v>1618</v>
      </c>
      <c r="V1313" s="146" t="s">
        <v>1619</v>
      </c>
      <c r="W1313" s="147">
        <v>1</v>
      </c>
      <c r="X1313" s="147">
        <v>2</v>
      </c>
      <c r="Y1313" s="146" t="s">
        <v>194</v>
      </c>
      <c r="Z1313" s="146" t="s">
        <v>195</v>
      </c>
      <c r="AA1313" s="146" t="s">
        <v>196</v>
      </c>
      <c r="AB1313" s="146" t="s">
        <v>187</v>
      </c>
      <c r="AC1313" s="146" t="s">
        <v>187</v>
      </c>
      <c r="AD1313" s="148"/>
      <c r="AE1313" s="146" t="s">
        <v>209</v>
      </c>
      <c r="AF1313" s="147">
        <v>16.430624525201701</v>
      </c>
      <c r="AG1313" s="149">
        <v>106.811565582586</v>
      </c>
      <c r="AO1313" s="121"/>
      <c r="AT1313" s="111"/>
      <c r="AX1313" s="121"/>
    </row>
    <row r="1314" spans="1:50" s="110" customFormat="1" ht="20" customHeight="1">
      <c r="A1314" s="125" t="s">
        <v>237</v>
      </c>
      <c r="B1314" s="126" t="s">
        <v>60</v>
      </c>
      <c r="C1314" s="127">
        <v>18889</v>
      </c>
      <c r="D1314" s="163">
        <v>114836</v>
      </c>
      <c r="E1314" s="164" t="s">
        <v>1615</v>
      </c>
      <c r="F1314" s="164" t="s">
        <v>1615</v>
      </c>
      <c r="G1314" s="165">
        <v>100</v>
      </c>
      <c r="H1314" s="165">
        <v>1</v>
      </c>
      <c r="I1314" s="164" t="s">
        <v>187</v>
      </c>
      <c r="J1314" s="164" t="s">
        <v>1616</v>
      </c>
      <c r="K1314" s="164" t="s">
        <v>1617</v>
      </c>
      <c r="L1314" s="165">
        <v>2</v>
      </c>
      <c r="M1314" s="165">
        <v>4</v>
      </c>
      <c r="N1314" s="164" t="s">
        <v>1548</v>
      </c>
      <c r="O1314" s="165">
        <v>0</v>
      </c>
      <c r="P1314" s="165">
        <v>0</v>
      </c>
      <c r="Q1314" s="165">
        <v>20</v>
      </c>
      <c r="R1314" s="164" t="s">
        <v>574</v>
      </c>
      <c r="S1314" s="164" t="s">
        <v>575</v>
      </c>
      <c r="T1314" s="165">
        <v>239</v>
      </c>
      <c r="U1314" s="164" t="s">
        <v>1618</v>
      </c>
      <c r="V1314" s="164" t="s">
        <v>1619</v>
      </c>
      <c r="W1314" s="165">
        <v>2</v>
      </c>
      <c r="X1314" s="165">
        <v>2</v>
      </c>
      <c r="Y1314" s="164" t="s">
        <v>194</v>
      </c>
      <c r="Z1314" s="164" t="s">
        <v>195</v>
      </c>
      <c r="AA1314" s="164" t="s">
        <v>196</v>
      </c>
      <c r="AB1314" s="164" t="s">
        <v>187</v>
      </c>
      <c r="AC1314" s="164" t="s">
        <v>209</v>
      </c>
      <c r="AD1314" s="165">
        <v>1</v>
      </c>
      <c r="AE1314" s="164" t="s">
        <v>187</v>
      </c>
      <c r="AF1314" s="165">
        <v>6.6740000000000004</v>
      </c>
      <c r="AG1314" s="166">
        <v>100.21686</v>
      </c>
      <c r="AO1314" s="121"/>
      <c r="AT1314" s="111"/>
      <c r="AX1314" s="121"/>
    </row>
    <row r="1315" spans="1:50" s="110" customFormat="1" ht="20" customHeight="1">
      <c r="A1315" s="125" t="s">
        <v>1620</v>
      </c>
      <c r="B1315" s="126" t="s">
        <v>61</v>
      </c>
      <c r="C1315" s="127">
        <v>14554</v>
      </c>
      <c r="D1315" s="163">
        <v>108371</v>
      </c>
      <c r="E1315" s="164" t="s">
        <v>2686</v>
      </c>
      <c r="F1315" s="164" t="s">
        <v>2686</v>
      </c>
      <c r="G1315" s="165">
        <v>14000</v>
      </c>
      <c r="H1315" s="165">
        <v>1</v>
      </c>
      <c r="I1315" s="164" t="s">
        <v>187</v>
      </c>
      <c r="J1315" s="164" t="s">
        <v>3852</v>
      </c>
      <c r="K1315" s="164" t="s">
        <v>3853</v>
      </c>
      <c r="L1315" s="165">
        <v>3</v>
      </c>
      <c r="M1315" s="165">
        <v>4</v>
      </c>
      <c r="N1315" s="164" t="s">
        <v>1548</v>
      </c>
      <c r="O1315" s="165">
        <v>3</v>
      </c>
      <c r="P1315" s="165">
        <v>1</v>
      </c>
      <c r="Q1315" s="165">
        <v>20</v>
      </c>
      <c r="R1315" s="164" t="s">
        <v>574</v>
      </c>
      <c r="S1315" s="164" t="s">
        <v>575</v>
      </c>
      <c r="T1315" s="165">
        <v>239</v>
      </c>
      <c r="U1315" s="164" t="s">
        <v>1618</v>
      </c>
      <c r="V1315" s="164" t="s">
        <v>1619</v>
      </c>
      <c r="W1315" s="165">
        <v>2</v>
      </c>
      <c r="X1315" s="165">
        <v>2</v>
      </c>
      <c r="Y1315" s="164" t="s">
        <v>194</v>
      </c>
      <c r="Z1315" s="164" t="s">
        <v>195</v>
      </c>
      <c r="AA1315" s="164" t="s">
        <v>196</v>
      </c>
      <c r="AB1315" s="164" t="s">
        <v>187</v>
      </c>
      <c r="AC1315" s="164" t="s">
        <v>187</v>
      </c>
      <c r="AD1315" s="165">
        <v>1</v>
      </c>
      <c r="AE1315" s="164" t="s">
        <v>209</v>
      </c>
      <c r="AF1315" s="165">
        <v>24.056850000000001</v>
      </c>
      <c r="AG1315" s="166">
        <v>98.752589999999998</v>
      </c>
      <c r="AO1315" s="121"/>
      <c r="AT1315" s="111"/>
      <c r="AX1315" s="121"/>
    </row>
    <row r="1316" spans="1:50" s="110" customFormat="1" ht="20" customHeight="1">
      <c r="A1316" s="125" t="s">
        <v>1620</v>
      </c>
      <c r="B1316" s="126" t="s">
        <v>61</v>
      </c>
      <c r="C1316" s="127">
        <v>21646</v>
      </c>
      <c r="D1316" s="163">
        <v>118428</v>
      </c>
      <c r="E1316" s="164" t="s">
        <v>1971</v>
      </c>
      <c r="F1316" s="164" t="s">
        <v>1971</v>
      </c>
      <c r="G1316" s="165">
        <v>500</v>
      </c>
      <c r="H1316" s="165">
        <v>1</v>
      </c>
      <c r="I1316" s="164" t="s">
        <v>187</v>
      </c>
      <c r="J1316" s="164" t="s">
        <v>1972</v>
      </c>
      <c r="K1316" s="164" t="s">
        <v>1973</v>
      </c>
      <c r="L1316" s="165">
        <v>5</v>
      </c>
      <c r="M1316" s="165">
        <v>4</v>
      </c>
      <c r="N1316" s="164" t="s">
        <v>1548</v>
      </c>
      <c r="O1316" s="165">
        <v>5</v>
      </c>
      <c r="P1316" s="165">
        <v>0</v>
      </c>
      <c r="Q1316" s="165">
        <v>20</v>
      </c>
      <c r="R1316" s="164" t="s">
        <v>574</v>
      </c>
      <c r="S1316" s="164" t="s">
        <v>575</v>
      </c>
      <c r="T1316" s="165">
        <v>239</v>
      </c>
      <c r="U1316" s="164" t="s">
        <v>1618</v>
      </c>
      <c r="V1316" s="164" t="s">
        <v>1619</v>
      </c>
      <c r="W1316" s="165">
        <v>1</v>
      </c>
      <c r="X1316" s="165">
        <v>2</v>
      </c>
      <c r="Y1316" s="164" t="s">
        <v>194</v>
      </c>
      <c r="Z1316" s="164" t="s">
        <v>195</v>
      </c>
      <c r="AA1316" s="164" t="s">
        <v>196</v>
      </c>
      <c r="AB1316" s="164" t="s">
        <v>187</v>
      </c>
      <c r="AC1316" s="164" t="s">
        <v>187</v>
      </c>
      <c r="AD1316" s="165">
        <v>1</v>
      </c>
      <c r="AE1316" s="164" t="s">
        <v>209</v>
      </c>
      <c r="AF1316" s="165">
        <v>22.5</v>
      </c>
      <c r="AG1316" s="166">
        <v>96.55</v>
      </c>
      <c r="AO1316" s="121"/>
      <c r="AT1316" s="111"/>
      <c r="AX1316" s="121"/>
    </row>
    <row r="1317" spans="1:50" s="110" customFormat="1" ht="20" customHeight="1">
      <c r="A1317" s="125" t="s">
        <v>1620</v>
      </c>
      <c r="B1317" s="126" t="s">
        <v>61</v>
      </c>
      <c r="C1317" s="127">
        <v>19401</v>
      </c>
      <c r="D1317" s="157">
        <v>110596</v>
      </c>
      <c r="E1317" s="158" t="s">
        <v>2128</v>
      </c>
      <c r="F1317" s="158" t="s">
        <v>2128</v>
      </c>
      <c r="G1317" s="159">
        <v>700</v>
      </c>
      <c r="H1317" s="159">
        <v>2</v>
      </c>
      <c r="I1317" s="158" t="s">
        <v>209</v>
      </c>
      <c r="J1317" s="158" t="s">
        <v>2129</v>
      </c>
      <c r="K1317" s="158" t="s">
        <v>2130</v>
      </c>
      <c r="L1317" s="159">
        <v>5</v>
      </c>
      <c r="M1317" s="159">
        <v>4</v>
      </c>
      <c r="N1317" s="158" t="s">
        <v>1548</v>
      </c>
      <c r="O1317" s="159">
        <v>10</v>
      </c>
      <c r="P1317" s="159">
        <v>0.54600000000000004</v>
      </c>
      <c r="Q1317" s="159">
        <v>20</v>
      </c>
      <c r="R1317" s="158" t="s">
        <v>574</v>
      </c>
      <c r="S1317" s="158" t="s">
        <v>575</v>
      </c>
      <c r="T1317" s="159">
        <v>239</v>
      </c>
      <c r="U1317" s="158" t="s">
        <v>1618</v>
      </c>
      <c r="V1317" s="158" t="s">
        <v>1619</v>
      </c>
      <c r="W1317" s="159">
        <v>2</v>
      </c>
      <c r="X1317" s="159">
        <v>2</v>
      </c>
      <c r="Y1317" s="158" t="s">
        <v>194</v>
      </c>
      <c r="Z1317" s="158" t="s">
        <v>195</v>
      </c>
      <c r="AA1317" s="158" t="s">
        <v>196</v>
      </c>
      <c r="AB1317" s="158" t="s">
        <v>187</v>
      </c>
      <c r="AC1317" s="158" t="s">
        <v>209</v>
      </c>
      <c r="AD1317" s="160"/>
      <c r="AE1317" s="158" t="s">
        <v>209</v>
      </c>
      <c r="AF1317" s="159">
        <v>23.584359999714199</v>
      </c>
      <c r="AG1317" s="161">
        <v>98.631600000339702</v>
      </c>
      <c r="AO1317" s="121"/>
      <c r="AT1317" s="111"/>
      <c r="AX1317" s="121"/>
    </row>
    <row r="1318" spans="1:50" s="110" customFormat="1" ht="20" customHeight="1">
      <c r="A1318" s="125" t="s">
        <v>1620</v>
      </c>
      <c r="B1318" s="126" t="s">
        <v>61</v>
      </c>
      <c r="C1318" s="127">
        <v>15759</v>
      </c>
      <c r="D1318" s="128">
        <v>110476</v>
      </c>
      <c r="E1318" s="129" t="s">
        <v>3404</v>
      </c>
      <c r="F1318" s="129" t="s">
        <v>3404</v>
      </c>
      <c r="G1318" s="130">
        <v>454000</v>
      </c>
      <c r="H1318" s="130">
        <v>5</v>
      </c>
      <c r="I1318" s="129" t="s">
        <v>209</v>
      </c>
      <c r="J1318" s="129" t="s">
        <v>1972</v>
      </c>
      <c r="K1318" s="129" t="s">
        <v>1973</v>
      </c>
      <c r="L1318" s="130">
        <v>5</v>
      </c>
      <c r="M1318" s="130">
        <v>4</v>
      </c>
      <c r="N1318" s="129" t="s">
        <v>1548</v>
      </c>
      <c r="O1318" s="130">
        <v>30</v>
      </c>
      <c r="P1318" s="130">
        <v>15</v>
      </c>
      <c r="Q1318" s="130">
        <v>20</v>
      </c>
      <c r="R1318" s="129" t="s">
        <v>574</v>
      </c>
      <c r="S1318" s="129" t="s">
        <v>575</v>
      </c>
      <c r="T1318" s="130">
        <v>239</v>
      </c>
      <c r="U1318" s="129" t="s">
        <v>1618</v>
      </c>
      <c r="V1318" s="129" t="s">
        <v>1619</v>
      </c>
      <c r="W1318" s="130">
        <v>3</v>
      </c>
      <c r="X1318" s="130">
        <v>2</v>
      </c>
      <c r="Y1318" s="129" t="s">
        <v>194</v>
      </c>
      <c r="Z1318" s="129" t="s">
        <v>195</v>
      </c>
      <c r="AA1318" s="129" t="s">
        <v>196</v>
      </c>
      <c r="AB1318" s="129" t="s">
        <v>187</v>
      </c>
      <c r="AC1318" s="129" t="s">
        <v>187</v>
      </c>
      <c r="AD1318" s="131"/>
      <c r="AE1318" s="129" t="s">
        <v>209</v>
      </c>
      <c r="AF1318" s="130">
        <v>22.606280000000002</v>
      </c>
      <c r="AG1318" s="132">
        <v>98.949089999999998</v>
      </c>
      <c r="AO1318" s="121"/>
      <c r="AT1318" s="111"/>
      <c r="AX1318" s="121"/>
    </row>
    <row r="1319" spans="1:50" s="110" customFormat="1" ht="20" customHeight="1">
      <c r="A1319" s="125" t="s">
        <v>478</v>
      </c>
      <c r="B1319" s="126" t="s">
        <v>56</v>
      </c>
      <c r="C1319" s="127">
        <v>19086</v>
      </c>
      <c r="D1319" s="163">
        <v>106743</v>
      </c>
      <c r="E1319" s="164" t="s">
        <v>2439</v>
      </c>
      <c r="F1319" s="164" t="s">
        <v>2439</v>
      </c>
      <c r="G1319" s="165">
        <v>120000</v>
      </c>
      <c r="H1319" s="165">
        <v>1</v>
      </c>
      <c r="I1319" s="164" t="s">
        <v>187</v>
      </c>
      <c r="J1319" s="164" t="s">
        <v>4653</v>
      </c>
      <c r="K1319" s="164" t="s">
        <v>2439</v>
      </c>
      <c r="L1319" s="165">
        <v>5</v>
      </c>
      <c r="M1319" s="165">
        <v>4</v>
      </c>
      <c r="N1319" s="164" t="s">
        <v>1548</v>
      </c>
      <c r="O1319" s="165">
        <v>0.5</v>
      </c>
      <c r="P1319" s="165">
        <v>2.9000000000000001E-2</v>
      </c>
      <c r="Q1319" s="165">
        <v>20</v>
      </c>
      <c r="R1319" s="164" t="s">
        <v>574</v>
      </c>
      <c r="S1319" s="164" t="s">
        <v>575</v>
      </c>
      <c r="T1319" s="165">
        <v>239</v>
      </c>
      <c r="U1319" s="164" t="s">
        <v>1618</v>
      </c>
      <c r="V1319" s="164" t="s">
        <v>1619</v>
      </c>
      <c r="W1319" s="165">
        <v>2</v>
      </c>
      <c r="X1319" s="165">
        <v>2</v>
      </c>
      <c r="Y1319" s="164" t="s">
        <v>194</v>
      </c>
      <c r="Z1319" s="164" t="s">
        <v>195</v>
      </c>
      <c r="AA1319" s="164" t="s">
        <v>196</v>
      </c>
      <c r="AB1319" s="164" t="s">
        <v>187</v>
      </c>
      <c r="AC1319" s="164" t="s">
        <v>187</v>
      </c>
      <c r="AD1319" s="165">
        <v>2</v>
      </c>
      <c r="AE1319" s="164" t="s">
        <v>209</v>
      </c>
      <c r="AF1319" s="165">
        <v>13.823700000000001</v>
      </c>
      <c r="AG1319" s="166">
        <v>99.80095</v>
      </c>
      <c r="AO1319" s="121"/>
      <c r="AT1319" s="111"/>
      <c r="AX1319" s="121"/>
    </row>
    <row r="1320" spans="1:50" s="110" customFormat="1" ht="20" customHeight="1">
      <c r="A1320" s="125" t="s">
        <v>478</v>
      </c>
      <c r="B1320" s="126" t="s">
        <v>56</v>
      </c>
      <c r="C1320" s="127">
        <v>14377</v>
      </c>
      <c r="D1320" s="163">
        <v>108003</v>
      </c>
      <c r="E1320" s="164" t="s">
        <v>4052</v>
      </c>
      <c r="F1320" s="164" t="s">
        <v>4052</v>
      </c>
      <c r="G1320" s="165">
        <v>20000</v>
      </c>
      <c r="H1320" s="165">
        <v>1</v>
      </c>
      <c r="I1320" s="164" t="s">
        <v>187</v>
      </c>
      <c r="J1320" s="164" t="s">
        <v>4053</v>
      </c>
      <c r="K1320" s="164" t="s">
        <v>4052</v>
      </c>
      <c r="L1320" s="165">
        <v>3</v>
      </c>
      <c r="M1320" s="165">
        <v>4</v>
      </c>
      <c r="N1320" s="164" t="s">
        <v>1548</v>
      </c>
      <c r="O1320" s="165">
        <v>1</v>
      </c>
      <c r="P1320" s="165">
        <v>0.1</v>
      </c>
      <c r="Q1320" s="165">
        <v>20</v>
      </c>
      <c r="R1320" s="164" t="s">
        <v>574</v>
      </c>
      <c r="S1320" s="164" t="s">
        <v>575</v>
      </c>
      <c r="T1320" s="165">
        <v>239</v>
      </c>
      <c r="U1320" s="164" t="s">
        <v>1618</v>
      </c>
      <c r="V1320" s="164" t="s">
        <v>1619</v>
      </c>
      <c r="W1320" s="165">
        <v>2</v>
      </c>
      <c r="X1320" s="165">
        <v>2</v>
      </c>
      <c r="Y1320" s="164" t="s">
        <v>194</v>
      </c>
      <c r="Z1320" s="164" t="s">
        <v>195</v>
      </c>
      <c r="AA1320" s="164" t="s">
        <v>196</v>
      </c>
      <c r="AB1320" s="164" t="s">
        <v>187</v>
      </c>
      <c r="AC1320" s="164" t="s">
        <v>187</v>
      </c>
      <c r="AD1320" s="165">
        <v>1</v>
      </c>
      <c r="AE1320" s="164" t="s">
        <v>209</v>
      </c>
      <c r="AF1320" s="165">
        <v>19.198270000000001</v>
      </c>
      <c r="AG1320" s="166">
        <v>101.1485</v>
      </c>
      <c r="AO1320" s="121"/>
      <c r="AT1320" s="111"/>
      <c r="AX1320" s="121"/>
    </row>
    <row r="1321" spans="1:50" s="110" customFormat="1" ht="20" customHeight="1">
      <c r="A1321" s="125" t="s">
        <v>478</v>
      </c>
      <c r="B1321" s="126" t="s">
        <v>56</v>
      </c>
      <c r="C1321" s="127">
        <v>18878</v>
      </c>
      <c r="D1321" s="163">
        <v>114799</v>
      </c>
      <c r="E1321" s="164" t="s">
        <v>1608</v>
      </c>
      <c r="F1321" s="164" t="s">
        <v>1608</v>
      </c>
      <c r="G1321" s="165">
        <v>15000</v>
      </c>
      <c r="H1321" s="165">
        <v>1</v>
      </c>
      <c r="I1321" s="164" t="s">
        <v>187</v>
      </c>
      <c r="J1321" s="164" t="s">
        <v>1607</v>
      </c>
      <c r="K1321" s="164" t="s">
        <v>1608</v>
      </c>
      <c r="L1321" s="165">
        <v>3</v>
      </c>
      <c r="M1321" s="165">
        <v>4</v>
      </c>
      <c r="N1321" s="164" t="s">
        <v>1548</v>
      </c>
      <c r="O1321" s="165">
        <v>3.3</v>
      </c>
      <c r="P1321" s="165">
        <v>2</v>
      </c>
      <c r="Q1321" s="165">
        <v>20</v>
      </c>
      <c r="R1321" s="164" t="s">
        <v>574</v>
      </c>
      <c r="S1321" s="164" t="s">
        <v>575</v>
      </c>
      <c r="T1321" s="165">
        <v>239</v>
      </c>
      <c r="U1321" s="164" t="s">
        <v>1618</v>
      </c>
      <c r="V1321" s="164" t="s">
        <v>1619</v>
      </c>
      <c r="W1321" s="165">
        <v>6</v>
      </c>
      <c r="X1321" s="165">
        <v>2</v>
      </c>
      <c r="Y1321" s="164" t="s">
        <v>194</v>
      </c>
      <c r="Z1321" s="164" t="s">
        <v>195</v>
      </c>
      <c r="AA1321" s="164" t="s">
        <v>196</v>
      </c>
      <c r="AB1321" s="164" t="s">
        <v>187</v>
      </c>
      <c r="AC1321" s="164" t="s">
        <v>187</v>
      </c>
      <c r="AD1321" s="165">
        <v>1</v>
      </c>
      <c r="AE1321" s="164" t="s">
        <v>209</v>
      </c>
      <c r="AF1321" s="165">
        <v>19.15316</v>
      </c>
      <c r="AG1321" s="166">
        <v>100.79497000000001</v>
      </c>
      <c r="AO1321" s="121"/>
      <c r="AT1321" s="111"/>
      <c r="AX1321" s="121"/>
    </row>
    <row r="1322" spans="1:50" s="110" customFormat="1" ht="20" customHeight="1">
      <c r="A1322" s="125" t="s">
        <v>478</v>
      </c>
      <c r="B1322" s="126" t="s">
        <v>56</v>
      </c>
      <c r="C1322" s="127">
        <v>13128</v>
      </c>
      <c r="D1322" s="163">
        <v>105893</v>
      </c>
      <c r="E1322" s="164" t="s">
        <v>3405</v>
      </c>
      <c r="F1322" s="164" t="s">
        <v>3405</v>
      </c>
      <c r="G1322" s="165">
        <v>7000</v>
      </c>
      <c r="H1322" s="165">
        <v>1</v>
      </c>
      <c r="I1322" s="164" t="s">
        <v>187</v>
      </c>
      <c r="J1322" s="164" t="s">
        <v>634</v>
      </c>
      <c r="K1322" s="164" t="s">
        <v>635</v>
      </c>
      <c r="L1322" s="165">
        <v>0</v>
      </c>
      <c r="M1322" s="165">
        <v>4</v>
      </c>
      <c r="N1322" s="164" t="s">
        <v>1548</v>
      </c>
      <c r="O1322" s="165">
        <v>4</v>
      </c>
      <c r="P1322" s="165">
        <v>1.6659999999999999</v>
      </c>
      <c r="Q1322" s="165">
        <v>20</v>
      </c>
      <c r="R1322" s="164" t="s">
        <v>574</v>
      </c>
      <c r="S1322" s="164" t="s">
        <v>575</v>
      </c>
      <c r="T1322" s="165">
        <v>239</v>
      </c>
      <c r="U1322" s="164" t="s">
        <v>1618</v>
      </c>
      <c r="V1322" s="164" t="s">
        <v>1619</v>
      </c>
      <c r="W1322" s="165">
        <v>1</v>
      </c>
      <c r="X1322" s="165">
        <v>2</v>
      </c>
      <c r="Y1322" s="164" t="s">
        <v>194</v>
      </c>
      <c r="Z1322" s="164" t="s">
        <v>195</v>
      </c>
      <c r="AA1322" s="164" t="s">
        <v>196</v>
      </c>
      <c r="AB1322" s="164" t="s">
        <v>187</v>
      </c>
      <c r="AC1322" s="164" t="s">
        <v>187</v>
      </c>
      <c r="AD1322" s="165">
        <v>1</v>
      </c>
      <c r="AE1322" s="164" t="s">
        <v>209</v>
      </c>
      <c r="AF1322" s="165">
        <v>19.1111</v>
      </c>
      <c r="AG1322" s="166">
        <v>101.19637</v>
      </c>
      <c r="AO1322" s="121"/>
      <c r="AT1322" s="111"/>
      <c r="AX1322" s="121"/>
    </row>
    <row r="1323" spans="1:50" s="110" customFormat="1" ht="20" customHeight="1">
      <c r="A1323" s="125" t="s">
        <v>478</v>
      </c>
      <c r="B1323" s="126" t="s">
        <v>56</v>
      </c>
      <c r="C1323" s="127">
        <v>13749</v>
      </c>
      <c r="D1323" s="163">
        <v>106686</v>
      </c>
      <c r="E1323" s="164" t="s">
        <v>1898</v>
      </c>
      <c r="F1323" s="164" t="s">
        <v>1898</v>
      </c>
      <c r="G1323" s="165">
        <v>400</v>
      </c>
      <c r="H1323" s="165">
        <v>1</v>
      </c>
      <c r="I1323" s="164" t="s">
        <v>187</v>
      </c>
      <c r="J1323" s="164" t="s">
        <v>1899</v>
      </c>
      <c r="K1323" s="164" t="s">
        <v>1898</v>
      </c>
      <c r="L1323" s="165">
        <v>1</v>
      </c>
      <c r="M1323" s="165">
        <v>4</v>
      </c>
      <c r="N1323" s="164" t="s">
        <v>1548</v>
      </c>
      <c r="O1323" s="165">
        <v>0.5</v>
      </c>
      <c r="P1323" s="165">
        <v>0</v>
      </c>
      <c r="Q1323" s="165">
        <v>20</v>
      </c>
      <c r="R1323" s="164" t="s">
        <v>574</v>
      </c>
      <c r="S1323" s="164" t="s">
        <v>575</v>
      </c>
      <c r="T1323" s="165">
        <v>239</v>
      </c>
      <c r="U1323" s="164" t="s">
        <v>1618</v>
      </c>
      <c r="V1323" s="164" t="s">
        <v>1619</v>
      </c>
      <c r="W1323" s="165">
        <v>2</v>
      </c>
      <c r="X1323" s="165">
        <v>2</v>
      </c>
      <c r="Y1323" s="164" t="s">
        <v>194</v>
      </c>
      <c r="Z1323" s="164" t="s">
        <v>195</v>
      </c>
      <c r="AA1323" s="164" t="s">
        <v>196</v>
      </c>
      <c r="AB1323" s="164" t="s">
        <v>187</v>
      </c>
      <c r="AC1323" s="164" t="s">
        <v>187</v>
      </c>
      <c r="AD1323" s="165">
        <v>1</v>
      </c>
      <c r="AE1323" s="164" t="s">
        <v>209</v>
      </c>
      <c r="AF1323" s="165">
        <v>18.468109999999999</v>
      </c>
      <c r="AG1323" s="166">
        <v>101.03067</v>
      </c>
      <c r="AO1323" s="121"/>
      <c r="AT1323" s="111"/>
      <c r="AX1323" s="121"/>
    </row>
    <row r="1324" spans="1:50" s="110" customFormat="1" ht="20" customHeight="1">
      <c r="A1324" s="125" t="s">
        <v>478</v>
      </c>
      <c r="B1324" s="126" t="s">
        <v>56</v>
      </c>
      <c r="C1324" s="127">
        <v>18889</v>
      </c>
      <c r="D1324" s="163">
        <v>114836</v>
      </c>
      <c r="E1324" s="164" t="s">
        <v>1615</v>
      </c>
      <c r="F1324" s="164" t="s">
        <v>1615</v>
      </c>
      <c r="G1324" s="165">
        <v>400</v>
      </c>
      <c r="H1324" s="165">
        <v>1</v>
      </c>
      <c r="I1324" s="164" t="s">
        <v>187</v>
      </c>
      <c r="J1324" s="164" t="s">
        <v>1616</v>
      </c>
      <c r="K1324" s="164" t="s">
        <v>1617</v>
      </c>
      <c r="L1324" s="165">
        <v>2</v>
      </c>
      <c r="M1324" s="165">
        <v>4</v>
      </c>
      <c r="N1324" s="164" t="s">
        <v>1548</v>
      </c>
      <c r="O1324" s="165">
        <v>3</v>
      </c>
      <c r="P1324" s="165">
        <v>1</v>
      </c>
      <c r="Q1324" s="165">
        <v>20</v>
      </c>
      <c r="R1324" s="164" t="s">
        <v>574</v>
      </c>
      <c r="S1324" s="164" t="s">
        <v>575</v>
      </c>
      <c r="T1324" s="165">
        <v>239</v>
      </c>
      <c r="U1324" s="164" t="s">
        <v>1618</v>
      </c>
      <c r="V1324" s="164" t="s">
        <v>1619</v>
      </c>
      <c r="W1324" s="165">
        <v>2</v>
      </c>
      <c r="X1324" s="165">
        <v>2</v>
      </c>
      <c r="Y1324" s="164" t="s">
        <v>194</v>
      </c>
      <c r="Z1324" s="164" t="s">
        <v>195</v>
      </c>
      <c r="AA1324" s="164" t="s">
        <v>196</v>
      </c>
      <c r="AB1324" s="164" t="s">
        <v>187</v>
      </c>
      <c r="AC1324" s="164" t="s">
        <v>187</v>
      </c>
      <c r="AD1324" s="165">
        <v>1</v>
      </c>
      <c r="AE1324" s="164" t="s">
        <v>209</v>
      </c>
      <c r="AF1324" s="165">
        <v>7.1205999999999996</v>
      </c>
      <c r="AG1324" s="166">
        <v>99.957610000000003</v>
      </c>
      <c r="AO1324" s="121"/>
      <c r="AT1324" s="111"/>
      <c r="AX1324" s="121"/>
    </row>
    <row r="1325" spans="1:50" s="110" customFormat="1" ht="20" customHeight="1">
      <c r="A1325" s="125" t="s">
        <v>478</v>
      </c>
      <c r="B1325" s="126" t="s">
        <v>56</v>
      </c>
      <c r="C1325" s="127">
        <v>12649</v>
      </c>
      <c r="D1325" s="163">
        <v>104890</v>
      </c>
      <c r="E1325" s="164" t="s">
        <v>1729</v>
      </c>
      <c r="F1325" s="164" t="s">
        <v>1729</v>
      </c>
      <c r="G1325" s="165">
        <v>200</v>
      </c>
      <c r="H1325" s="165">
        <v>1</v>
      </c>
      <c r="I1325" s="164" t="s">
        <v>187</v>
      </c>
      <c r="J1325" s="164" t="s">
        <v>1730</v>
      </c>
      <c r="K1325" s="164" t="s">
        <v>1731</v>
      </c>
      <c r="L1325" s="165">
        <v>3</v>
      </c>
      <c r="M1325" s="165">
        <v>4</v>
      </c>
      <c r="N1325" s="164" t="s">
        <v>1548</v>
      </c>
      <c r="O1325" s="165">
        <v>5</v>
      </c>
      <c r="P1325" s="165">
        <v>0</v>
      </c>
      <c r="Q1325" s="165">
        <v>20</v>
      </c>
      <c r="R1325" s="164" t="s">
        <v>574</v>
      </c>
      <c r="S1325" s="164" t="s">
        <v>575</v>
      </c>
      <c r="T1325" s="165">
        <v>239</v>
      </c>
      <c r="U1325" s="164" t="s">
        <v>1618</v>
      </c>
      <c r="V1325" s="164" t="s">
        <v>1619</v>
      </c>
      <c r="W1325" s="165">
        <v>2</v>
      </c>
      <c r="X1325" s="165">
        <v>2</v>
      </c>
      <c r="Y1325" s="164" t="s">
        <v>194</v>
      </c>
      <c r="Z1325" s="164" t="s">
        <v>195</v>
      </c>
      <c r="AA1325" s="164" t="s">
        <v>196</v>
      </c>
      <c r="AB1325" s="164" t="s">
        <v>187</v>
      </c>
      <c r="AC1325" s="164" t="s">
        <v>209</v>
      </c>
      <c r="AD1325" s="165">
        <v>1</v>
      </c>
      <c r="AE1325" s="164" t="s">
        <v>209</v>
      </c>
      <c r="AF1325" s="165">
        <v>19.388200000000001</v>
      </c>
      <c r="AG1325" s="166">
        <v>99.572959999999995</v>
      </c>
      <c r="AO1325" s="121"/>
      <c r="AT1325" s="111"/>
      <c r="AX1325" s="121"/>
    </row>
    <row r="1326" spans="1:50" s="110" customFormat="1" ht="20" customHeight="1">
      <c r="A1326" s="125" t="s">
        <v>478</v>
      </c>
      <c r="B1326" s="126" t="s">
        <v>56</v>
      </c>
      <c r="C1326" s="127">
        <v>14094</v>
      </c>
      <c r="D1326" s="163">
        <v>107558</v>
      </c>
      <c r="E1326" s="164" t="s">
        <v>1733</v>
      </c>
      <c r="F1326" s="164" t="s">
        <v>1734</v>
      </c>
      <c r="G1326" s="165">
        <v>200</v>
      </c>
      <c r="H1326" s="165">
        <v>1</v>
      </c>
      <c r="I1326" s="164" t="s">
        <v>187</v>
      </c>
      <c r="J1326" s="164" t="s">
        <v>1735</v>
      </c>
      <c r="K1326" s="164" t="s">
        <v>1733</v>
      </c>
      <c r="L1326" s="165">
        <v>1</v>
      </c>
      <c r="M1326" s="165">
        <v>4</v>
      </c>
      <c r="N1326" s="164" t="s">
        <v>1548</v>
      </c>
      <c r="O1326" s="165">
        <v>1</v>
      </c>
      <c r="P1326" s="165">
        <v>0</v>
      </c>
      <c r="Q1326" s="165">
        <v>20</v>
      </c>
      <c r="R1326" s="164" t="s">
        <v>574</v>
      </c>
      <c r="S1326" s="164" t="s">
        <v>575</v>
      </c>
      <c r="T1326" s="165">
        <v>239</v>
      </c>
      <c r="U1326" s="164" t="s">
        <v>1618</v>
      </c>
      <c r="V1326" s="164" t="s">
        <v>1619</v>
      </c>
      <c r="W1326" s="165">
        <v>1</v>
      </c>
      <c r="X1326" s="165">
        <v>2</v>
      </c>
      <c r="Y1326" s="164" t="s">
        <v>194</v>
      </c>
      <c r="Z1326" s="164" t="s">
        <v>195</v>
      </c>
      <c r="AA1326" s="164" t="s">
        <v>196</v>
      </c>
      <c r="AB1326" s="164" t="s">
        <v>187</v>
      </c>
      <c r="AC1326" s="164" t="s">
        <v>187</v>
      </c>
      <c r="AD1326" s="165">
        <v>1</v>
      </c>
      <c r="AE1326" s="164" t="s">
        <v>209</v>
      </c>
      <c r="AF1326" s="165">
        <v>14.882199999999999</v>
      </c>
      <c r="AG1326" s="166">
        <v>104.33255</v>
      </c>
      <c r="AO1326" s="121"/>
      <c r="AT1326" s="111"/>
      <c r="AX1326" s="121"/>
    </row>
    <row r="1327" spans="1:50" s="110" customFormat="1" ht="20" customHeight="1">
      <c r="A1327" s="125" t="s">
        <v>478</v>
      </c>
      <c r="B1327" s="126" t="s">
        <v>56</v>
      </c>
      <c r="C1327" s="127">
        <v>18842</v>
      </c>
      <c r="D1327" s="157">
        <v>114651</v>
      </c>
      <c r="E1327" s="158" t="s">
        <v>3179</v>
      </c>
      <c r="F1327" s="158" t="s">
        <v>3179</v>
      </c>
      <c r="G1327" s="159">
        <v>4900</v>
      </c>
      <c r="H1327" s="159">
        <v>2</v>
      </c>
      <c r="I1327" s="158" t="s">
        <v>209</v>
      </c>
      <c r="J1327" s="158" t="s">
        <v>3180</v>
      </c>
      <c r="K1327" s="158" t="s">
        <v>3179</v>
      </c>
      <c r="L1327" s="159">
        <v>4</v>
      </c>
      <c r="M1327" s="159">
        <v>4</v>
      </c>
      <c r="N1327" s="158" t="s">
        <v>1548</v>
      </c>
      <c r="O1327" s="159">
        <v>6</v>
      </c>
      <c r="P1327" s="159">
        <v>1</v>
      </c>
      <c r="Q1327" s="159">
        <v>20</v>
      </c>
      <c r="R1327" s="158" t="s">
        <v>574</v>
      </c>
      <c r="S1327" s="158" t="s">
        <v>575</v>
      </c>
      <c r="T1327" s="159">
        <v>239</v>
      </c>
      <c r="U1327" s="158" t="s">
        <v>1618</v>
      </c>
      <c r="V1327" s="158" t="s">
        <v>1619</v>
      </c>
      <c r="W1327" s="159">
        <v>2</v>
      </c>
      <c r="X1327" s="159">
        <v>2</v>
      </c>
      <c r="Y1327" s="158" t="s">
        <v>194</v>
      </c>
      <c r="Z1327" s="158" t="s">
        <v>195</v>
      </c>
      <c r="AA1327" s="158" t="s">
        <v>196</v>
      </c>
      <c r="AB1327" s="158" t="s">
        <v>187</v>
      </c>
      <c r="AC1327" s="158" t="s">
        <v>187</v>
      </c>
      <c r="AD1327" s="160"/>
      <c r="AE1327" s="158" t="s">
        <v>209</v>
      </c>
      <c r="AF1327" s="159">
        <v>19.29242</v>
      </c>
      <c r="AG1327" s="161">
        <v>101.14575000000001</v>
      </c>
      <c r="AO1327" s="121"/>
      <c r="AT1327" s="111"/>
      <c r="AX1327" s="121"/>
    </row>
    <row r="1328" spans="1:50" s="110" customFormat="1" ht="20" customHeight="1">
      <c r="A1328" s="125" t="s">
        <v>478</v>
      </c>
      <c r="B1328" s="126" t="s">
        <v>56</v>
      </c>
      <c r="C1328" s="127">
        <v>14485</v>
      </c>
      <c r="D1328" s="157">
        <v>108192</v>
      </c>
      <c r="E1328" s="158" t="s">
        <v>2990</v>
      </c>
      <c r="F1328" s="158" t="s">
        <v>2991</v>
      </c>
      <c r="G1328" s="159">
        <v>3600</v>
      </c>
      <c r="H1328" s="159">
        <v>2</v>
      </c>
      <c r="I1328" s="158" t="s">
        <v>209</v>
      </c>
      <c r="J1328" s="158" t="s">
        <v>2992</v>
      </c>
      <c r="K1328" s="158" t="s">
        <v>2991</v>
      </c>
      <c r="L1328" s="159">
        <v>1</v>
      </c>
      <c r="M1328" s="159">
        <v>4</v>
      </c>
      <c r="N1328" s="158" t="s">
        <v>1548</v>
      </c>
      <c r="O1328" s="159">
        <v>15</v>
      </c>
      <c r="P1328" s="159">
        <v>1</v>
      </c>
      <c r="Q1328" s="159">
        <v>20</v>
      </c>
      <c r="R1328" s="158" t="s">
        <v>574</v>
      </c>
      <c r="S1328" s="158" t="s">
        <v>575</v>
      </c>
      <c r="T1328" s="159">
        <v>239</v>
      </c>
      <c r="U1328" s="158" t="s">
        <v>1618</v>
      </c>
      <c r="V1328" s="158" t="s">
        <v>1619</v>
      </c>
      <c r="W1328" s="159">
        <v>3</v>
      </c>
      <c r="X1328" s="159">
        <v>2</v>
      </c>
      <c r="Y1328" s="158" t="s">
        <v>194</v>
      </c>
      <c r="Z1328" s="158" t="s">
        <v>195</v>
      </c>
      <c r="AA1328" s="158" t="s">
        <v>196</v>
      </c>
      <c r="AB1328" s="158" t="s">
        <v>187</v>
      </c>
      <c r="AC1328" s="158" t="s">
        <v>209</v>
      </c>
      <c r="AD1328" s="160"/>
      <c r="AE1328" s="158" t="s">
        <v>209</v>
      </c>
      <c r="AF1328" s="159">
        <v>13.742048</v>
      </c>
      <c r="AG1328" s="161">
        <v>100.525116</v>
      </c>
      <c r="AO1328" s="121"/>
      <c r="AT1328" s="111"/>
      <c r="AX1328" s="121"/>
    </row>
    <row r="1329" spans="1:50" s="110" customFormat="1" ht="20" customHeight="1">
      <c r="A1329" s="125" t="s">
        <v>478</v>
      </c>
      <c r="B1329" s="126" t="s">
        <v>56</v>
      </c>
      <c r="C1329" s="127">
        <v>15759</v>
      </c>
      <c r="D1329" s="128">
        <v>110476</v>
      </c>
      <c r="E1329" s="129" t="s">
        <v>3404</v>
      </c>
      <c r="F1329" s="129" t="s">
        <v>3404</v>
      </c>
      <c r="G1329" s="130">
        <v>6900</v>
      </c>
      <c r="H1329" s="130">
        <v>5</v>
      </c>
      <c r="I1329" s="129" t="s">
        <v>209</v>
      </c>
      <c r="J1329" s="129" t="s">
        <v>1972</v>
      </c>
      <c r="K1329" s="129" t="s">
        <v>1973</v>
      </c>
      <c r="L1329" s="130">
        <v>5</v>
      </c>
      <c r="M1329" s="130">
        <v>4</v>
      </c>
      <c r="N1329" s="129" t="s">
        <v>1548</v>
      </c>
      <c r="O1329" s="130">
        <v>30</v>
      </c>
      <c r="P1329" s="130">
        <v>15</v>
      </c>
      <c r="Q1329" s="130">
        <v>20</v>
      </c>
      <c r="R1329" s="129" t="s">
        <v>574</v>
      </c>
      <c r="S1329" s="129" t="s">
        <v>575</v>
      </c>
      <c r="T1329" s="130">
        <v>239</v>
      </c>
      <c r="U1329" s="129" t="s">
        <v>1618</v>
      </c>
      <c r="V1329" s="129" t="s">
        <v>1619</v>
      </c>
      <c r="W1329" s="130">
        <v>3</v>
      </c>
      <c r="X1329" s="130">
        <v>2</v>
      </c>
      <c r="Y1329" s="129" t="s">
        <v>194</v>
      </c>
      <c r="Z1329" s="129" t="s">
        <v>195</v>
      </c>
      <c r="AA1329" s="129" t="s">
        <v>196</v>
      </c>
      <c r="AB1329" s="129" t="s">
        <v>187</v>
      </c>
      <c r="AC1329" s="129" t="s">
        <v>209</v>
      </c>
      <c r="AD1329" s="131"/>
      <c r="AE1329" s="129" t="s">
        <v>209</v>
      </c>
      <c r="AF1329" s="130">
        <v>20.228058999999998</v>
      </c>
      <c r="AG1329" s="132">
        <v>99.891514999999998</v>
      </c>
      <c r="AO1329" s="121"/>
      <c r="AT1329" s="111"/>
      <c r="AX1329" s="121"/>
    </row>
    <row r="1330" spans="1:50" s="110" customFormat="1" ht="20" customHeight="1">
      <c r="A1330" s="125" t="s">
        <v>480</v>
      </c>
      <c r="B1330" s="126" t="s">
        <v>63</v>
      </c>
      <c r="C1330" s="127">
        <v>13880</v>
      </c>
      <c r="D1330" s="163">
        <v>106916</v>
      </c>
      <c r="E1330" s="164" t="s">
        <v>4875</v>
      </c>
      <c r="F1330" s="164" t="s">
        <v>4875</v>
      </c>
      <c r="G1330" s="165">
        <v>1403000</v>
      </c>
      <c r="H1330" s="165">
        <v>1</v>
      </c>
      <c r="I1330" s="164" t="s">
        <v>187</v>
      </c>
      <c r="J1330" s="164" t="s">
        <v>4876</v>
      </c>
      <c r="K1330" s="164" t="s">
        <v>4875</v>
      </c>
      <c r="L1330" s="165">
        <v>3</v>
      </c>
      <c r="M1330" s="165">
        <v>4</v>
      </c>
      <c r="N1330" s="164" t="s">
        <v>1548</v>
      </c>
      <c r="O1330" s="165">
        <v>1</v>
      </c>
      <c r="P1330" s="165">
        <v>5.8000000000000003E-2</v>
      </c>
      <c r="Q1330" s="165">
        <v>20</v>
      </c>
      <c r="R1330" s="164" t="s">
        <v>574</v>
      </c>
      <c r="S1330" s="164" t="s">
        <v>575</v>
      </c>
      <c r="T1330" s="165">
        <v>239</v>
      </c>
      <c r="U1330" s="164" t="s">
        <v>1618</v>
      </c>
      <c r="V1330" s="164" t="s">
        <v>1619</v>
      </c>
      <c r="W1330" s="165">
        <v>1</v>
      </c>
      <c r="X1330" s="165">
        <v>2</v>
      </c>
      <c r="Y1330" s="164" t="s">
        <v>194</v>
      </c>
      <c r="Z1330" s="164" t="s">
        <v>195</v>
      </c>
      <c r="AA1330" s="164" t="s">
        <v>196</v>
      </c>
      <c r="AB1330" s="164" t="s">
        <v>187</v>
      </c>
      <c r="AC1330" s="164" t="s">
        <v>187</v>
      </c>
      <c r="AD1330" s="165">
        <v>28</v>
      </c>
      <c r="AE1330" s="164" t="s">
        <v>209</v>
      </c>
      <c r="AF1330" s="165">
        <v>20.709009999999999</v>
      </c>
      <c r="AG1330" s="166">
        <v>105.22657</v>
      </c>
      <c r="AO1330" s="121"/>
      <c r="AT1330" s="111"/>
      <c r="AX1330" s="121"/>
    </row>
    <row r="1331" spans="1:50" s="110" customFormat="1" ht="20" customHeight="1">
      <c r="A1331" s="125" t="s">
        <v>480</v>
      </c>
      <c r="B1331" s="126" t="s">
        <v>63</v>
      </c>
      <c r="C1331" s="127">
        <v>18878</v>
      </c>
      <c r="D1331" s="163">
        <v>114799</v>
      </c>
      <c r="E1331" s="164" t="s">
        <v>1608</v>
      </c>
      <c r="F1331" s="164" t="s">
        <v>1608</v>
      </c>
      <c r="G1331" s="165">
        <v>85000</v>
      </c>
      <c r="H1331" s="165">
        <v>1</v>
      </c>
      <c r="I1331" s="164" t="s">
        <v>187</v>
      </c>
      <c r="J1331" s="164" t="s">
        <v>1607</v>
      </c>
      <c r="K1331" s="164" t="s">
        <v>1608</v>
      </c>
      <c r="L1331" s="165">
        <v>3</v>
      </c>
      <c r="M1331" s="165">
        <v>4</v>
      </c>
      <c r="N1331" s="164" t="s">
        <v>1548</v>
      </c>
      <c r="O1331" s="165">
        <v>1</v>
      </c>
      <c r="P1331" s="165">
        <v>0.16</v>
      </c>
      <c r="Q1331" s="165">
        <v>20</v>
      </c>
      <c r="R1331" s="164" t="s">
        <v>574</v>
      </c>
      <c r="S1331" s="164" t="s">
        <v>575</v>
      </c>
      <c r="T1331" s="165">
        <v>239</v>
      </c>
      <c r="U1331" s="164" t="s">
        <v>1618</v>
      </c>
      <c r="V1331" s="164" t="s">
        <v>1619</v>
      </c>
      <c r="W1331" s="165">
        <v>6</v>
      </c>
      <c r="X1331" s="165">
        <v>2</v>
      </c>
      <c r="Y1331" s="164" t="s">
        <v>194</v>
      </c>
      <c r="Z1331" s="164" t="s">
        <v>195</v>
      </c>
      <c r="AA1331" s="164" t="s">
        <v>196</v>
      </c>
      <c r="AB1331" s="164" t="s">
        <v>187</v>
      </c>
      <c r="AC1331" s="164" t="s">
        <v>187</v>
      </c>
      <c r="AD1331" s="165">
        <v>2</v>
      </c>
      <c r="AE1331" s="164" t="s">
        <v>209</v>
      </c>
      <c r="AF1331" s="165">
        <v>19.22908</v>
      </c>
      <c r="AG1331" s="166">
        <v>104.37275</v>
      </c>
      <c r="AO1331" s="121"/>
      <c r="AT1331" s="111"/>
      <c r="AX1331" s="121"/>
    </row>
    <row r="1332" spans="1:50" s="110" customFormat="1" ht="20" customHeight="1">
      <c r="A1332" s="125" t="s">
        <v>480</v>
      </c>
      <c r="B1332" s="126" t="s">
        <v>63</v>
      </c>
      <c r="C1332" s="127">
        <v>19528</v>
      </c>
      <c r="D1332" s="163">
        <v>110020</v>
      </c>
      <c r="E1332" s="164" t="s">
        <v>4565</v>
      </c>
      <c r="F1332" s="164" t="s">
        <v>4565</v>
      </c>
      <c r="G1332" s="165">
        <v>84000</v>
      </c>
      <c r="H1332" s="165">
        <v>1</v>
      </c>
      <c r="I1332" s="164" t="s">
        <v>187</v>
      </c>
      <c r="J1332" s="164" t="s">
        <v>4566</v>
      </c>
      <c r="K1332" s="164" t="s">
        <v>4565</v>
      </c>
      <c r="L1332" s="165">
        <v>0</v>
      </c>
      <c r="M1332" s="165">
        <v>4</v>
      </c>
      <c r="N1332" s="164" t="s">
        <v>1548</v>
      </c>
      <c r="O1332" s="165">
        <v>0</v>
      </c>
      <c r="P1332" s="165">
        <v>0</v>
      </c>
      <c r="Q1332" s="165">
        <v>20</v>
      </c>
      <c r="R1332" s="164" t="s">
        <v>574</v>
      </c>
      <c r="S1332" s="164" t="s">
        <v>575</v>
      </c>
      <c r="T1332" s="165">
        <v>239</v>
      </c>
      <c r="U1332" s="164" t="s">
        <v>1618</v>
      </c>
      <c r="V1332" s="164" t="s">
        <v>1619</v>
      </c>
      <c r="W1332" s="165">
        <v>1</v>
      </c>
      <c r="X1332" s="165">
        <v>2</v>
      </c>
      <c r="Y1332" s="164" t="s">
        <v>194</v>
      </c>
      <c r="Z1332" s="164" t="s">
        <v>195</v>
      </c>
      <c r="AA1332" s="164" t="s">
        <v>196</v>
      </c>
      <c r="AB1332" s="164" t="s">
        <v>187</v>
      </c>
      <c r="AC1332" s="164" t="s">
        <v>187</v>
      </c>
      <c r="AD1332" s="165">
        <v>2</v>
      </c>
      <c r="AE1332" s="164" t="s">
        <v>187</v>
      </c>
      <c r="AF1332" s="165">
        <v>19.325530000000001</v>
      </c>
      <c r="AG1332" s="166">
        <v>105.34679</v>
      </c>
      <c r="AO1332" s="121"/>
      <c r="AT1332" s="111"/>
      <c r="AX1332" s="121"/>
    </row>
    <row r="1333" spans="1:50" s="110" customFormat="1" ht="20" customHeight="1">
      <c r="A1333" s="125" t="s">
        <v>480</v>
      </c>
      <c r="B1333" s="126" t="s">
        <v>63</v>
      </c>
      <c r="C1333" s="127">
        <v>12573</v>
      </c>
      <c r="D1333" s="163">
        <v>104746</v>
      </c>
      <c r="E1333" s="164" t="s">
        <v>4477</v>
      </c>
      <c r="F1333" s="164" t="s">
        <v>4477</v>
      </c>
      <c r="G1333" s="165">
        <v>62000</v>
      </c>
      <c r="H1333" s="165">
        <v>1</v>
      </c>
      <c r="I1333" s="164" t="s">
        <v>187</v>
      </c>
      <c r="J1333" s="164" t="s">
        <v>4478</v>
      </c>
      <c r="K1333" s="164" t="s">
        <v>4477</v>
      </c>
      <c r="L1333" s="165">
        <v>4</v>
      </c>
      <c r="M1333" s="165">
        <v>4</v>
      </c>
      <c r="N1333" s="164" t="s">
        <v>1548</v>
      </c>
      <c r="O1333" s="165">
        <v>1</v>
      </c>
      <c r="P1333" s="165">
        <v>0.85</v>
      </c>
      <c r="Q1333" s="165">
        <v>20</v>
      </c>
      <c r="R1333" s="164" t="s">
        <v>574</v>
      </c>
      <c r="S1333" s="164" t="s">
        <v>575</v>
      </c>
      <c r="T1333" s="165">
        <v>239</v>
      </c>
      <c r="U1333" s="164" t="s">
        <v>1618</v>
      </c>
      <c r="V1333" s="164" t="s">
        <v>1619</v>
      </c>
      <c r="W1333" s="165">
        <v>1</v>
      </c>
      <c r="X1333" s="165">
        <v>2</v>
      </c>
      <c r="Y1333" s="164" t="s">
        <v>194</v>
      </c>
      <c r="Z1333" s="164" t="s">
        <v>195</v>
      </c>
      <c r="AA1333" s="164" t="s">
        <v>196</v>
      </c>
      <c r="AB1333" s="164" t="s">
        <v>187</v>
      </c>
      <c r="AC1333" s="164" t="s">
        <v>187</v>
      </c>
      <c r="AD1333" s="165">
        <v>1</v>
      </c>
      <c r="AE1333" s="164" t="s">
        <v>209</v>
      </c>
      <c r="AF1333" s="165">
        <v>15.855339999741201</v>
      </c>
      <c r="AG1333" s="166">
        <v>107.64367000027001</v>
      </c>
      <c r="AO1333" s="121"/>
      <c r="AT1333" s="111"/>
      <c r="AX1333" s="121"/>
    </row>
    <row r="1334" spans="1:50" s="110" customFormat="1" ht="20" customHeight="1">
      <c r="A1334" s="125" t="s">
        <v>480</v>
      </c>
      <c r="B1334" s="126" t="s">
        <v>63</v>
      </c>
      <c r="C1334" s="127">
        <v>14485</v>
      </c>
      <c r="D1334" s="163">
        <v>108192</v>
      </c>
      <c r="E1334" s="164" t="s">
        <v>2990</v>
      </c>
      <c r="F1334" s="164" t="s">
        <v>2990</v>
      </c>
      <c r="G1334" s="165">
        <v>24000</v>
      </c>
      <c r="H1334" s="165">
        <v>1</v>
      </c>
      <c r="I1334" s="164" t="s">
        <v>187</v>
      </c>
      <c r="J1334" s="164" t="s">
        <v>2992</v>
      </c>
      <c r="K1334" s="164" t="s">
        <v>2991</v>
      </c>
      <c r="L1334" s="165">
        <v>1</v>
      </c>
      <c r="M1334" s="165">
        <v>4</v>
      </c>
      <c r="N1334" s="164" t="s">
        <v>1548</v>
      </c>
      <c r="O1334" s="165">
        <v>0</v>
      </c>
      <c r="P1334" s="165">
        <v>0</v>
      </c>
      <c r="Q1334" s="165">
        <v>20</v>
      </c>
      <c r="R1334" s="164" t="s">
        <v>574</v>
      </c>
      <c r="S1334" s="164" t="s">
        <v>575</v>
      </c>
      <c r="T1334" s="165">
        <v>239</v>
      </c>
      <c r="U1334" s="164" t="s">
        <v>1618</v>
      </c>
      <c r="V1334" s="164" t="s">
        <v>1619</v>
      </c>
      <c r="W1334" s="165">
        <v>3</v>
      </c>
      <c r="X1334" s="165">
        <v>2</v>
      </c>
      <c r="Y1334" s="164" t="s">
        <v>194</v>
      </c>
      <c r="Z1334" s="164" t="s">
        <v>195</v>
      </c>
      <c r="AA1334" s="164" t="s">
        <v>196</v>
      </c>
      <c r="AB1334" s="164" t="s">
        <v>187</v>
      </c>
      <c r="AC1334" s="164" t="s">
        <v>187</v>
      </c>
      <c r="AD1334" s="165">
        <v>1</v>
      </c>
      <c r="AE1334" s="164" t="s">
        <v>187</v>
      </c>
      <c r="AF1334" s="165">
        <v>21.028089999999999</v>
      </c>
      <c r="AG1334" s="166">
        <v>104.02589999999999</v>
      </c>
      <c r="AO1334" s="121"/>
      <c r="AT1334" s="111"/>
      <c r="AX1334" s="121"/>
    </row>
    <row r="1335" spans="1:50" s="110" customFormat="1" ht="20" customHeight="1">
      <c r="A1335" s="125" t="s">
        <v>480</v>
      </c>
      <c r="B1335" s="126" t="s">
        <v>63</v>
      </c>
      <c r="C1335" s="127">
        <v>15260</v>
      </c>
      <c r="D1335" s="163">
        <v>109837</v>
      </c>
      <c r="E1335" s="164" t="s">
        <v>4100</v>
      </c>
      <c r="F1335" s="164" t="s">
        <v>4101</v>
      </c>
      <c r="G1335" s="165">
        <v>22000</v>
      </c>
      <c r="H1335" s="165">
        <v>1</v>
      </c>
      <c r="I1335" s="164" t="s">
        <v>187</v>
      </c>
      <c r="J1335" s="164" t="s">
        <v>4102</v>
      </c>
      <c r="K1335" s="164" t="s">
        <v>4103</v>
      </c>
      <c r="L1335" s="165">
        <v>3</v>
      </c>
      <c r="M1335" s="165">
        <v>4</v>
      </c>
      <c r="N1335" s="164" t="s">
        <v>1548</v>
      </c>
      <c r="O1335" s="165">
        <v>2</v>
      </c>
      <c r="P1335" s="165">
        <v>0.75</v>
      </c>
      <c r="Q1335" s="165">
        <v>20</v>
      </c>
      <c r="R1335" s="164" t="s">
        <v>574</v>
      </c>
      <c r="S1335" s="164" t="s">
        <v>575</v>
      </c>
      <c r="T1335" s="165">
        <v>239</v>
      </c>
      <c r="U1335" s="164" t="s">
        <v>1618</v>
      </c>
      <c r="V1335" s="164" t="s">
        <v>1619</v>
      </c>
      <c r="W1335" s="165">
        <v>2</v>
      </c>
      <c r="X1335" s="165">
        <v>2</v>
      </c>
      <c r="Y1335" s="164" t="s">
        <v>194</v>
      </c>
      <c r="Z1335" s="164" t="s">
        <v>195</v>
      </c>
      <c r="AA1335" s="164" t="s">
        <v>196</v>
      </c>
      <c r="AB1335" s="164" t="s">
        <v>187</v>
      </c>
      <c r="AC1335" s="164" t="s">
        <v>187</v>
      </c>
      <c r="AD1335" s="165">
        <v>1</v>
      </c>
      <c r="AE1335" s="164" t="s">
        <v>209</v>
      </c>
      <c r="AF1335" s="165">
        <v>16.172399999860101</v>
      </c>
      <c r="AG1335" s="166">
        <v>107.207530000009</v>
      </c>
      <c r="AO1335" s="121"/>
      <c r="AT1335" s="111"/>
      <c r="AX1335" s="121"/>
    </row>
    <row r="1336" spans="1:50" s="110" customFormat="1" ht="20" customHeight="1">
      <c r="A1336" s="125" t="s">
        <v>480</v>
      </c>
      <c r="B1336" s="126" t="s">
        <v>63</v>
      </c>
      <c r="C1336" s="127">
        <v>14249</v>
      </c>
      <c r="D1336" s="163">
        <v>107730</v>
      </c>
      <c r="E1336" s="164" t="s">
        <v>2275</v>
      </c>
      <c r="F1336" s="164" t="s">
        <v>2275</v>
      </c>
      <c r="G1336" s="165">
        <v>19000</v>
      </c>
      <c r="H1336" s="165">
        <v>1</v>
      </c>
      <c r="I1336" s="164" t="s">
        <v>187</v>
      </c>
      <c r="J1336" s="164" t="s">
        <v>2274</v>
      </c>
      <c r="K1336" s="164" t="s">
        <v>2275</v>
      </c>
      <c r="L1336" s="165">
        <v>4</v>
      </c>
      <c r="M1336" s="165">
        <v>4</v>
      </c>
      <c r="N1336" s="164" t="s">
        <v>1548</v>
      </c>
      <c r="O1336" s="165">
        <v>2</v>
      </c>
      <c r="P1336" s="165">
        <v>0.17</v>
      </c>
      <c r="Q1336" s="165">
        <v>20</v>
      </c>
      <c r="R1336" s="164" t="s">
        <v>574</v>
      </c>
      <c r="S1336" s="164" t="s">
        <v>575</v>
      </c>
      <c r="T1336" s="165">
        <v>239</v>
      </c>
      <c r="U1336" s="164" t="s">
        <v>1618</v>
      </c>
      <c r="V1336" s="164" t="s">
        <v>1619</v>
      </c>
      <c r="W1336" s="165">
        <v>2</v>
      </c>
      <c r="X1336" s="165">
        <v>2</v>
      </c>
      <c r="Y1336" s="164" t="s">
        <v>194</v>
      </c>
      <c r="Z1336" s="164" t="s">
        <v>195</v>
      </c>
      <c r="AA1336" s="164" t="s">
        <v>196</v>
      </c>
      <c r="AB1336" s="164" t="s">
        <v>187</v>
      </c>
      <c r="AC1336" s="164" t="s">
        <v>187</v>
      </c>
      <c r="AD1336" s="165">
        <v>1</v>
      </c>
      <c r="AE1336" s="164" t="s">
        <v>209</v>
      </c>
      <c r="AF1336" s="165">
        <v>16.4439900003382</v>
      </c>
      <c r="AG1336" s="166">
        <v>107.12867999978199</v>
      </c>
      <c r="AO1336" s="121"/>
      <c r="AT1336" s="111"/>
      <c r="AX1336" s="121"/>
    </row>
    <row r="1337" spans="1:50" s="110" customFormat="1" ht="20" customHeight="1">
      <c r="A1337" s="125" t="s">
        <v>480</v>
      </c>
      <c r="B1337" s="126" t="s">
        <v>63</v>
      </c>
      <c r="C1337" s="127">
        <v>20454</v>
      </c>
      <c r="D1337" s="163">
        <v>110190</v>
      </c>
      <c r="E1337" s="164" t="s">
        <v>4030</v>
      </c>
      <c r="F1337" s="164" t="s">
        <v>4030</v>
      </c>
      <c r="G1337" s="165">
        <v>19000</v>
      </c>
      <c r="H1337" s="165">
        <v>1</v>
      </c>
      <c r="I1337" s="164" t="s">
        <v>187</v>
      </c>
      <c r="J1337" s="164" t="s">
        <v>4031</v>
      </c>
      <c r="K1337" s="164" t="s">
        <v>4030</v>
      </c>
      <c r="L1337" s="165">
        <v>0</v>
      </c>
      <c r="M1337" s="165">
        <v>4</v>
      </c>
      <c r="N1337" s="164" t="s">
        <v>1548</v>
      </c>
      <c r="O1337" s="165">
        <v>5</v>
      </c>
      <c r="P1337" s="165">
        <v>0.4</v>
      </c>
      <c r="Q1337" s="165">
        <v>20</v>
      </c>
      <c r="R1337" s="164" t="s">
        <v>574</v>
      </c>
      <c r="S1337" s="164" t="s">
        <v>575</v>
      </c>
      <c r="T1337" s="165">
        <v>239</v>
      </c>
      <c r="U1337" s="164" t="s">
        <v>1618</v>
      </c>
      <c r="V1337" s="164" t="s">
        <v>1619</v>
      </c>
      <c r="W1337" s="165">
        <v>1</v>
      </c>
      <c r="X1337" s="165">
        <v>2</v>
      </c>
      <c r="Y1337" s="164" t="s">
        <v>194</v>
      </c>
      <c r="Z1337" s="164" t="s">
        <v>195</v>
      </c>
      <c r="AA1337" s="164" t="s">
        <v>196</v>
      </c>
      <c r="AB1337" s="164" t="s">
        <v>187</v>
      </c>
      <c r="AC1337" s="164" t="s">
        <v>187</v>
      </c>
      <c r="AD1337" s="165">
        <v>1</v>
      </c>
      <c r="AE1337" s="164" t="s">
        <v>209</v>
      </c>
      <c r="AF1337" s="165">
        <v>15.500219999953</v>
      </c>
      <c r="AG1337" s="166">
        <v>107.515450000417</v>
      </c>
      <c r="AO1337" s="121"/>
      <c r="AT1337" s="111"/>
      <c r="AX1337" s="121"/>
    </row>
    <row r="1338" spans="1:50" s="110" customFormat="1" ht="20" customHeight="1">
      <c r="A1338" s="125" t="s">
        <v>480</v>
      </c>
      <c r="B1338" s="126" t="s">
        <v>63</v>
      </c>
      <c r="C1338" s="127">
        <v>12651</v>
      </c>
      <c r="D1338" s="163">
        <v>104900</v>
      </c>
      <c r="E1338" s="164" t="s">
        <v>3910</v>
      </c>
      <c r="F1338" s="164" t="s">
        <v>3910</v>
      </c>
      <c r="G1338" s="165">
        <v>15000</v>
      </c>
      <c r="H1338" s="165">
        <v>1</v>
      </c>
      <c r="I1338" s="164" t="s">
        <v>187</v>
      </c>
      <c r="J1338" s="164" t="s">
        <v>3911</v>
      </c>
      <c r="K1338" s="164" t="s">
        <v>3910</v>
      </c>
      <c r="L1338" s="165">
        <v>3</v>
      </c>
      <c r="M1338" s="165">
        <v>4</v>
      </c>
      <c r="N1338" s="164" t="s">
        <v>1548</v>
      </c>
      <c r="O1338" s="165">
        <v>0.5</v>
      </c>
      <c r="P1338" s="165">
        <v>0.04</v>
      </c>
      <c r="Q1338" s="165">
        <v>20</v>
      </c>
      <c r="R1338" s="164" t="s">
        <v>574</v>
      </c>
      <c r="S1338" s="164" t="s">
        <v>575</v>
      </c>
      <c r="T1338" s="165">
        <v>239</v>
      </c>
      <c r="U1338" s="164" t="s">
        <v>1618</v>
      </c>
      <c r="V1338" s="164" t="s">
        <v>1619</v>
      </c>
      <c r="W1338" s="165">
        <v>1</v>
      </c>
      <c r="X1338" s="165">
        <v>2</v>
      </c>
      <c r="Y1338" s="164" t="s">
        <v>194</v>
      </c>
      <c r="Z1338" s="164" t="s">
        <v>195</v>
      </c>
      <c r="AA1338" s="164" t="s">
        <v>196</v>
      </c>
      <c r="AB1338" s="164" t="s">
        <v>187</v>
      </c>
      <c r="AC1338" s="164" t="s">
        <v>187</v>
      </c>
      <c r="AD1338" s="165">
        <v>1</v>
      </c>
      <c r="AE1338" s="164" t="s">
        <v>209</v>
      </c>
      <c r="AF1338" s="165">
        <v>21.705020000000001</v>
      </c>
      <c r="AG1338" s="166">
        <v>103.73436</v>
      </c>
      <c r="AO1338" s="121"/>
      <c r="AT1338" s="111"/>
      <c r="AX1338" s="121"/>
    </row>
    <row r="1339" spans="1:50" s="110" customFormat="1" ht="20" customHeight="1">
      <c r="A1339" s="125" t="s">
        <v>480</v>
      </c>
      <c r="B1339" s="126" t="s">
        <v>63</v>
      </c>
      <c r="C1339" s="127">
        <v>13601</v>
      </c>
      <c r="D1339" s="163">
        <v>106436</v>
      </c>
      <c r="E1339" s="164" t="s">
        <v>1697</v>
      </c>
      <c r="F1339" s="164" t="s">
        <v>1697</v>
      </c>
      <c r="G1339" s="165">
        <v>6700</v>
      </c>
      <c r="H1339" s="165">
        <v>1</v>
      </c>
      <c r="I1339" s="164" t="s">
        <v>187</v>
      </c>
      <c r="J1339" s="164" t="s">
        <v>1696</v>
      </c>
      <c r="K1339" s="164" t="s">
        <v>1697</v>
      </c>
      <c r="L1339" s="165">
        <v>0</v>
      </c>
      <c r="M1339" s="165">
        <v>4</v>
      </c>
      <c r="N1339" s="164" t="s">
        <v>1548</v>
      </c>
      <c r="O1339" s="165">
        <v>0.5</v>
      </c>
      <c r="P1339" s="165">
        <v>0</v>
      </c>
      <c r="Q1339" s="165">
        <v>20</v>
      </c>
      <c r="R1339" s="164" t="s">
        <v>574</v>
      </c>
      <c r="S1339" s="164" t="s">
        <v>575</v>
      </c>
      <c r="T1339" s="165">
        <v>239</v>
      </c>
      <c r="U1339" s="164" t="s">
        <v>1618</v>
      </c>
      <c r="V1339" s="164" t="s">
        <v>1619</v>
      </c>
      <c r="W1339" s="165">
        <v>2</v>
      </c>
      <c r="X1339" s="165">
        <v>2</v>
      </c>
      <c r="Y1339" s="164" t="s">
        <v>194</v>
      </c>
      <c r="Z1339" s="164" t="s">
        <v>195</v>
      </c>
      <c r="AA1339" s="164" t="s">
        <v>196</v>
      </c>
      <c r="AB1339" s="164" t="s">
        <v>187</v>
      </c>
      <c r="AC1339" s="164" t="s">
        <v>187</v>
      </c>
      <c r="AD1339" s="165">
        <v>1</v>
      </c>
      <c r="AE1339" s="164" t="s">
        <v>209</v>
      </c>
      <c r="AF1339" s="165">
        <v>17.740650000197299</v>
      </c>
      <c r="AG1339" s="166">
        <v>105.78464999989799</v>
      </c>
      <c r="AO1339" s="121"/>
      <c r="AT1339" s="111"/>
      <c r="AX1339" s="121"/>
    </row>
    <row r="1340" spans="1:50" s="110" customFormat="1" ht="20" customHeight="1">
      <c r="A1340" s="125" t="s">
        <v>480</v>
      </c>
      <c r="B1340" s="126" t="s">
        <v>63</v>
      </c>
      <c r="C1340" s="127">
        <v>12668</v>
      </c>
      <c r="D1340" s="163">
        <v>104970</v>
      </c>
      <c r="E1340" s="164" t="s">
        <v>3089</v>
      </c>
      <c r="F1340" s="164" t="s">
        <v>3089</v>
      </c>
      <c r="G1340" s="165">
        <v>5300</v>
      </c>
      <c r="H1340" s="165">
        <v>1</v>
      </c>
      <c r="I1340" s="164" t="s">
        <v>187</v>
      </c>
      <c r="J1340" s="164" t="s">
        <v>3090</v>
      </c>
      <c r="K1340" s="164" t="s">
        <v>3089</v>
      </c>
      <c r="L1340" s="165">
        <v>1</v>
      </c>
      <c r="M1340" s="165">
        <v>4</v>
      </c>
      <c r="N1340" s="164" t="s">
        <v>1548</v>
      </c>
      <c r="O1340" s="165">
        <v>1</v>
      </c>
      <c r="P1340" s="165">
        <v>0</v>
      </c>
      <c r="Q1340" s="165">
        <v>20</v>
      </c>
      <c r="R1340" s="164" t="s">
        <v>574</v>
      </c>
      <c r="S1340" s="164" t="s">
        <v>575</v>
      </c>
      <c r="T1340" s="165">
        <v>239</v>
      </c>
      <c r="U1340" s="164" t="s">
        <v>1618</v>
      </c>
      <c r="V1340" s="164" t="s">
        <v>1619</v>
      </c>
      <c r="W1340" s="165">
        <v>2</v>
      </c>
      <c r="X1340" s="165">
        <v>2</v>
      </c>
      <c r="Y1340" s="164" t="s">
        <v>194</v>
      </c>
      <c r="Z1340" s="164" t="s">
        <v>195</v>
      </c>
      <c r="AA1340" s="164" t="s">
        <v>196</v>
      </c>
      <c r="AB1340" s="164" t="s">
        <v>187</v>
      </c>
      <c r="AC1340" s="164" t="s">
        <v>187</v>
      </c>
      <c r="AD1340" s="165">
        <v>1</v>
      </c>
      <c r="AE1340" s="164" t="s">
        <v>209</v>
      </c>
      <c r="AF1340" s="165">
        <v>17.54467</v>
      </c>
      <c r="AG1340" s="166">
        <v>106.13211</v>
      </c>
      <c r="AO1340" s="121"/>
      <c r="AT1340" s="111"/>
      <c r="AX1340" s="121"/>
    </row>
    <row r="1341" spans="1:50" s="110" customFormat="1" ht="20" customHeight="1">
      <c r="A1341" s="125" t="s">
        <v>480</v>
      </c>
      <c r="B1341" s="126" t="s">
        <v>63</v>
      </c>
      <c r="C1341" s="127">
        <v>13495</v>
      </c>
      <c r="D1341" s="163">
        <v>106238</v>
      </c>
      <c r="E1341" s="164" t="s">
        <v>3066</v>
      </c>
      <c r="F1341" s="164" t="s">
        <v>3066</v>
      </c>
      <c r="G1341" s="165">
        <v>4100</v>
      </c>
      <c r="H1341" s="165">
        <v>1</v>
      </c>
      <c r="I1341" s="164" t="s">
        <v>187</v>
      </c>
      <c r="J1341" s="164" t="s">
        <v>3067</v>
      </c>
      <c r="K1341" s="164" t="s">
        <v>3066</v>
      </c>
      <c r="L1341" s="165">
        <v>1</v>
      </c>
      <c r="M1341" s="165">
        <v>4</v>
      </c>
      <c r="N1341" s="164" t="s">
        <v>1548</v>
      </c>
      <c r="O1341" s="165">
        <v>1</v>
      </c>
      <c r="P1341" s="165">
        <v>0.83</v>
      </c>
      <c r="Q1341" s="165">
        <v>20</v>
      </c>
      <c r="R1341" s="164" t="s">
        <v>574</v>
      </c>
      <c r="S1341" s="164" t="s">
        <v>575</v>
      </c>
      <c r="T1341" s="165">
        <v>239</v>
      </c>
      <c r="U1341" s="164" t="s">
        <v>1618</v>
      </c>
      <c r="V1341" s="164" t="s">
        <v>1619</v>
      </c>
      <c r="W1341" s="165">
        <v>2</v>
      </c>
      <c r="X1341" s="165">
        <v>2</v>
      </c>
      <c r="Y1341" s="164" t="s">
        <v>194</v>
      </c>
      <c r="Z1341" s="164" t="s">
        <v>195</v>
      </c>
      <c r="AA1341" s="164" t="s">
        <v>196</v>
      </c>
      <c r="AB1341" s="164" t="s">
        <v>187</v>
      </c>
      <c r="AC1341" s="164" t="s">
        <v>187</v>
      </c>
      <c r="AD1341" s="165">
        <v>1</v>
      </c>
      <c r="AE1341" s="164" t="s">
        <v>209</v>
      </c>
      <c r="AF1341" s="165">
        <v>22.393920000000001</v>
      </c>
      <c r="AG1341" s="166">
        <v>103.14384</v>
      </c>
      <c r="AO1341" s="121"/>
      <c r="AT1341" s="111"/>
      <c r="AX1341" s="121"/>
    </row>
    <row r="1342" spans="1:50" s="110" customFormat="1" ht="20" customHeight="1">
      <c r="A1342" s="125" t="s">
        <v>480</v>
      </c>
      <c r="B1342" s="126" t="s">
        <v>63</v>
      </c>
      <c r="C1342" s="127">
        <v>13375</v>
      </c>
      <c r="D1342" s="163">
        <v>107292</v>
      </c>
      <c r="E1342" s="164" t="s">
        <v>2202</v>
      </c>
      <c r="F1342" s="164" t="s">
        <v>2202</v>
      </c>
      <c r="G1342" s="165">
        <v>2300</v>
      </c>
      <c r="H1342" s="165">
        <v>1</v>
      </c>
      <c r="I1342" s="164" t="s">
        <v>187</v>
      </c>
      <c r="J1342" s="164" t="s">
        <v>2203</v>
      </c>
      <c r="K1342" s="164" t="s">
        <v>2202</v>
      </c>
      <c r="L1342" s="165">
        <v>1</v>
      </c>
      <c r="M1342" s="165">
        <v>4</v>
      </c>
      <c r="N1342" s="164" t="s">
        <v>1548</v>
      </c>
      <c r="O1342" s="165">
        <v>0</v>
      </c>
      <c r="P1342" s="165">
        <v>0</v>
      </c>
      <c r="Q1342" s="165">
        <v>20</v>
      </c>
      <c r="R1342" s="164" t="s">
        <v>574</v>
      </c>
      <c r="S1342" s="164" t="s">
        <v>575</v>
      </c>
      <c r="T1342" s="165">
        <v>239</v>
      </c>
      <c r="U1342" s="164" t="s">
        <v>1618</v>
      </c>
      <c r="V1342" s="164" t="s">
        <v>1619</v>
      </c>
      <c r="W1342" s="165">
        <v>2</v>
      </c>
      <c r="X1342" s="165">
        <v>2</v>
      </c>
      <c r="Y1342" s="164" t="s">
        <v>194</v>
      </c>
      <c r="Z1342" s="164" t="s">
        <v>195</v>
      </c>
      <c r="AA1342" s="164" t="s">
        <v>196</v>
      </c>
      <c r="AB1342" s="164" t="s">
        <v>187</v>
      </c>
      <c r="AC1342" s="164" t="s">
        <v>187</v>
      </c>
      <c r="AD1342" s="165">
        <v>1</v>
      </c>
      <c r="AE1342" s="164" t="s">
        <v>187</v>
      </c>
      <c r="AF1342" s="165">
        <v>17.733840000000001</v>
      </c>
      <c r="AG1342" s="166">
        <v>105.94156</v>
      </c>
      <c r="AO1342" s="121"/>
      <c r="AT1342" s="111"/>
      <c r="AX1342" s="121"/>
    </row>
    <row r="1343" spans="1:50" s="110" customFormat="1" ht="20" customHeight="1">
      <c r="A1343" s="125" t="s">
        <v>480</v>
      </c>
      <c r="B1343" s="126" t="s">
        <v>63</v>
      </c>
      <c r="C1343" s="127">
        <v>16144</v>
      </c>
      <c r="D1343" s="163">
        <v>111241</v>
      </c>
      <c r="E1343" s="164" t="s">
        <v>2044</v>
      </c>
      <c r="F1343" s="164" t="s">
        <v>2044</v>
      </c>
      <c r="G1343" s="165">
        <v>1200</v>
      </c>
      <c r="H1343" s="165">
        <v>1</v>
      </c>
      <c r="I1343" s="164" t="s">
        <v>187</v>
      </c>
      <c r="J1343" s="164" t="s">
        <v>2045</v>
      </c>
      <c r="K1343" s="164" t="s">
        <v>2044</v>
      </c>
      <c r="L1343" s="165">
        <v>1</v>
      </c>
      <c r="M1343" s="165">
        <v>4</v>
      </c>
      <c r="N1343" s="164" t="s">
        <v>1548</v>
      </c>
      <c r="O1343" s="165">
        <v>0</v>
      </c>
      <c r="P1343" s="165">
        <v>0</v>
      </c>
      <c r="Q1343" s="165">
        <v>20</v>
      </c>
      <c r="R1343" s="164" t="s">
        <v>574</v>
      </c>
      <c r="S1343" s="164" t="s">
        <v>575</v>
      </c>
      <c r="T1343" s="165">
        <v>239</v>
      </c>
      <c r="U1343" s="164" t="s">
        <v>1618</v>
      </c>
      <c r="V1343" s="164" t="s">
        <v>1619</v>
      </c>
      <c r="W1343" s="165">
        <v>2</v>
      </c>
      <c r="X1343" s="165">
        <v>2</v>
      </c>
      <c r="Y1343" s="164" t="s">
        <v>194</v>
      </c>
      <c r="Z1343" s="164" t="s">
        <v>195</v>
      </c>
      <c r="AA1343" s="164" t="s">
        <v>196</v>
      </c>
      <c r="AB1343" s="164" t="s">
        <v>187</v>
      </c>
      <c r="AC1343" s="164" t="s">
        <v>187</v>
      </c>
      <c r="AD1343" s="165">
        <v>1</v>
      </c>
      <c r="AE1343" s="164" t="s">
        <v>187</v>
      </c>
      <c r="AF1343" s="165">
        <v>21.023097</v>
      </c>
      <c r="AG1343" s="166">
        <v>105.834632</v>
      </c>
      <c r="AO1343" s="121"/>
      <c r="AT1343" s="111"/>
      <c r="AX1343" s="121"/>
    </row>
    <row r="1344" spans="1:50" s="110" customFormat="1" ht="20" customHeight="1">
      <c r="A1344" s="125" t="s">
        <v>480</v>
      </c>
      <c r="B1344" s="126" t="s">
        <v>63</v>
      </c>
      <c r="C1344" s="127">
        <v>12153</v>
      </c>
      <c r="D1344" s="163">
        <v>103916</v>
      </c>
      <c r="E1344" s="164" t="s">
        <v>2294</v>
      </c>
      <c r="F1344" s="164" t="s">
        <v>2294</v>
      </c>
      <c r="G1344" s="165">
        <v>900</v>
      </c>
      <c r="H1344" s="165">
        <v>1</v>
      </c>
      <c r="I1344" s="164" t="s">
        <v>187</v>
      </c>
      <c r="J1344" s="164" t="s">
        <v>2295</v>
      </c>
      <c r="K1344" s="164" t="s">
        <v>2294</v>
      </c>
      <c r="L1344" s="165">
        <v>0</v>
      </c>
      <c r="M1344" s="165">
        <v>4</v>
      </c>
      <c r="N1344" s="164" t="s">
        <v>1548</v>
      </c>
      <c r="O1344" s="165">
        <v>2</v>
      </c>
      <c r="P1344" s="165">
        <v>0</v>
      </c>
      <c r="Q1344" s="165">
        <v>20</v>
      </c>
      <c r="R1344" s="164" t="s">
        <v>574</v>
      </c>
      <c r="S1344" s="164" t="s">
        <v>575</v>
      </c>
      <c r="T1344" s="165">
        <v>239</v>
      </c>
      <c r="U1344" s="164" t="s">
        <v>1618</v>
      </c>
      <c r="V1344" s="164" t="s">
        <v>1619</v>
      </c>
      <c r="W1344" s="165">
        <v>2</v>
      </c>
      <c r="X1344" s="165">
        <v>2</v>
      </c>
      <c r="Y1344" s="164" t="s">
        <v>194</v>
      </c>
      <c r="Z1344" s="164" t="s">
        <v>195</v>
      </c>
      <c r="AA1344" s="164" t="s">
        <v>196</v>
      </c>
      <c r="AB1344" s="164" t="s">
        <v>187</v>
      </c>
      <c r="AC1344" s="164" t="s">
        <v>187</v>
      </c>
      <c r="AD1344" s="165">
        <v>1</v>
      </c>
      <c r="AE1344" s="164" t="s">
        <v>209</v>
      </c>
      <c r="AF1344" s="165">
        <v>18.876280000000001</v>
      </c>
      <c r="AG1344" s="166">
        <v>104.77041</v>
      </c>
      <c r="AO1344" s="121"/>
      <c r="AT1344" s="111"/>
      <c r="AX1344" s="121"/>
    </row>
    <row r="1345" spans="1:50" s="110" customFormat="1" ht="20" customHeight="1">
      <c r="A1345" s="125" t="s">
        <v>480</v>
      </c>
      <c r="B1345" s="126" t="s">
        <v>63</v>
      </c>
      <c r="C1345" s="127">
        <v>14569</v>
      </c>
      <c r="D1345" s="163">
        <v>108396</v>
      </c>
      <c r="E1345" s="164" t="s">
        <v>2004</v>
      </c>
      <c r="F1345" s="164" t="s">
        <v>2004</v>
      </c>
      <c r="G1345" s="165">
        <v>500</v>
      </c>
      <c r="H1345" s="165">
        <v>1</v>
      </c>
      <c r="I1345" s="164" t="s">
        <v>187</v>
      </c>
      <c r="J1345" s="164" t="s">
        <v>2005</v>
      </c>
      <c r="K1345" s="164" t="s">
        <v>2004</v>
      </c>
      <c r="L1345" s="165">
        <v>1</v>
      </c>
      <c r="M1345" s="165">
        <v>4</v>
      </c>
      <c r="N1345" s="164" t="s">
        <v>1548</v>
      </c>
      <c r="O1345" s="165">
        <v>5</v>
      </c>
      <c r="P1345" s="165">
        <v>0</v>
      </c>
      <c r="Q1345" s="165">
        <v>20</v>
      </c>
      <c r="R1345" s="164" t="s">
        <v>574</v>
      </c>
      <c r="S1345" s="164" t="s">
        <v>575</v>
      </c>
      <c r="T1345" s="165">
        <v>239</v>
      </c>
      <c r="U1345" s="164" t="s">
        <v>1618</v>
      </c>
      <c r="V1345" s="164" t="s">
        <v>1619</v>
      </c>
      <c r="W1345" s="165">
        <v>1</v>
      </c>
      <c r="X1345" s="165">
        <v>2</v>
      </c>
      <c r="Y1345" s="164" t="s">
        <v>194</v>
      </c>
      <c r="Z1345" s="164" t="s">
        <v>195</v>
      </c>
      <c r="AA1345" s="164" t="s">
        <v>196</v>
      </c>
      <c r="AB1345" s="164" t="s">
        <v>187</v>
      </c>
      <c r="AC1345" s="164" t="s">
        <v>187</v>
      </c>
      <c r="AD1345" s="165">
        <v>1</v>
      </c>
      <c r="AE1345" s="164" t="s">
        <v>209</v>
      </c>
      <c r="AF1345" s="165">
        <v>14.333460000000001</v>
      </c>
      <c r="AG1345" s="166">
        <v>107.44915</v>
      </c>
      <c r="AO1345" s="121"/>
      <c r="AT1345" s="111"/>
      <c r="AX1345" s="121"/>
    </row>
    <row r="1346" spans="1:50" s="110" customFormat="1" ht="20" customHeight="1">
      <c r="A1346" s="125" t="s">
        <v>480</v>
      </c>
      <c r="B1346" s="126" t="s">
        <v>63</v>
      </c>
      <c r="C1346" s="127">
        <v>19580</v>
      </c>
      <c r="D1346" s="163">
        <v>115544</v>
      </c>
      <c r="E1346" s="164" t="s">
        <v>1908</v>
      </c>
      <c r="F1346" s="164" t="s">
        <v>1908</v>
      </c>
      <c r="G1346" s="165">
        <v>400</v>
      </c>
      <c r="H1346" s="165">
        <v>1</v>
      </c>
      <c r="I1346" s="164" t="s">
        <v>187</v>
      </c>
      <c r="J1346" s="164" t="s">
        <v>1909</v>
      </c>
      <c r="K1346" s="164" t="s">
        <v>1908</v>
      </c>
      <c r="L1346" s="165">
        <v>1</v>
      </c>
      <c r="M1346" s="165">
        <v>4</v>
      </c>
      <c r="N1346" s="164" t="s">
        <v>1548</v>
      </c>
      <c r="O1346" s="165">
        <v>3</v>
      </c>
      <c r="P1346" s="165">
        <v>0</v>
      </c>
      <c r="Q1346" s="165">
        <v>20</v>
      </c>
      <c r="R1346" s="164" t="s">
        <v>574</v>
      </c>
      <c r="S1346" s="164" t="s">
        <v>575</v>
      </c>
      <c r="T1346" s="165">
        <v>239</v>
      </c>
      <c r="U1346" s="164" t="s">
        <v>1618</v>
      </c>
      <c r="V1346" s="164" t="s">
        <v>1619</v>
      </c>
      <c r="W1346" s="165">
        <v>2</v>
      </c>
      <c r="X1346" s="165">
        <v>2</v>
      </c>
      <c r="Y1346" s="164" t="s">
        <v>194</v>
      </c>
      <c r="Z1346" s="164" t="s">
        <v>195</v>
      </c>
      <c r="AA1346" s="164" t="s">
        <v>196</v>
      </c>
      <c r="AB1346" s="164" t="s">
        <v>187</v>
      </c>
      <c r="AC1346" s="164" t="s">
        <v>187</v>
      </c>
      <c r="AD1346" s="165">
        <v>1</v>
      </c>
      <c r="AE1346" s="164" t="s">
        <v>209</v>
      </c>
      <c r="AF1346" s="165">
        <v>22.639189999999999</v>
      </c>
      <c r="AG1346" s="166">
        <v>104.07603</v>
      </c>
      <c r="AO1346" s="121"/>
      <c r="AT1346" s="111"/>
      <c r="AX1346" s="121"/>
    </row>
    <row r="1347" spans="1:50" s="110" customFormat="1" ht="20" customHeight="1">
      <c r="A1347" s="125" t="s">
        <v>480</v>
      </c>
      <c r="B1347" s="126" t="s">
        <v>63</v>
      </c>
      <c r="C1347" s="127">
        <v>19578</v>
      </c>
      <c r="D1347" s="163">
        <v>115543</v>
      </c>
      <c r="E1347" s="164" t="s">
        <v>1913</v>
      </c>
      <c r="F1347" s="164" t="s">
        <v>1913</v>
      </c>
      <c r="G1347" s="165">
        <v>400</v>
      </c>
      <c r="H1347" s="165">
        <v>1</v>
      </c>
      <c r="I1347" s="164" t="s">
        <v>187</v>
      </c>
      <c r="J1347" s="164" t="s">
        <v>1914</v>
      </c>
      <c r="K1347" s="164" t="s">
        <v>1913</v>
      </c>
      <c r="L1347" s="165">
        <v>1</v>
      </c>
      <c r="M1347" s="165">
        <v>4</v>
      </c>
      <c r="N1347" s="164" t="s">
        <v>1548</v>
      </c>
      <c r="O1347" s="165">
        <v>0</v>
      </c>
      <c r="P1347" s="165">
        <v>0</v>
      </c>
      <c r="Q1347" s="165">
        <v>20</v>
      </c>
      <c r="R1347" s="164" t="s">
        <v>574</v>
      </c>
      <c r="S1347" s="164" t="s">
        <v>575</v>
      </c>
      <c r="T1347" s="165">
        <v>239</v>
      </c>
      <c r="U1347" s="164" t="s">
        <v>1618</v>
      </c>
      <c r="V1347" s="164" t="s">
        <v>1619</v>
      </c>
      <c r="W1347" s="165">
        <v>1</v>
      </c>
      <c r="X1347" s="165">
        <v>2</v>
      </c>
      <c r="Y1347" s="164" t="s">
        <v>194</v>
      </c>
      <c r="Z1347" s="164" t="s">
        <v>195</v>
      </c>
      <c r="AA1347" s="164" t="s">
        <v>196</v>
      </c>
      <c r="AB1347" s="164" t="s">
        <v>187</v>
      </c>
      <c r="AC1347" s="164" t="s">
        <v>187</v>
      </c>
      <c r="AD1347" s="165">
        <v>1</v>
      </c>
      <c r="AE1347" s="164" t="s">
        <v>187</v>
      </c>
      <c r="AF1347" s="165">
        <v>22.295259999999999</v>
      </c>
      <c r="AG1347" s="166">
        <v>103.80432</v>
      </c>
      <c r="AO1347" s="121"/>
      <c r="AT1347" s="111"/>
      <c r="AX1347" s="121"/>
    </row>
    <row r="1348" spans="1:50" s="110" customFormat="1" ht="20" customHeight="1">
      <c r="A1348" s="125" t="s">
        <v>480</v>
      </c>
      <c r="B1348" s="126" t="s">
        <v>63</v>
      </c>
      <c r="C1348" s="127">
        <v>19581</v>
      </c>
      <c r="D1348" s="163">
        <v>115545</v>
      </c>
      <c r="E1348" s="164" t="s">
        <v>1744</v>
      </c>
      <c r="F1348" s="164" t="s">
        <v>1744</v>
      </c>
      <c r="G1348" s="165">
        <v>200</v>
      </c>
      <c r="H1348" s="165">
        <v>1</v>
      </c>
      <c r="I1348" s="164" t="s">
        <v>187</v>
      </c>
      <c r="J1348" s="164" t="s">
        <v>1745</v>
      </c>
      <c r="K1348" s="164" t="s">
        <v>1744</v>
      </c>
      <c r="L1348" s="165">
        <v>1</v>
      </c>
      <c r="M1348" s="165">
        <v>4</v>
      </c>
      <c r="N1348" s="164" t="s">
        <v>1548</v>
      </c>
      <c r="O1348" s="165">
        <v>0</v>
      </c>
      <c r="P1348" s="165">
        <v>0</v>
      </c>
      <c r="Q1348" s="165">
        <v>20</v>
      </c>
      <c r="R1348" s="164" t="s">
        <v>574</v>
      </c>
      <c r="S1348" s="164" t="s">
        <v>575</v>
      </c>
      <c r="T1348" s="165">
        <v>239</v>
      </c>
      <c r="U1348" s="164" t="s">
        <v>1618</v>
      </c>
      <c r="V1348" s="164" t="s">
        <v>1619</v>
      </c>
      <c r="W1348" s="165">
        <v>1</v>
      </c>
      <c r="X1348" s="165">
        <v>2</v>
      </c>
      <c r="Y1348" s="164" t="s">
        <v>194</v>
      </c>
      <c r="Z1348" s="164" t="s">
        <v>195</v>
      </c>
      <c r="AA1348" s="164" t="s">
        <v>196</v>
      </c>
      <c r="AB1348" s="164" t="s">
        <v>187</v>
      </c>
      <c r="AC1348" s="164" t="s">
        <v>187</v>
      </c>
      <c r="AD1348" s="165">
        <v>1</v>
      </c>
      <c r="AE1348" s="164" t="s">
        <v>187</v>
      </c>
      <c r="AF1348" s="165">
        <v>22.752649999999999</v>
      </c>
      <c r="AG1348" s="166">
        <v>104.25039</v>
      </c>
      <c r="AO1348" s="121"/>
      <c r="AT1348" s="111"/>
      <c r="AX1348" s="121"/>
    </row>
    <row r="1349" spans="1:50" s="110" customFormat="1" ht="20" customHeight="1">
      <c r="A1349" s="125" t="s">
        <v>480</v>
      </c>
      <c r="B1349" s="126" t="s">
        <v>63</v>
      </c>
      <c r="C1349" s="127">
        <v>10419</v>
      </c>
      <c r="D1349" s="163">
        <v>100487</v>
      </c>
      <c r="E1349" s="164" t="s">
        <v>1631</v>
      </c>
      <c r="F1349" s="164" t="s">
        <v>1631</v>
      </c>
      <c r="G1349" s="165">
        <v>100</v>
      </c>
      <c r="H1349" s="165">
        <v>1</v>
      </c>
      <c r="I1349" s="164" t="s">
        <v>187</v>
      </c>
      <c r="J1349" s="164" t="s">
        <v>1632</v>
      </c>
      <c r="K1349" s="164" t="s">
        <v>1633</v>
      </c>
      <c r="L1349" s="165">
        <v>5</v>
      </c>
      <c r="M1349" s="165">
        <v>4</v>
      </c>
      <c r="N1349" s="164" t="s">
        <v>1548</v>
      </c>
      <c r="O1349" s="165">
        <v>0</v>
      </c>
      <c r="P1349" s="165">
        <v>0</v>
      </c>
      <c r="Q1349" s="165">
        <v>20</v>
      </c>
      <c r="R1349" s="164" t="s">
        <v>574</v>
      </c>
      <c r="S1349" s="164" t="s">
        <v>575</v>
      </c>
      <c r="T1349" s="165">
        <v>239</v>
      </c>
      <c r="U1349" s="164" t="s">
        <v>1618</v>
      </c>
      <c r="V1349" s="164" t="s">
        <v>1619</v>
      </c>
      <c r="W1349" s="165">
        <v>2</v>
      </c>
      <c r="X1349" s="165">
        <v>2</v>
      </c>
      <c r="Y1349" s="164" t="s">
        <v>194</v>
      </c>
      <c r="Z1349" s="164" t="s">
        <v>195</v>
      </c>
      <c r="AA1349" s="164" t="s">
        <v>196</v>
      </c>
      <c r="AB1349" s="164" t="s">
        <v>187</v>
      </c>
      <c r="AC1349" s="164" t="s">
        <v>187</v>
      </c>
      <c r="AD1349" s="165">
        <v>1</v>
      </c>
      <c r="AE1349" s="164" t="s">
        <v>187</v>
      </c>
      <c r="AF1349" s="165">
        <v>17.379850000177299</v>
      </c>
      <c r="AG1349" s="166">
        <v>106.40278999975899</v>
      </c>
      <c r="AO1349" s="121"/>
      <c r="AT1349" s="111"/>
      <c r="AX1349" s="121"/>
    </row>
    <row r="1350" spans="1:50" s="110" customFormat="1" ht="20" customHeight="1">
      <c r="A1350" s="125" t="s">
        <v>480</v>
      </c>
      <c r="B1350" s="126" t="s">
        <v>63</v>
      </c>
      <c r="C1350" s="127">
        <v>14810</v>
      </c>
      <c r="D1350" s="157">
        <v>108785</v>
      </c>
      <c r="E1350" s="158" t="s">
        <v>2278</v>
      </c>
      <c r="F1350" s="158" t="s">
        <v>2278</v>
      </c>
      <c r="G1350" s="159">
        <v>124000</v>
      </c>
      <c r="H1350" s="159">
        <v>2</v>
      </c>
      <c r="I1350" s="158" t="s">
        <v>209</v>
      </c>
      <c r="J1350" s="158" t="s">
        <v>2279</v>
      </c>
      <c r="K1350" s="158" t="s">
        <v>2278</v>
      </c>
      <c r="L1350" s="159">
        <v>3</v>
      </c>
      <c r="M1350" s="159">
        <v>4</v>
      </c>
      <c r="N1350" s="158" t="s">
        <v>1548</v>
      </c>
      <c r="O1350" s="159">
        <v>15</v>
      </c>
      <c r="P1350" s="159">
        <v>1.55</v>
      </c>
      <c r="Q1350" s="159">
        <v>20</v>
      </c>
      <c r="R1350" s="158" t="s">
        <v>574</v>
      </c>
      <c r="S1350" s="158" t="s">
        <v>575</v>
      </c>
      <c r="T1350" s="159">
        <v>239</v>
      </c>
      <c r="U1350" s="158" t="s">
        <v>1618</v>
      </c>
      <c r="V1350" s="158" t="s">
        <v>1619</v>
      </c>
      <c r="W1350" s="159">
        <v>2</v>
      </c>
      <c r="X1350" s="159">
        <v>2</v>
      </c>
      <c r="Y1350" s="158" t="s">
        <v>194</v>
      </c>
      <c r="Z1350" s="158" t="s">
        <v>195</v>
      </c>
      <c r="AA1350" s="158" t="s">
        <v>196</v>
      </c>
      <c r="AB1350" s="158" t="s">
        <v>187</v>
      </c>
      <c r="AC1350" s="158" t="s">
        <v>187</v>
      </c>
      <c r="AD1350" s="160"/>
      <c r="AE1350" s="158" t="s">
        <v>209</v>
      </c>
      <c r="AF1350" s="159">
        <v>14.7793300002793</v>
      </c>
      <c r="AG1350" s="161">
        <v>108.027030000134</v>
      </c>
      <c r="AO1350" s="121"/>
      <c r="AT1350" s="111"/>
      <c r="AX1350" s="121"/>
    </row>
    <row r="1351" spans="1:50" s="110" customFormat="1" ht="20" customHeight="1">
      <c r="A1351" s="125" t="s">
        <v>480</v>
      </c>
      <c r="B1351" s="126" t="s">
        <v>63</v>
      </c>
      <c r="C1351" s="127">
        <v>12596</v>
      </c>
      <c r="D1351" s="157">
        <v>104787</v>
      </c>
      <c r="E1351" s="158" t="s">
        <v>4177</v>
      </c>
      <c r="F1351" s="158" t="s">
        <v>4177</v>
      </c>
      <c r="G1351" s="159">
        <v>27000</v>
      </c>
      <c r="H1351" s="159">
        <v>2</v>
      </c>
      <c r="I1351" s="158" t="s">
        <v>209</v>
      </c>
      <c r="J1351" s="158" t="s">
        <v>4178</v>
      </c>
      <c r="K1351" s="158" t="s">
        <v>4177</v>
      </c>
      <c r="L1351" s="159">
        <v>0</v>
      </c>
      <c r="M1351" s="159">
        <v>4</v>
      </c>
      <c r="N1351" s="158" t="s">
        <v>1548</v>
      </c>
      <c r="O1351" s="159">
        <v>25</v>
      </c>
      <c r="P1351" s="159">
        <v>0.5</v>
      </c>
      <c r="Q1351" s="159">
        <v>20</v>
      </c>
      <c r="R1351" s="158" t="s">
        <v>574</v>
      </c>
      <c r="S1351" s="158" t="s">
        <v>575</v>
      </c>
      <c r="T1351" s="159">
        <v>239</v>
      </c>
      <c r="U1351" s="158" t="s">
        <v>1618</v>
      </c>
      <c r="V1351" s="158" t="s">
        <v>1619</v>
      </c>
      <c r="W1351" s="159">
        <v>1</v>
      </c>
      <c r="X1351" s="159">
        <v>2</v>
      </c>
      <c r="Y1351" s="158" t="s">
        <v>194</v>
      </c>
      <c r="Z1351" s="158" t="s">
        <v>195</v>
      </c>
      <c r="AA1351" s="158" t="s">
        <v>196</v>
      </c>
      <c r="AB1351" s="158" t="s">
        <v>187</v>
      </c>
      <c r="AC1351" s="158" t="s">
        <v>187</v>
      </c>
      <c r="AD1351" s="160"/>
      <c r="AE1351" s="158" t="s">
        <v>209</v>
      </c>
      <c r="AF1351" s="159">
        <v>14.921200000000001</v>
      </c>
      <c r="AG1351" s="161">
        <v>108.4449</v>
      </c>
      <c r="AO1351" s="121"/>
      <c r="AT1351" s="111"/>
      <c r="AX1351" s="121"/>
    </row>
    <row r="1352" spans="1:50" s="110" customFormat="1" ht="20" customHeight="1">
      <c r="A1352" s="125" t="s">
        <v>480</v>
      </c>
      <c r="B1352" s="126" t="s">
        <v>63</v>
      </c>
      <c r="C1352" s="127">
        <v>14544</v>
      </c>
      <c r="D1352" s="157">
        <v>108355</v>
      </c>
      <c r="E1352" s="158" t="s">
        <v>4028</v>
      </c>
      <c r="F1352" s="158" t="s">
        <v>4028</v>
      </c>
      <c r="G1352" s="159">
        <v>19000</v>
      </c>
      <c r="H1352" s="159">
        <v>2</v>
      </c>
      <c r="I1352" s="158" t="s">
        <v>209</v>
      </c>
      <c r="J1352" s="158" t="s">
        <v>4029</v>
      </c>
      <c r="K1352" s="158" t="s">
        <v>4028</v>
      </c>
      <c r="L1352" s="159">
        <v>3</v>
      </c>
      <c r="M1352" s="159">
        <v>4</v>
      </c>
      <c r="N1352" s="158" t="s">
        <v>1548</v>
      </c>
      <c r="O1352" s="159">
        <v>25</v>
      </c>
      <c r="P1352" s="159">
        <v>1.1200000000000001</v>
      </c>
      <c r="Q1352" s="159">
        <v>20</v>
      </c>
      <c r="R1352" s="158" t="s">
        <v>574</v>
      </c>
      <c r="S1352" s="158" t="s">
        <v>575</v>
      </c>
      <c r="T1352" s="159">
        <v>239</v>
      </c>
      <c r="U1352" s="158" t="s">
        <v>1618</v>
      </c>
      <c r="V1352" s="158" t="s">
        <v>1619</v>
      </c>
      <c r="W1352" s="159">
        <v>1</v>
      </c>
      <c r="X1352" s="159">
        <v>2</v>
      </c>
      <c r="Y1352" s="158" t="s">
        <v>194</v>
      </c>
      <c r="Z1352" s="158" t="s">
        <v>195</v>
      </c>
      <c r="AA1352" s="158" t="s">
        <v>196</v>
      </c>
      <c r="AB1352" s="158" t="s">
        <v>187</v>
      </c>
      <c r="AC1352" s="158" t="s">
        <v>187</v>
      </c>
      <c r="AD1352" s="160"/>
      <c r="AE1352" s="158" t="s">
        <v>209</v>
      </c>
      <c r="AF1352" s="159">
        <v>14.6066000000899</v>
      </c>
      <c r="AG1352" s="161">
        <v>107.85922999976501</v>
      </c>
      <c r="AO1352" s="121"/>
      <c r="AT1352" s="111"/>
      <c r="AX1352" s="121"/>
    </row>
    <row r="1353" spans="1:50" s="110" customFormat="1" ht="20" customHeight="1">
      <c r="A1353" s="125" t="s">
        <v>480</v>
      </c>
      <c r="B1353" s="126" t="s">
        <v>63</v>
      </c>
      <c r="C1353" s="127">
        <v>14380</v>
      </c>
      <c r="D1353" s="157">
        <v>108012</v>
      </c>
      <c r="E1353" s="158" t="s">
        <v>4005</v>
      </c>
      <c r="F1353" s="158" t="s">
        <v>4005</v>
      </c>
      <c r="G1353" s="159">
        <v>18000</v>
      </c>
      <c r="H1353" s="159">
        <v>2</v>
      </c>
      <c r="I1353" s="158" t="s">
        <v>209</v>
      </c>
      <c r="J1353" s="158" t="s">
        <v>4006</v>
      </c>
      <c r="K1353" s="158" t="s">
        <v>4005</v>
      </c>
      <c r="L1353" s="159">
        <v>1</v>
      </c>
      <c r="M1353" s="159">
        <v>4</v>
      </c>
      <c r="N1353" s="158" t="s">
        <v>1548</v>
      </c>
      <c r="O1353" s="159">
        <v>10</v>
      </c>
      <c r="P1353" s="159">
        <v>1</v>
      </c>
      <c r="Q1353" s="159">
        <v>20</v>
      </c>
      <c r="R1353" s="158" t="s">
        <v>574</v>
      </c>
      <c r="S1353" s="158" t="s">
        <v>575</v>
      </c>
      <c r="T1353" s="159">
        <v>239</v>
      </c>
      <c r="U1353" s="158" t="s">
        <v>1618</v>
      </c>
      <c r="V1353" s="158" t="s">
        <v>1619</v>
      </c>
      <c r="W1353" s="159">
        <v>1</v>
      </c>
      <c r="X1353" s="159">
        <v>2</v>
      </c>
      <c r="Y1353" s="158" t="s">
        <v>194</v>
      </c>
      <c r="Z1353" s="158" t="s">
        <v>195</v>
      </c>
      <c r="AA1353" s="158" t="s">
        <v>196</v>
      </c>
      <c r="AB1353" s="158" t="s">
        <v>187</v>
      </c>
      <c r="AC1353" s="158" t="s">
        <v>187</v>
      </c>
      <c r="AD1353" s="160"/>
      <c r="AE1353" s="158" t="s">
        <v>209</v>
      </c>
      <c r="AF1353" s="159">
        <v>16.211839999999999</v>
      </c>
      <c r="AG1353" s="161">
        <v>107.4674</v>
      </c>
      <c r="AO1353" s="121"/>
      <c r="AT1353" s="111"/>
      <c r="AX1353" s="121"/>
    </row>
    <row r="1354" spans="1:50" s="110" customFormat="1" ht="20" customHeight="1">
      <c r="A1354" s="125" t="s">
        <v>480</v>
      </c>
      <c r="B1354" s="126" t="s">
        <v>63</v>
      </c>
      <c r="C1354" s="127">
        <v>13796</v>
      </c>
      <c r="D1354" s="157">
        <v>106771</v>
      </c>
      <c r="E1354" s="158" t="s">
        <v>3369</v>
      </c>
      <c r="F1354" s="158" t="s">
        <v>3369</v>
      </c>
      <c r="G1354" s="159">
        <v>6500</v>
      </c>
      <c r="H1354" s="159">
        <v>2</v>
      </c>
      <c r="I1354" s="158" t="s">
        <v>209</v>
      </c>
      <c r="J1354" s="158" t="s">
        <v>3370</v>
      </c>
      <c r="K1354" s="158" t="s">
        <v>3369</v>
      </c>
      <c r="L1354" s="159">
        <v>0</v>
      </c>
      <c r="M1354" s="159">
        <v>4</v>
      </c>
      <c r="N1354" s="158" t="s">
        <v>1548</v>
      </c>
      <c r="O1354" s="159">
        <v>20</v>
      </c>
      <c r="P1354" s="159">
        <v>0.5</v>
      </c>
      <c r="Q1354" s="159">
        <v>20</v>
      </c>
      <c r="R1354" s="158" t="s">
        <v>574</v>
      </c>
      <c r="S1354" s="158" t="s">
        <v>575</v>
      </c>
      <c r="T1354" s="159">
        <v>239</v>
      </c>
      <c r="U1354" s="158" t="s">
        <v>1618</v>
      </c>
      <c r="V1354" s="158" t="s">
        <v>1619</v>
      </c>
      <c r="W1354" s="159">
        <v>1</v>
      </c>
      <c r="X1354" s="159">
        <v>2</v>
      </c>
      <c r="Y1354" s="158" t="s">
        <v>194</v>
      </c>
      <c r="Z1354" s="158" t="s">
        <v>195</v>
      </c>
      <c r="AA1354" s="158" t="s">
        <v>196</v>
      </c>
      <c r="AB1354" s="158" t="s">
        <v>187</v>
      </c>
      <c r="AC1354" s="158" t="s">
        <v>187</v>
      </c>
      <c r="AD1354" s="160"/>
      <c r="AE1354" s="158" t="s">
        <v>209</v>
      </c>
      <c r="AF1354" s="159">
        <v>14.57455</v>
      </c>
      <c r="AG1354" s="161">
        <v>108.36031</v>
      </c>
      <c r="AO1354" s="121"/>
      <c r="AT1354" s="111"/>
      <c r="AX1354" s="121"/>
    </row>
    <row r="1355" spans="1:50" s="110" customFormat="1" ht="20" customHeight="1">
      <c r="A1355" s="125" t="s">
        <v>480</v>
      </c>
      <c r="B1355" s="126" t="s">
        <v>63</v>
      </c>
      <c r="C1355" s="127">
        <v>15208</v>
      </c>
      <c r="D1355" s="157">
        <v>109745</v>
      </c>
      <c r="E1355" s="158" t="s">
        <v>3371</v>
      </c>
      <c r="F1355" s="158" t="s">
        <v>3371</v>
      </c>
      <c r="G1355" s="159">
        <v>6500</v>
      </c>
      <c r="H1355" s="159">
        <v>2</v>
      </c>
      <c r="I1355" s="158" t="s">
        <v>209</v>
      </c>
      <c r="J1355" s="158" t="s">
        <v>3372</v>
      </c>
      <c r="K1355" s="158" t="s">
        <v>3371</v>
      </c>
      <c r="L1355" s="159">
        <v>1</v>
      </c>
      <c r="M1355" s="159">
        <v>4</v>
      </c>
      <c r="N1355" s="158" t="s">
        <v>1548</v>
      </c>
      <c r="O1355" s="159">
        <v>25</v>
      </c>
      <c r="P1355" s="159">
        <v>0.4</v>
      </c>
      <c r="Q1355" s="159">
        <v>20</v>
      </c>
      <c r="R1355" s="158" t="s">
        <v>574</v>
      </c>
      <c r="S1355" s="158" t="s">
        <v>575</v>
      </c>
      <c r="T1355" s="159">
        <v>239</v>
      </c>
      <c r="U1355" s="158" t="s">
        <v>1618</v>
      </c>
      <c r="V1355" s="158" t="s">
        <v>1619</v>
      </c>
      <c r="W1355" s="159">
        <v>1</v>
      </c>
      <c r="X1355" s="159">
        <v>2</v>
      </c>
      <c r="Y1355" s="158" t="s">
        <v>194</v>
      </c>
      <c r="Z1355" s="158" t="s">
        <v>195</v>
      </c>
      <c r="AA1355" s="158" t="s">
        <v>196</v>
      </c>
      <c r="AB1355" s="158" t="s">
        <v>187</v>
      </c>
      <c r="AC1355" s="158" t="s">
        <v>187</v>
      </c>
      <c r="AD1355" s="160"/>
      <c r="AE1355" s="158" t="s">
        <v>209</v>
      </c>
      <c r="AF1355" s="159">
        <v>15.44014</v>
      </c>
      <c r="AG1355" s="161">
        <v>108.03977</v>
      </c>
      <c r="AO1355" s="121"/>
      <c r="AT1355" s="111"/>
      <c r="AX1355" s="121"/>
    </row>
    <row r="1356" spans="1:50" s="110" customFormat="1" ht="20" customHeight="1">
      <c r="A1356" s="125" t="s">
        <v>480</v>
      </c>
      <c r="B1356" s="126" t="s">
        <v>63</v>
      </c>
      <c r="C1356" s="127">
        <v>15526</v>
      </c>
      <c r="D1356" s="157">
        <v>110121</v>
      </c>
      <c r="E1356" s="158" t="s">
        <v>3373</v>
      </c>
      <c r="F1356" s="158" t="s">
        <v>3373</v>
      </c>
      <c r="G1356" s="159">
        <v>6500</v>
      </c>
      <c r="H1356" s="159">
        <v>2</v>
      </c>
      <c r="I1356" s="158" t="s">
        <v>209</v>
      </c>
      <c r="J1356" s="158" t="s">
        <v>3374</v>
      </c>
      <c r="K1356" s="158" t="s">
        <v>3373</v>
      </c>
      <c r="L1356" s="159">
        <v>1</v>
      </c>
      <c r="M1356" s="159">
        <v>4</v>
      </c>
      <c r="N1356" s="158" t="s">
        <v>1548</v>
      </c>
      <c r="O1356" s="159">
        <v>26</v>
      </c>
      <c r="P1356" s="159">
        <v>0.3</v>
      </c>
      <c r="Q1356" s="159">
        <v>20</v>
      </c>
      <c r="R1356" s="158" t="s">
        <v>574</v>
      </c>
      <c r="S1356" s="158" t="s">
        <v>575</v>
      </c>
      <c r="T1356" s="159">
        <v>239</v>
      </c>
      <c r="U1356" s="158" t="s">
        <v>1618</v>
      </c>
      <c r="V1356" s="158" t="s">
        <v>1619</v>
      </c>
      <c r="W1356" s="159">
        <v>1</v>
      </c>
      <c r="X1356" s="159">
        <v>2</v>
      </c>
      <c r="Y1356" s="158" t="s">
        <v>194</v>
      </c>
      <c r="Z1356" s="158" t="s">
        <v>195</v>
      </c>
      <c r="AA1356" s="158" t="s">
        <v>196</v>
      </c>
      <c r="AB1356" s="158" t="s">
        <v>187</v>
      </c>
      <c r="AC1356" s="158" t="s">
        <v>187</v>
      </c>
      <c r="AD1356" s="160"/>
      <c r="AE1356" s="158" t="s">
        <v>209</v>
      </c>
      <c r="AF1356" s="159">
        <v>14.579050000000001</v>
      </c>
      <c r="AG1356" s="161">
        <v>108.12088</v>
      </c>
      <c r="AO1356" s="121"/>
      <c r="AT1356" s="111"/>
      <c r="AX1356" s="121"/>
    </row>
    <row r="1357" spans="1:50" s="110" customFormat="1" ht="20" customHeight="1">
      <c r="A1357" s="125" t="s">
        <v>480</v>
      </c>
      <c r="B1357" s="126" t="s">
        <v>63</v>
      </c>
      <c r="C1357" s="127">
        <v>12574</v>
      </c>
      <c r="D1357" s="157">
        <v>104747</v>
      </c>
      <c r="E1357" s="158" t="s">
        <v>3083</v>
      </c>
      <c r="F1357" s="158" t="s">
        <v>3083</v>
      </c>
      <c r="G1357" s="159">
        <v>4300</v>
      </c>
      <c r="H1357" s="159">
        <v>2</v>
      </c>
      <c r="I1357" s="158" t="s">
        <v>209</v>
      </c>
      <c r="J1357" s="158" t="s">
        <v>3084</v>
      </c>
      <c r="K1357" s="158" t="s">
        <v>3083</v>
      </c>
      <c r="L1357" s="159">
        <v>1</v>
      </c>
      <c r="M1357" s="159">
        <v>4</v>
      </c>
      <c r="N1357" s="158" t="s">
        <v>1548</v>
      </c>
      <c r="O1357" s="159">
        <v>20</v>
      </c>
      <c r="P1357" s="159">
        <v>1</v>
      </c>
      <c r="Q1357" s="159">
        <v>20</v>
      </c>
      <c r="R1357" s="158" t="s">
        <v>574</v>
      </c>
      <c r="S1357" s="158" t="s">
        <v>575</v>
      </c>
      <c r="T1357" s="159">
        <v>239</v>
      </c>
      <c r="U1357" s="158" t="s">
        <v>1618</v>
      </c>
      <c r="V1357" s="158" t="s">
        <v>1619</v>
      </c>
      <c r="W1357" s="159">
        <v>1</v>
      </c>
      <c r="X1357" s="159">
        <v>2</v>
      </c>
      <c r="Y1357" s="158" t="s">
        <v>194</v>
      </c>
      <c r="Z1357" s="158" t="s">
        <v>195</v>
      </c>
      <c r="AA1357" s="158" t="s">
        <v>196</v>
      </c>
      <c r="AB1357" s="158" t="s">
        <v>187</v>
      </c>
      <c r="AC1357" s="158" t="s">
        <v>187</v>
      </c>
      <c r="AD1357" s="160"/>
      <c r="AE1357" s="158" t="s">
        <v>209</v>
      </c>
      <c r="AF1357" s="159">
        <v>14.896739999999999</v>
      </c>
      <c r="AG1357" s="161">
        <v>108.30491000000001</v>
      </c>
      <c r="AO1357" s="121"/>
      <c r="AT1357" s="111"/>
      <c r="AX1357" s="121"/>
    </row>
    <row r="1358" spans="1:50" s="110" customFormat="1" ht="20" customHeight="1">
      <c r="A1358" s="125" t="s">
        <v>480</v>
      </c>
      <c r="B1358" s="126" t="s">
        <v>63</v>
      </c>
      <c r="C1358" s="127">
        <v>12128</v>
      </c>
      <c r="D1358" s="145">
        <v>103880</v>
      </c>
      <c r="E1358" s="146" t="s">
        <v>4689</v>
      </c>
      <c r="F1358" s="146" t="s">
        <v>4689</v>
      </c>
      <c r="G1358" s="147">
        <v>140000</v>
      </c>
      <c r="H1358" s="147">
        <v>4</v>
      </c>
      <c r="I1358" s="146" t="s">
        <v>209</v>
      </c>
      <c r="J1358" s="146" t="s">
        <v>4690</v>
      </c>
      <c r="K1358" s="146" t="s">
        <v>4689</v>
      </c>
      <c r="L1358" s="147">
        <v>4</v>
      </c>
      <c r="M1358" s="147">
        <v>4</v>
      </c>
      <c r="N1358" s="146" t="s">
        <v>1548</v>
      </c>
      <c r="O1358" s="147">
        <v>10</v>
      </c>
      <c r="P1358" s="147">
        <v>5.91</v>
      </c>
      <c r="Q1358" s="147">
        <v>20</v>
      </c>
      <c r="R1358" s="146" t="s">
        <v>574</v>
      </c>
      <c r="S1358" s="146" t="s">
        <v>575</v>
      </c>
      <c r="T1358" s="147">
        <v>239</v>
      </c>
      <c r="U1358" s="146" t="s">
        <v>1618</v>
      </c>
      <c r="V1358" s="146" t="s">
        <v>1619</v>
      </c>
      <c r="W1358" s="147">
        <v>1</v>
      </c>
      <c r="X1358" s="147">
        <v>2</v>
      </c>
      <c r="Y1358" s="146" t="s">
        <v>194</v>
      </c>
      <c r="Z1358" s="146" t="s">
        <v>195</v>
      </c>
      <c r="AA1358" s="146" t="s">
        <v>196</v>
      </c>
      <c r="AB1358" s="146" t="s">
        <v>187</v>
      </c>
      <c r="AC1358" s="146" t="s">
        <v>187</v>
      </c>
      <c r="AD1358" s="148"/>
      <c r="AE1358" s="146" t="s">
        <v>209</v>
      </c>
      <c r="AF1358" s="147">
        <v>14.702439999999999</v>
      </c>
      <c r="AG1358" s="149">
        <v>108.66021000000001</v>
      </c>
      <c r="AO1358" s="121"/>
      <c r="AT1358" s="111"/>
      <c r="AX1358" s="121"/>
    </row>
    <row r="1359" spans="1:50" s="110" customFormat="1" ht="20" customHeight="1">
      <c r="A1359" s="125" t="s">
        <v>480</v>
      </c>
      <c r="B1359" s="126" t="s">
        <v>63</v>
      </c>
      <c r="C1359" s="127">
        <v>11686</v>
      </c>
      <c r="D1359" s="145">
        <v>102833</v>
      </c>
      <c r="E1359" s="146" t="s">
        <v>2200</v>
      </c>
      <c r="F1359" s="146" t="s">
        <v>2200</v>
      </c>
      <c r="G1359" s="147">
        <v>67000</v>
      </c>
      <c r="H1359" s="147">
        <v>4</v>
      </c>
      <c r="I1359" s="146" t="s">
        <v>209</v>
      </c>
      <c r="J1359" s="146" t="s">
        <v>2199</v>
      </c>
      <c r="K1359" s="146" t="s">
        <v>2200</v>
      </c>
      <c r="L1359" s="147">
        <v>5</v>
      </c>
      <c r="M1359" s="147">
        <v>4</v>
      </c>
      <c r="N1359" s="146" t="s">
        <v>1548</v>
      </c>
      <c r="O1359" s="147">
        <v>10</v>
      </c>
      <c r="P1359" s="147">
        <v>9.52</v>
      </c>
      <c r="Q1359" s="147">
        <v>20</v>
      </c>
      <c r="R1359" s="146" t="s">
        <v>574</v>
      </c>
      <c r="S1359" s="146" t="s">
        <v>575</v>
      </c>
      <c r="T1359" s="147">
        <v>239</v>
      </c>
      <c r="U1359" s="146" t="s">
        <v>1618</v>
      </c>
      <c r="V1359" s="146" t="s">
        <v>1619</v>
      </c>
      <c r="W1359" s="147">
        <v>3</v>
      </c>
      <c r="X1359" s="147">
        <v>2</v>
      </c>
      <c r="Y1359" s="146" t="s">
        <v>194</v>
      </c>
      <c r="Z1359" s="146" t="s">
        <v>195</v>
      </c>
      <c r="AA1359" s="146" t="s">
        <v>196</v>
      </c>
      <c r="AB1359" s="146" t="s">
        <v>187</v>
      </c>
      <c r="AC1359" s="146" t="s">
        <v>187</v>
      </c>
      <c r="AD1359" s="148"/>
      <c r="AE1359" s="146" t="s">
        <v>209</v>
      </c>
      <c r="AF1359" s="147">
        <v>16.969909999999999</v>
      </c>
      <c r="AG1359" s="149">
        <v>106.64099</v>
      </c>
      <c r="AO1359" s="121"/>
      <c r="AT1359" s="111"/>
      <c r="AX1359" s="121"/>
    </row>
    <row r="1360" spans="1:50" s="110" customFormat="1" ht="20" customHeight="1">
      <c r="A1360" s="125" t="s">
        <v>480</v>
      </c>
      <c r="B1360" s="126" t="s">
        <v>63</v>
      </c>
      <c r="C1360" s="127">
        <v>13171</v>
      </c>
      <c r="D1360" s="145">
        <v>105950</v>
      </c>
      <c r="E1360" s="146" t="s">
        <v>4409</v>
      </c>
      <c r="F1360" s="146" t="s">
        <v>4409</v>
      </c>
      <c r="G1360" s="147">
        <v>46000</v>
      </c>
      <c r="H1360" s="147">
        <v>4</v>
      </c>
      <c r="I1360" s="146" t="s">
        <v>209</v>
      </c>
      <c r="J1360" s="146" t="s">
        <v>4410</v>
      </c>
      <c r="K1360" s="146" t="s">
        <v>4409</v>
      </c>
      <c r="L1360" s="147">
        <v>1</v>
      </c>
      <c r="M1360" s="147">
        <v>4</v>
      </c>
      <c r="N1360" s="146" t="s">
        <v>1548</v>
      </c>
      <c r="O1360" s="147">
        <v>35</v>
      </c>
      <c r="P1360" s="147">
        <v>5</v>
      </c>
      <c r="Q1360" s="147">
        <v>20</v>
      </c>
      <c r="R1360" s="146" t="s">
        <v>574</v>
      </c>
      <c r="S1360" s="146" t="s">
        <v>575</v>
      </c>
      <c r="T1360" s="147">
        <v>239</v>
      </c>
      <c r="U1360" s="146" t="s">
        <v>1618</v>
      </c>
      <c r="V1360" s="146" t="s">
        <v>1619</v>
      </c>
      <c r="W1360" s="147">
        <v>1</v>
      </c>
      <c r="X1360" s="147">
        <v>2</v>
      </c>
      <c r="Y1360" s="146" t="s">
        <v>194</v>
      </c>
      <c r="Z1360" s="146" t="s">
        <v>195</v>
      </c>
      <c r="AA1360" s="146" t="s">
        <v>196</v>
      </c>
      <c r="AB1360" s="146" t="s">
        <v>187</v>
      </c>
      <c r="AC1360" s="146" t="s">
        <v>187</v>
      </c>
      <c r="AD1360" s="148"/>
      <c r="AE1360" s="146" t="s">
        <v>209</v>
      </c>
      <c r="AF1360" s="147">
        <v>11.52013</v>
      </c>
      <c r="AG1360" s="149">
        <v>107.32844</v>
      </c>
      <c r="AO1360" s="121"/>
      <c r="AT1360" s="111"/>
      <c r="AX1360" s="121"/>
    </row>
    <row r="1361" spans="1:50" s="110" customFormat="1" ht="20" customHeight="1">
      <c r="A1361" s="125" t="s">
        <v>480</v>
      </c>
      <c r="B1361" s="126" t="s">
        <v>63</v>
      </c>
      <c r="C1361" s="127">
        <v>12653</v>
      </c>
      <c r="D1361" s="145">
        <v>104905</v>
      </c>
      <c r="E1361" s="146" t="s">
        <v>4003</v>
      </c>
      <c r="F1361" s="146" t="s">
        <v>4003</v>
      </c>
      <c r="G1361" s="147">
        <v>18000</v>
      </c>
      <c r="H1361" s="147">
        <v>4</v>
      </c>
      <c r="I1361" s="146" t="s">
        <v>209</v>
      </c>
      <c r="J1361" s="146" t="s">
        <v>4004</v>
      </c>
      <c r="K1361" s="146" t="s">
        <v>4003</v>
      </c>
      <c r="L1361" s="147">
        <v>1</v>
      </c>
      <c r="M1361" s="147">
        <v>4</v>
      </c>
      <c r="N1361" s="146" t="s">
        <v>1548</v>
      </c>
      <c r="O1361" s="147">
        <v>5</v>
      </c>
      <c r="P1361" s="147">
        <v>4</v>
      </c>
      <c r="Q1361" s="147">
        <v>20</v>
      </c>
      <c r="R1361" s="146" t="s">
        <v>574</v>
      </c>
      <c r="S1361" s="146" t="s">
        <v>575</v>
      </c>
      <c r="T1361" s="147">
        <v>239</v>
      </c>
      <c r="U1361" s="146" t="s">
        <v>1618</v>
      </c>
      <c r="V1361" s="146" t="s">
        <v>1619</v>
      </c>
      <c r="W1361" s="147">
        <v>1</v>
      </c>
      <c r="X1361" s="147">
        <v>2</v>
      </c>
      <c r="Y1361" s="146" t="s">
        <v>194</v>
      </c>
      <c r="Z1361" s="146" t="s">
        <v>195</v>
      </c>
      <c r="AA1361" s="146" t="s">
        <v>196</v>
      </c>
      <c r="AB1361" s="146" t="s">
        <v>187</v>
      </c>
      <c r="AC1361" s="146" t="s">
        <v>187</v>
      </c>
      <c r="AD1361" s="148"/>
      <c r="AE1361" s="146" t="s">
        <v>209</v>
      </c>
      <c r="AF1361" s="147">
        <v>21.454070000000002</v>
      </c>
      <c r="AG1361" s="149">
        <v>103.46874</v>
      </c>
      <c r="AO1361" s="121"/>
      <c r="AT1361" s="111"/>
      <c r="AX1361" s="121"/>
    </row>
    <row r="1362" spans="1:50" s="110" customFormat="1" ht="20" customHeight="1">
      <c r="A1362" s="125" t="s">
        <v>480</v>
      </c>
      <c r="B1362" s="126" t="s">
        <v>63</v>
      </c>
      <c r="C1362" s="127">
        <v>16138</v>
      </c>
      <c r="D1362" s="145">
        <v>111234</v>
      </c>
      <c r="E1362" s="146" t="s">
        <v>3320</v>
      </c>
      <c r="F1362" s="146" t="s">
        <v>3320</v>
      </c>
      <c r="G1362" s="147">
        <v>16000</v>
      </c>
      <c r="H1362" s="147">
        <v>4</v>
      </c>
      <c r="I1362" s="146" t="s">
        <v>209</v>
      </c>
      <c r="J1362" s="146" t="s">
        <v>3321</v>
      </c>
      <c r="K1362" s="146" t="s">
        <v>3320</v>
      </c>
      <c r="L1362" s="147">
        <v>4</v>
      </c>
      <c r="M1362" s="147">
        <v>4</v>
      </c>
      <c r="N1362" s="146" t="s">
        <v>1548</v>
      </c>
      <c r="O1362" s="147">
        <v>15</v>
      </c>
      <c r="P1362" s="147">
        <v>6.62</v>
      </c>
      <c r="Q1362" s="147">
        <v>20</v>
      </c>
      <c r="R1362" s="146" t="s">
        <v>574</v>
      </c>
      <c r="S1362" s="146" t="s">
        <v>575</v>
      </c>
      <c r="T1362" s="147">
        <v>239</v>
      </c>
      <c r="U1362" s="146" t="s">
        <v>1618</v>
      </c>
      <c r="V1362" s="146" t="s">
        <v>1619</v>
      </c>
      <c r="W1362" s="147">
        <v>2</v>
      </c>
      <c r="X1362" s="147">
        <v>2</v>
      </c>
      <c r="Y1362" s="146" t="s">
        <v>194</v>
      </c>
      <c r="Z1362" s="146" t="s">
        <v>195</v>
      </c>
      <c r="AA1362" s="146" t="s">
        <v>196</v>
      </c>
      <c r="AB1362" s="146" t="s">
        <v>187</v>
      </c>
      <c r="AC1362" s="146" t="s">
        <v>187</v>
      </c>
      <c r="AD1362" s="148"/>
      <c r="AE1362" s="146" t="s">
        <v>209</v>
      </c>
      <c r="AF1362" s="147">
        <v>14.581720000000001</v>
      </c>
      <c r="AG1362" s="149">
        <v>107.59126000000001</v>
      </c>
      <c r="AO1362" s="121"/>
      <c r="AT1362" s="111"/>
      <c r="AX1362" s="121"/>
    </row>
    <row r="1363" spans="1:50" s="110" customFormat="1" ht="20" customHeight="1">
      <c r="A1363" s="125" t="s">
        <v>480</v>
      </c>
      <c r="B1363" s="126" t="s">
        <v>63</v>
      </c>
      <c r="C1363" s="127">
        <v>11439</v>
      </c>
      <c r="D1363" s="145">
        <v>102321</v>
      </c>
      <c r="E1363" s="146" t="s">
        <v>3829</v>
      </c>
      <c r="F1363" s="146" t="s">
        <v>3829</v>
      </c>
      <c r="G1363" s="147">
        <v>13000</v>
      </c>
      <c r="H1363" s="147">
        <v>4</v>
      </c>
      <c r="I1363" s="146" t="s">
        <v>209</v>
      </c>
      <c r="J1363" s="146" t="s">
        <v>3830</v>
      </c>
      <c r="K1363" s="146" t="s">
        <v>3831</v>
      </c>
      <c r="L1363" s="147">
        <v>3</v>
      </c>
      <c r="M1363" s="147">
        <v>4</v>
      </c>
      <c r="N1363" s="146" t="s">
        <v>1548</v>
      </c>
      <c r="O1363" s="147">
        <v>20</v>
      </c>
      <c r="P1363" s="147">
        <v>3.23</v>
      </c>
      <c r="Q1363" s="147">
        <v>20</v>
      </c>
      <c r="R1363" s="146" t="s">
        <v>574</v>
      </c>
      <c r="S1363" s="146" t="s">
        <v>575</v>
      </c>
      <c r="T1363" s="147">
        <v>239</v>
      </c>
      <c r="U1363" s="146" t="s">
        <v>1618</v>
      </c>
      <c r="V1363" s="146" t="s">
        <v>1619</v>
      </c>
      <c r="W1363" s="147">
        <v>1</v>
      </c>
      <c r="X1363" s="147">
        <v>2</v>
      </c>
      <c r="Y1363" s="146" t="s">
        <v>194</v>
      </c>
      <c r="Z1363" s="146" t="s">
        <v>195</v>
      </c>
      <c r="AA1363" s="146" t="s">
        <v>196</v>
      </c>
      <c r="AB1363" s="146" t="s">
        <v>187</v>
      </c>
      <c r="AC1363" s="146" t="s">
        <v>187</v>
      </c>
      <c r="AD1363" s="148"/>
      <c r="AE1363" s="146" t="s">
        <v>209</v>
      </c>
      <c r="AF1363" s="147">
        <v>15.17427</v>
      </c>
      <c r="AG1363" s="149">
        <v>108.41919</v>
      </c>
      <c r="AO1363" s="121"/>
      <c r="AT1363" s="111"/>
      <c r="AX1363" s="121"/>
    </row>
    <row r="1364" spans="1:50" s="110" customFormat="1" ht="20" customHeight="1">
      <c r="A1364" s="125" t="s">
        <v>480</v>
      </c>
      <c r="B1364" s="126" t="s">
        <v>63</v>
      </c>
      <c r="C1364" s="127">
        <v>12039</v>
      </c>
      <c r="D1364" s="145">
        <v>103655</v>
      </c>
      <c r="E1364" s="146" t="s">
        <v>2908</v>
      </c>
      <c r="F1364" s="146" t="s">
        <v>2908</v>
      </c>
      <c r="G1364" s="147">
        <v>3500</v>
      </c>
      <c r="H1364" s="147">
        <v>4</v>
      </c>
      <c r="I1364" s="146" t="s">
        <v>209</v>
      </c>
      <c r="J1364" s="146" t="s">
        <v>2909</v>
      </c>
      <c r="K1364" s="146" t="s">
        <v>2908</v>
      </c>
      <c r="L1364" s="147">
        <v>1</v>
      </c>
      <c r="M1364" s="147">
        <v>4</v>
      </c>
      <c r="N1364" s="146" t="s">
        <v>1548</v>
      </c>
      <c r="O1364" s="147">
        <v>20</v>
      </c>
      <c r="P1364" s="147">
        <v>2.9</v>
      </c>
      <c r="Q1364" s="147">
        <v>20</v>
      </c>
      <c r="R1364" s="146" t="s">
        <v>574</v>
      </c>
      <c r="S1364" s="146" t="s">
        <v>575</v>
      </c>
      <c r="T1364" s="147">
        <v>239</v>
      </c>
      <c r="U1364" s="146" t="s">
        <v>1618</v>
      </c>
      <c r="V1364" s="146" t="s">
        <v>1619</v>
      </c>
      <c r="W1364" s="147">
        <v>2</v>
      </c>
      <c r="X1364" s="147">
        <v>2</v>
      </c>
      <c r="Y1364" s="146" t="s">
        <v>194</v>
      </c>
      <c r="Z1364" s="146" t="s">
        <v>195</v>
      </c>
      <c r="AA1364" s="146" t="s">
        <v>196</v>
      </c>
      <c r="AB1364" s="146" t="s">
        <v>187</v>
      </c>
      <c r="AC1364" s="146" t="s">
        <v>187</v>
      </c>
      <c r="AD1364" s="148"/>
      <c r="AE1364" s="146" t="s">
        <v>209</v>
      </c>
      <c r="AF1364" s="147">
        <v>15.031230000000001</v>
      </c>
      <c r="AG1364" s="149">
        <v>108.20014</v>
      </c>
      <c r="AO1364" s="121"/>
      <c r="AT1364" s="111"/>
      <c r="AX1364" s="121"/>
    </row>
    <row r="1365" spans="1:50" s="110" customFormat="1" ht="20" customHeight="1">
      <c r="A1365" s="125" t="s">
        <v>480</v>
      </c>
      <c r="B1365" s="126" t="s">
        <v>63</v>
      </c>
      <c r="C1365" s="127">
        <v>10960</v>
      </c>
      <c r="D1365" s="145">
        <v>101655</v>
      </c>
      <c r="E1365" s="146" t="s">
        <v>1900</v>
      </c>
      <c r="F1365" s="146" t="s">
        <v>1900</v>
      </c>
      <c r="G1365" s="147">
        <v>400</v>
      </c>
      <c r="H1365" s="147">
        <v>4</v>
      </c>
      <c r="I1365" s="146" t="s">
        <v>209</v>
      </c>
      <c r="J1365" s="146" t="s">
        <v>1901</v>
      </c>
      <c r="K1365" s="146" t="s">
        <v>1902</v>
      </c>
      <c r="L1365" s="147">
        <v>3</v>
      </c>
      <c r="M1365" s="147">
        <v>4</v>
      </c>
      <c r="N1365" s="146" t="s">
        <v>1548</v>
      </c>
      <c r="O1365" s="147">
        <v>13</v>
      </c>
      <c r="P1365" s="147">
        <v>10</v>
      </c>
      <c r="Q1365" s="147">
        <v>20</v>
      </c>
      <c r="R1365" s="146" t="s">
        <v>574</v>
      </c>
      <c r="S1365" s="146" t="s">
        <v>575</v>
      </c>
      <c r="T1365" s="147">
        <v>239</v>
      </c>
      <c r="U1365" s="146" t="s">
        <v>1618</v>
      </c>
      <c r="V1365" s="146" t="s">
        <v>1619</v>
      </c>
      <c r="W1365" s="147">
        <v>3</v>
      </c>
      <c r="X1365" s="147">
        <v>2</v>
      </c>
      <c r="Y1365" s="146" t="s">
        <v>194</v>
      </c>
      <c r="Z1365" s="146" t="s">
        <v>195</v>
      </c>
      <c r="AA1365" s="146" t="s">
        <v>196</v>
      </c>
      <c r="AB1365" s="146" t="s">
        <v>187</v>
      </c>
      <c r="AC1365" s="146" t="s">
        <v>187</v>
      </c>
      <c r="AD1365" s="148"/>
      <c r="AE1365" s="146" t="s">
        <v>209</v>
      </c>
      <c r="AF1365" s="147">
        <v>14.18352</v>
      </c>
      <c r="AG1365" s="149">
        <v>107.42119</v>
      </c>
      <c r="AO1365" s="121"/>
      <c r="AT1365" s="111"/>
      <c r="AX1365" s="121"/>
    </row>
    <row r="1366" spans="1:50" s="110" customFormat="1" ht="20" customHeight="1">
      <c r="A1366" s="125" t="s">
        <v>480</v>
      </c>
      <c r="B1366" s="126" t="s">
        <v>63</v>
      </c>
      <c r="C1366" s="127">
        <v>14118</v>
      </c>
      <c r="D1366" s="145">
        <v>107591</v>
      </c>
      <c r="E1366" s="146" t="s">
        <v>1905</v>
      </c>
      <c r="F1366" s="146" t="s">
        <v>1905</v>
      </c>
      <c r="G1366" s="147">
        <v>400</v>
      </c>
      <c r="H1366" s="147">
        <v>4</v>
      </c>
      <c r="I1366" s="146" t="s">
        <v>209</v>
      </c>
      <c r="J1366" s="146" t="s">
        <v>1906</v>
      </c>
      <c r="K1366" s="146" t="s">
        <v>1907</v>
      </c>
      <c r="L1366" s="147">
        <v>0</v>
      </c>
      <c r="M1366" s="147">
        <v>4</v>
      </c>
      <c r="N1366" s="146" t="s">
        <v>1548</v>
      </c>
      <c r="O1366" s="147">
        <v>6</v>
      </c>
      <c r="P1366" s="147">
        <v>3</v>
      </c>
      <c r="Q1366" s="147">
        <v>20</v>
      </c>
      <c r="R1366" s="146" t="s">
        <v>574</v>
      </c>
      <c r="S1366" s="146" t="s">
        <v>575</v>
      </c>
      <c r="T1366" s="147">
        <v>239</v>
      </c>
      <c r="U1366" s="146" t="s">
        <v>1618</v>
      </c>
      <c r="V1366" s="146" t="s">
        <v>1619</v>
      </c>
      <c r="W1366" s="147">
        <v>2</v>
      </c>
      <c r="X1366" s="147">
        <v>2</v>
      </c>
      <c r="Y1366" s="146" t="s">
        <v>194</v>
      </c>
      <c r="Z1366" s="146" t="s">
        <v>195</v>
      </c>
      <c r="AA1366" s="146" t="s">
        <v>196</v>
      </c>
      <c r="AB1366" s="146" t="s">
        <v>187</v>
      </c>
      <c r="AC1366" s="146" t="s">
        <v>187</v>
      </c>
      <c r="AD1366" s="148"/>
      <c r="AE1366" s="146" t="s">
        <v>209</v>
      </c>
      <c r="AF1366" s="147">
        <v>19.408259999999999</v>
      </c>
      <c r="AG1366" s="149">
        <v>104.43929</v>
      </c>
      <c r="AO1366" s="121"/>
      <c r="AT1366" s="111"/>
      <c r="AX1366" s="121"/>
    </row>
    <row r="1367" spans="1:50" s="110" customFormat="1" ht="20" customHeight="1">
      <c r="A1367" s="125" t="s">
        <v>480</v>
      </c>
      <c r="B1367" s="126" t="s">
        <v>63</v>
      </c>
      <c r="C1367" s="127">
        <v>10570</v>
      </c>
      <c r="D1367" s="128">
        <v>100770</v>
      </c>
      <c r="E1367" s="129" t="s">
        <v>4734</v>
      </c>
      <c r="F1367" s="129" t="s">
        <v>4734</v>
      </c>
      <c r="G1367" s="130">
        <v>195000</v>
      </c>
      <c r="H1367" s="130">
        <v>5</v>
      </c>
      <c r="I1367" s="129" t="s">
        <v>209</v>
      </c>
      <c r="J1367" s="129" t="s">
        <v>4735</v>
      </c>
      <c r="K1367" s="129" t="s">
        <v>4734</v>
      </c>
      <c r="L1367" s="130">
        <v>5</v>
      </c>
      <c r="M1367" s="130">
        <v>4</v>
      </c>
      <c r="N1367" s="129" t="s">
        <v>1548</v>
      </c>
      <c r="O1367" s="130">
        <v>14</v>
      </c>
      <c r="P1367" s="130">
        <v>10.38</v>
      </c>
      <c r="Q1367" s="130">
        <v>20</v>
      </c>
      <c r="R1367" s="129" t="s">
        <v>574</v>
      </c>
      <c r="S1367" s="129" t="s">
        <v>575</v>
      </c>
      <c r="T1367" s="130">
        <v>239</v>
      </c>
      <c r="U1367" s="129" t="s">
        <v>1618</v>
      </c>
      <c r="V1367" s="129" t="s">
        <v>1619</v>
      </c>
      <c r="W1367" s="130">
        <v>1</v>
      </c>
      <c r="X1367" s="130">
        <v>2</v>
      </c>
      <c r="Y1367" s="129" t="s">
        <v>194</v>
      </c>
      <c r="Z1367" s="129" t="s">
        <v>195</v>
      </c>
      <c r="AA1367" s="129" t="s">
        <v>196</v>
      </c>
      <c r="AB1367" s="129" t="s">
        <v>187</v>
      </c>
      <c r="AC1367" s="129" t="s">
        <v>187</v>
      </c>
      <c r="AD1367" s="131"/>
      <c r="AE1367" s="129" t="s">
        <v>209</v>
      </c>
      <c r="AF1367" s="130">
        <v>14.047639999886099</v>
      </c>
      <c r="AG1367" s="132">
        <v>108.470839999766</v>
      </c>
      <c r="AO1367" s="121"/>
      <c r="AT1367" s="111"/>
      <c r="AX1367" s="121"/>
    </row>
    <row r="1368" spans="1:50" s="110" customFormat="1" ht="20" customHeight="1">
      <c r="A1368" s="125" t="s">
        <v>480</v>
      </c>
      <c r="B1368" s="126" t="s">
        <v>63</v>
      </c>
      <c r="C1368" s="127">
        <v>19311</v>
      </c>
      <c r="D1368" s="128">
        <v>102851</v>
      </c>
      <c r="E1368" s="129" t="s">
        <v>4322</v>
      </c>
      <c r="F1368" s="129" t="s">
        <v>4322</v>
      </c>
      <c r="G1368" s="130">
        <v>36000</v>
      </c>
      <c r="H1368" s="130">
        <v>5</v>
      </c>
      <c r="I1368" s="129" t="s">
        <v>209</v>
      </c>
      <c r="J1368" s="129" t="s">
        <v>4323</v>
      </c>
      <c r="K1368" s="129" t="s">
        <v>4322</v>
      </c>
      <c r="L1368" s="130">
        <v>3</v>
      </c>
      <c r="M1368" s="130">
        <v>4</v>
      </c>
      <c r="N1368" s="129" t="s">
        <v>1548</v>
      </c>
      <c r="O1368" s="130">
        <v>25</v>
      </c>
      <c r="P1368" s="130">
        <v>20.59</v>
      </c>
      <c r="Q1368" s="130">
        <v>20</v>
      </c>
      <c r="R1368" s="129" t="s">
        <v>574</v>
      </c>
      <c r="S1368" s="129" t="s">
        <v>575</v>
      </c>
      <c r="T1368" s="130">
        <v>239</v>
      </c>
      <c r="U1368" s="129" t="s">
        <v>1618</v>
      </c>
      <c r="V1368" s="129" t="s">
        <v>1619</v>
      </c>
      <c r="W1368" s="130">
        <v>1</v>
      </c>
      <c r="X1368" s="130">
        <v>2</v>
      </c>
      <c r="Y1368" s="129" t="s">
        <v>194</v>
      </c>
      <c r="Z1368" s="129" t="s">
        <v>195</v>
      </c>
      <c r="AA1368" s="129" t="s">
        <v>196</v>
      </c>
      <c r="AB1368" s="129" t="s">
        <v>187</v>
      </c>
      <c r="AC1368" s="129" t="s">
        <v>187</v>
      </c>
      <c r="AD1368" s="131"/>
      <c r="AE1368" s="129" t="s">
        <v>209</v>
      </c>
      <c r="AF1368" s="130">
        <v>12.33037</v>
      </c>
      <c r="AG1368" s="132">
        <v>108.37631</v>
      </c>
      <c r="AO1368" s="121"/>
      <c r="AT1368" s="111"/>
      <c r="AX1368" s="121"/>
    </row>
    <row r="1369" spans="1:50" s="110" customFormat="1" ht="20" customHeight="1">
      <c r="A1369" s="125" t="s">
        <v>480</v>
      </c>
      <c r="B1369" s="126" t="s">
        <v>63</v>
      </c>
      <c r="C1369" s="127">
        <v>11374</v>
      </c>
      <c r="D1369" s="128">
        <v>102198</v>
      </c>
      <c r="E1369" s="129" t="s">
        <v>4230</v>
      </c>
      <c r="F1369" s="129" t="s">
        <v>4230</v>
      </c>
      <c r="G1369" s="130">
        <v>30000</v>
      </c>
      <c r="H1369" s="130">
        <v>5</v>
      </c>
      <c r="I1369" s="129" t="s">
        <v>209</v>
      </c>
      <c r="J1369" s="129" t="s">
        <v>4231</v>
      </c>
      <c r="K1369" s="129" t="s">
        <v>4232</v>
      </c>
      <c r="L1369" s="130">
        <v>4</v>
      </c>
      <c r="M1369" s="130">
        <v>4</v>
      </c>
      <c r="N1369" s="129" t="s">
        <v>1548</v>
      </c>
      <c r="O1369" s="130">
        <v>45</v>
      </c>
      <c r="P1369" s="130">
        <v>34.799999999999997</v>
      </c>
      <c r="Q1369" s="130">
        <v>20</v>
      </c>
      <c r="R1369" s="129" t="s">
        <v>574</v>
      </c>
      <c r="S1369" s="129" t="s">
        <v>575</v>
      </c>
      <c r="T1369" s="130">
        <v>239</v>
      </c>
      <c r="U1369" s="129" t="s">
        <v>1618</v>
      </c>
      <c r="V1369" s="129" t="s">
        <v>1619</v>
      </c>
      <c r="W1369" s="130">
        <v>1</v>
      </c>
      <c r="X1369" s="130">
        <v>2</v>
      </c>
      <c r="Y1369" s="129" t="s">
        <v>194</v>
      </c>
      <c r="Z1369" s="129" t="s">
        <v>195</v>
      </c>
      <c r="AA1369" s="129" t="s">
        <v>196</v>
      </c>
      <c r="AB1369" s="129" t="s">
        <v>187</v>
      </c>
      <c r="AC1369" s="129" t="s">
        <v>187</v>
      </c>
      <c r="AD1369" s="131"/>
      <c r="AE1369" s="129" t="s">
        <v>209</v>
      </c>
      <c r="AF1369" s="130">
        <v>10.86271</v>
      </c>
      <c r="AG1369" s="132">
        <v>107.27821</v>
      </c>
      <c r="AO1369" s="121"/>
      <c r="AT1369" s="111"/>
      <c r="AX1369" s="121"/>
    </row>
    <row r="1370" spans="1:50" s="110" customFormat="1" ht="20" customHeight="1">
      <c r="A1370" s="125" t="s">
        <v>480</v>
      </c>
      <c r="B1370" s="126" t="s">
        <v>63</v>
      </c>
      <c r="C1370" s="127">
        <v>12339</v>
      </c>
      <c r="D1370" s="128">
        <v>104227</v>
      </c>
      <c r="E1370" s="129" t="s">
        <v>3754</v>
      </c>
      <c r="F1370" s="129" t="s">
        <v>3754</v>
      </c>
      <c r="G1370" s="130">
        <v>18000</v>
      </c>
      <c r="H1370" s="130">
        <v>5</v>
      </c>
      <c r="I1370" s="129" t="s">
        <v>209</v>
      </c>
      <c r="J1370" s="129" t="s">
        <v>3755</v>
      </c>
      <c r="K1370" s="129" t="s">
        <v>3754</v>
      </c>
      <c r="L1370" s="130">
        <v>4</v>
      </c>
      <c r="M1370" s="130">
        <v>4</v>
      </c>
      <c r="N1370" s="129" t="s">
        <v>1548</v>
      </c>
      <c r="O1370" s="130">
        <v>45</v>
      </c>
      <c r="P1370" s="130">
        <v>38.06</v>
      </c>
      <c r="Q1370" s="130">
        <v>20</v>
      </c>
      <c r="R1370" s="129" t="s">
        <v>574</v>
      </c>
      <c r="S1370" s="129" t="s">
        <v>575</v>
      </c>
      <c r="T1370" s="130">
        <v>239</v>
      </c>
      <c r="U1370" s="129" t="s">
        <v>1618</v>
      </c>
      <c r="V1370" s="129" t="s">
        <v>1619</v>
      </c>
      <c r="W1370" s="130">
        <v>2</v>
      </c>
      <c r="X1370" s="130">
        <v>2</v>
      </c>
      <c r="Y1370" s="129" t="s">
        <v>194</v>
      </c>
      <c r="Z1370" s="129" t="s">
        <v>195</v>
      </c>
      <c r="AA1370" s="129" t="s">
        <v>196</v>
      </c>
      <c r="AB1370" s="129" t="s">
        <v>187</v>
      </c>
      <c r="AC1370" s="129" t="s">
        <v>187</v>
      </c>
      <c r="AD1370" s="131"/>
      <c r="AE1370" s="129" t="s">
        <v>209</v>
      </c>
      <c r="AF1370" s="130">
        <v>15.1984499998676</v>
      </c>
      <c r="AG1370" s="132">
        <v>107.895630000224</v>
      </c>
      <c r="AO1370" s="121"/>
      <c r="AT1370" s="111"/>
      <c r="AX1370" s="121"/>
    </row>
    <row r="1371" spans="1:50" s="110" customFormat="1" ht="20" customHeight="1">
      <c r="A1371" s="125" t="s">
        <v>185</v>
      </c>
      <c r="B1371" s="126" t="s">
        <v>59</v>
      </c>
      <c r="C1371" s="127">
        <v>10516</v>
      </c>
      <c r="D1371" s="163">
        <v>100659</v>
      </c>
      <c r="E1371" s="164" t="s">
        <v>4250</v>
      </c>
      <c r="F1371" s="164" t="s">
        <v>4251</v>
      </c>
      <c r="G1371" s="165">
        <v>32000</v>
      </c>
      <c r="H1371" s="165">
        <v>1</v>
      </c>
      <c r="I1371" s="164" t="s">
        <v>187</v>
      </c>
      <c r="J1371" s="164" t="s">
        <v>4252</v>
      </c>
      <c r="K1371" s="164" t="s">
        <v>4253</v>
      </c>
      <c r="L1371" s="165">
        <v>4</v>
      </c>
      <c r="M1371" s="165">
        <v>4</v>
      </c>
      <c r="N1371" s="164" t="s">
        <v>1548</v>
      </c>
      <c r="O1371" s="165">
        <v>4</v>
      </c>
      <c r="P1371" s="165">
        <v>1.7989999999999999</v>
      </c>
      <c r="Q1371" s="165">
        <v>19</v>
      </c>
      <c r="R1371" s="164" t="s">
        <v>654</v>
      </c>
      <c r="S1371" s="164" t="s">
        <v>655</v>
      </c>
      <c r="T1371" s="165">
        <v>244</v>
      </c>
      <c r="U1371" s="164" t="s">
        <v>656</v>
      </c>
      <c r="V1371" s="164" t="s">
        <v>657</v>
      </c>
      <c r="W1371" s="165">
        <v>1</v>
      </c>
      <c r="X1371" s="165">
        <v>2</v>
      </c>
      <c r="Y1371" s="164" t="s">
        <v>194</v>
      </c>
      <c r="Z1371" s="164" t="s">
        <v>195</v>
      </c>
      <c r="AA1371" s="164" t="s">
        <v>196</v>
      </c>
      <c r="AB1371" s="164" t="s">
        <v>187</v>
      </c>
      <c r="AC1371" s="164" t="s">
        <v>187</v>
      </c>
      <c r="AD1371" s="165">
        <v>1</v>
      </c>
      <c r="AE1371" s="164" t="s">
        <v>209</v>
      </c>
      <c r="AF1371" s="165">
        <v>-1.3124100000000001</v>
      </c>
      <c r="AG1371" s="166">
        <v>132.58322000000001</v>
      </c>
      <c r="AO1371" s="121"/>
      <c r="AT1371" s="111"/>
      <c r="AX1371" s="121"/>
    </row>
    <row r="1372" spans="1:50" s="110" customFormat="1" ht="20" customHeight="1">
      <c r="A1372" s="125" t="s">
        <v>185</v>
      </c>
      <c r="B1372" s="126" t="s">
        <v>59</v>
      </c>
      <c r="C1372" s="127">
        <v>18956</v>
      </c>
      <c r="D1372" s="163">
        <v>115434</v>
      </c>
      <c r="E1372" s="164" t="s">
        <v>2192</v>
      </c>
      <c r="F1372" s="164" t="s">
        <v>2192</v>
      </c>
      <c r="G1372" s="165">
        <v>800</v>
      </c>
      <c r="H1372" s="165">
        <v>1</v>
      </c>
      <c r="I1372" s="164" t="s">
        <v>187</v>
      </c>
      <c r="J1372" s="164" t="s">
        <v>2193</v>
      </c>
      <c r="K1372" s="164" t="s">
        <v>2192</v>
      </c>
      <c r="L1372" s="165">
        <v>0</v>
      </c>
      <c r="M1372" s="165">
        <v>4</v>
      </c>
      <c r="N1372" s="164" t="s">
        <v>1548</v>
      </c>
      <c r="O1372" s="165">
        <v>0</v>
      </c>
      <c r="P1372" s="165">
        <v>0</v>
      </c>
      <c r="Q1372" s="165">
        <v>19</v>
      </c>
      <c r="R1372" s="164" t="s">
        <v>654</v>
      </c>
      <c r="S1372" s="164" t="s">
        <v>655</v>
      </c>
      <c r="T1372" s="165">
        <v>244</v>
      </c>
      <c r="U1372" s="164" t="s">
        <v>656</v>
      </c>
      <c r="V1372" s="164" t="s">
        <v>657</v>
      </c>
      <c r="W1372" s="165">
        <v>1</v>
      </c>
      <c r="X1372" s="165">
        <v>2</v>
      </c>
      <c r="Y1372" s="164" t="s">
        <v>194</v>
      </c>
      <c r="Z1372" s="164" t="s">
        <v>195</v>
      </c>
      <c r="AA1372" s="164" t="s">
        <v>196</v>
      </c>
      <c r="AB1372" s="164" t="s">
        <v>187</v>
      </c>
      <c r="AC1372" s="164" t="s">
        <v>187</v>
      </c>
      <c r="AD1372" s="165">
        <v>1</v>
      </c>
      <c r="AE1372" s="164" t="s">
        <v>187</v>
      </c>
      <c r="AF1372" s="165">
        <v>-2.1111</v>
      </c>
      <c r="AG1372" s="166">
        <v>139.10980000000001</v>
      </c>
      <c r="AO1372" s="121"/>
      <c r="AT1372" s="111"/>
      <c r="AX1372" s="121"/>
    </row>
    <row r="1373" spans="1:50" s="110" customFormat="1" ht="20" customHeight="1">
      <c r="A1373" s="125" t="s">
        <v>185</v>
      </c>
      <c r="B1373" s="126" t="s">
        <v>59</v>
      </c>
      <c r="C1373" s="127">
        <v>18953</v>
      </c>
      <c r="D1373" s="163">
        <v>115414</v>
      </c>
      <c r="E1373" s="164" t="s">
        <v>2025</v>
      </c>
      <c r="F1373" s="164" t="s">
        <v>2025</v>
      </c>
      <c r="G1373" s="165">
        <v>600</v>
      </c>
      <c r="H1373" s="165">
        <v>1</v>
      </c>
      <c r="I1373" s="164" t="s">
        <v>187</v>
      </c>
      <c r="J1373" s="164" t="s">
        <v>2026</v>
      </c>
      <c r="K1373" s="164" t="s">
        <v>2025</v>
      </c>
      <c r="L1373" s="165">
        <v>1</v>
      </c>
      <c r="M1373" s="165">
        <v>4</v>
      </c>
      <c r="N1373" s="164" t="s">
        <v>1548</v>
      </c>
      <c r="O1373" s="165">
        <v>0</v>
      </c>
      <c r="P1373" s="165">
        <v>0</v>
      </c>
      <c r="Q1373" s="165">
        <v>19</v>
      </c>
      <c r="R1373" s="164" t="s">
        <v>654</v>
      </c>
      <c r="S1373" s="164" t="s">
        <v>655</v>
      </c>
      <c r="T1373" s="165">
        <v>244</v>
      </c>
      <c r="U1373" s="164" t="s">
        <v>656</v>
      </c>
      <c r="V1373" s="164" t="s">
        <v>657</v>
      </c>
      <c r="W1373" s="165">
        <v>1</v>
      </c>
      <c r="X1373" s="165">
        <v>2</v>
      </c>
      <c r="Y1373" s="164" t="s">
        <v>194</v>
      </c>
      <c r="Z1373" s="164" t="s">
        <v>195</v>
      </c>
      <c r="AA1373" s="164" t="s">
        <v>196</v>
      </c>
      <c r="AB1373" s="164" t="s">
        <v>187</v>
      </c>
      <c r="AC1373" s="164" t="s">
        <v>187</v>
      </c>
      <c r="AD1373" s="165">
        <v>1</v>
      </c>
      <c r="AE1373" s="164" t="s">
        <v>187</v>
      </c>
      <c r="AF1373" s="165">
        <v>-2.1814900000000002</v>
      </c>
      <c r="AG1373" s="166">
        <v>139.29218</v>
      </c>
      <c r="AO1373" s="121"/>
      <c r="AT1373" s="111"/>
      <c r="AX1373" s="121"/>
    </row>
    <row r="1374" spans="1:50" s="110" customFormat="1" ht="20" customHeight="1">
      <c r="A1374" s="125" t="s">
        <v>185</v>
      </c>
      <c r="B1374" s="126" t="s">
        <v>59</v>
      </c>
      <c r="C1374" s="127">
        <v>10358</v>
      </c>
      <c r="D1374" s="163">
        <v>100400</v>
      </c>
      <c r="E1374" s="164" t="s">
        <v>1820</v>
      </c>
      <c r="F1374" s="164" t="s">
        <v>1820</v>
      </c>
      <c r="G1374" s="165">
        <v>400</v>
      </c>
      <c r="H1374" s="165">
        <v>1</v>
      </c>
      <c r="I1374" s="164" t="s">
        <v>187</v>
      </c>
      <c r="J1374" s="164" t="s">
        <v>1821</v>
      </c>
      <c r="K1374" s="164" t="s">
        <v>1820</v>
      </c>
      <c r="L1374" s="165">
        <v>0</v>
      </c>
      <c r="M1374" s="165">
        <v>4</v>
      </c>
      <c r="N1374" s="164" t="s">
        <v>1548</v>
      </c>
      <c r="O1374" s="165">
        <v>0</v>
      </c>
      <c r="P1374" s="165">
        <v>0</v>
      </c>
      <c r="Q1374" s="165">
        <v>19</v>
      </c>
      <c r="R1374" s="164" t="s">
        <v>654</v>
      </c>
      <c r="S1374" s="164" t="s">
        <v>655</v>
      </c>
      <c r="T1374" s="165">
        <v>244</v>
      </c>
      <c r="U1374" s="164" t="s">
        <v>656</v>
      </c>
      <c r="V1374" s="164" t="s">
        <v>657</v>
      </c>
      <c r="W1374" s="165">
        <v>1</v>
      </c>
      <c r="X1374" s="165">
        <v>2</v>
      </c>
      <c r="Y1374" s="164" t="s">
        <v>194</v>
      </c>
      <c r="Z1374" s="164" t="s">
        <v>195</v>
      </c>
      <c r="AA1374" s="164" t="s">
        <v>196</v>
      </c>
      <c r="AB1374" s="164" t="s">
        <v>187</v>
      </c>
      <c r="AC1374" s="164" t="s">
        <v>187</v>
      </c>
      <c r="AD1374" s="165">
        <v>1</v>
      </c>
      <c r="AE1374" s="164" t="s">
        <v>187</v>
      </c>
      <c r="AF1374" s="165">
        <v>-2.2632599999999998</v>
      </c>
      <c r="AG1374" s="166">
        <v>139.4522</v>
      </c>
      <c r="AO1374" s="121"/>
      <c r="AT1374" s="111"/>
      <c r="AX1374" s="121"/>
    </row>
    <row r="1375" spans="1:50" s="110" customFormat="1" ht="20" customHeight="1">
      <c r="A1375" s="125" t="s">
        <v>185</v>
      </c>
      <c r="B1375" s="126" t="s">
        <v>59</v>
      </c>
      <c r="C1375" s="127">
        <v>19541</v>
      </c>
      <c r="D1375" s="163">
        <v>115413</v>
      </c>
      <c r="E1375" s="164" t="s">
        <v>1847</v>
      </c>
      <c r="F1375" s="164" t="s">
        <v>1847</v>
      </c>
      <c r="G1375" s="165">
        <v>400</v>
      </c>
      <c r="H1375" s="165">
        <v>1</v>
      </c>
      <c r="I1375" s="164" t="s">
        <v>187</v>
      </c>
      <c r="J1375" s="164" t="s">
        <v>1848</v>
      </c>
      <c r="K1375" s="164" t="s">
        <v>1847</v>
      </c>
      <c r="L1375" s="165">
        <v>1</v>
      </c>
      <c r="M1375" s="165">
        <v>4</v>
      </c>
      <c r="N1375" s="164" t="s">
        <v>1548</v>
      </c>
      <c r="O1375" s="165">
        <v>0</v>
      </c>
      <c r="P1375" s="165">
        <v>0</v>
      </c>
      <c r="Q1375" s="165">
        <v>19</v>
      </c>
      <c r="R1375" s="164" t="s">
        <v>654</v>
      </c>
      <c r="S1375" s="164" t="s">
        <v>655</v>
      </c>
      <c r="T1375" s="165">
        <v>244</v>
      </c>
      <c r="U1375" s="164" t="s">
        <v>656</v>
      </c>
      <c r="V1375" s="164" t="s">
        <v>657</v>
      </c>
      <c r="W1375" s="165">
        <v>1</v>
      </c>
      <c r="X1375" s="165">
        <v>2</v>
      </c>
      <c r="Y1375" s="164" t="s">
        <v>194</v>
      </c>
      <c r="Z1375" s="164" t="s">
        <v>195</v>
      </c>
      <c r="AA1375" s="164" t="s">
        <v>196</v>
      </c>
      <c r="AB1375" s="164" t="s">
        <v>187</v>
      </c>
      <c r="AC1375" s="164" t="s">
        <v>187</v>
      </c>
      <c r="AD1375" s="165">
        <v>1</v>
      </c>
      <c r="AE1375" s="164" t="s">
        <v>187</v>
      </c>
      <c r="AF1375" s="165">
        <v>-5.2597399999999999</v>
      </c>
      <c r="AG1375" s="166">
        <v>140.21953999999999</v>
      </c>
      <c r="AO1375" s="121"/>
      <c r="AT1375" s="111"/>
      <c r="AX1375" s="121"/>
    </row>
    <row r="1376" spans="1:50" s="110" customFormat="1" ht="20" customHeight="1">
      <c r="A1376" s="125" t="s">
        <v>185</v>
      </c>
      <c r="B1376" s="126" t="s">
        <v>59</v>
      </c>
      <c r="C1376" s="127">
        <v>19292</v>
      </c>
      <c r="D1376" s="163">
        <v>115047</v>
      </c>
      <c r="E1376" s="164" t="s">
        <v>1752</v>
      </c>
      <c r="F1376" s="164" t="s">
        <v>1752</v>
      </c>
      <c r="G1376" s="165">
        <v>300</v>
      </c>
      <c r="H1376" s="165">
        <v>1</v>
      </c>
      <c r="I1376" s="164" t="s">
        <v>187</v>
      </c>
      <c r="J1376" s="164" t="s">
        <v>1753</v>
      </c>
      <c r="K1376" s="164" t="s">
        <v>1752</v>
      </c>
      <c r="L1376" s="165">
        <v>1</v>
      </c>
      <c r="M1376" s="165">
        <v>4</v>
      </c>
      <c r="N1376" s="164" t="s">
        <v>1548</v>
      </c>
      <c r="O1376" s="165">
        <v>2</v>
      </c>
      <c r="P1376" s="165">
        <v>2</v>
      </c>
      <c r="Q1376" s="165">
        <v>19</v>
      </c>
      <c r="R1376" s="164" t="s">
        <v>654</v>
      </c>
      <c r="S1376" s="164" t="s">
        <v>655</v>
      </c>
      <c r="T1376" s="165">
        <v>244</v>
      </c>
      <c r="U1376" s="164" t="s">
        <v>656</v>
      </c>
      <c r="V1376" s="164" t="s">
        <v>657</v>
      </c>
      <c r="W1376" s="165">
        <v>1</v>
      </c>
      <c r="X1376" s="165">
        <v>2</v>
      </c>
      <c r="Y1376" s="164" t="s">
        <v>194</v>
      </c>
      <c r="Z1376" s="164" t="s">
        <v>195</v>
      </c>
      <c r="AA1376" s="164" t="s">
        <v>196</v>
      </c>
      <c r="AB1376" s="164" t="s">
        <v>187</v>
      </c>
      <c r="AC1376" s="164" t="s">
        <v>187</v>
      </c>
      <c r="AD1376" s="165">
        <v>1</v>
      </c>
      <c r="AE1376" s="164" t="s">
        <v>209</v>
      </c>
      <c r="AF1376" s="165">
        <v>-5.2267299999999999</v>
      </c>
      <c r="AG1376" s="166">
        <v>139.61345</v>
      </c>
      <c r="AO1376" s="121"/>
      <c r="AT1376" s="111"/>
      <c r="AX1376" s="121"/>
    </row>
    <row r="1377" spans="1:50" s="110" customFormat="1" ht="20" customHeight="1">
      <c r="A1377" s="125" t="s">
        <v>185</v>
      </c>
      <c r="B1377" s="126" t="s">
        <v>59</v>
      </c>
      <c r="C1377" s="127">
        <v>12915</v>
      </c>
      <c r="D1377" s="163">
        <v>105528</v>
      </c>
      <c r="E1377" s="164" t="s">
        <v>1667</v>
      </c>
      <c r="F1377" s="164" t="s">
        <v>1667</v>
      </c>
      <c r="G1377" s="165">
        <v>200</v>
      </c>
      <c r="H1377" s="165">
        <v>1</v>
      </c>
      <c r="I1377" s="164" t="s">
        <v>187</v>
      </c>
      <c r="J1377" s="164" t="s">
        <v>1668</v>
      </c>
      <c r="K1377" s="164" t="s">
        <v>1669</v>
      </c>
      <c r="L1377" s="165">
        <v>1</v>
      </c>
      <c r="M1377" s="165">
        <v>4</v>
      </c>
      <c r="N1377" s="164" t="s">
        <v>1548</v>
      </c>
      <c r="O1377" s="165">
        <v>0</v>
      </c>
      <c r="P1377" s="165">
        <v>0</v>
      </c>
      <c r="Q1377" s="165">
        <v>19</v>
      </c>
      <c r="R1377" s="164" t="s">
        <v>654</v>
      </c>
      <c r="S1377" s="164" t="s">
        <v>655</v>
      </c>
      <c r="T1377" s="165">
        <v>244</v>
      </c>
      <c r="U1377" s="164" t="s">
        <v>656</v>
      </c>
      <c r="V1377" s="164" t="s">
        <v>657</v>
      </c>
      <c r="W1377" s="165">
        <v>2</v>
      </c>
      <c r="X1377" s="165">
        <v>2</v>
      </c>
      <c r="Y1377" s="164" t="s">
        <v>194</v>
      </c>
      <c r="Z1377" s="164" t="s">
        <v>195</v>
      </c>
      <c r="AA1377" s="164" t="s">
        <v>196</v>
      </c>
      <c r="AB1377" s="164" t="s">
        <v>187</v>
      </c>
      <c r="AC1377" s="164" t="s">
        <v>187</v>
      </c>
      <c r="AD1377" s="165">
        <v>1</v>
      </c>
      <c r="AE1377" s="164" t="s">
        <v>187</v>
      </c>
      <c r="AF1377" s="165">
        <v>-5.1150200000000003</v>
      </c>
      <c r="AG1377" s="166">
        <v>139.91189</v>
      </c>
      <c r="AO1377" s="121"/>
      <c r="AT1377" s="111"/>
      <c r="AX1377" s="121"/>
    </row>
    <row r="1378" spans="1:50" s="110" customFormat="1" ht="20" customHeight="1">
      <c r="A1378" s="125" t="s">
        <v>185</v>
      </c>
      <c r="B1378" s="126" t="s">
        <v>59</v>
      </c>
      <c r="C1378" s="127">
        <v>14856</v>
      </c>
      <c r="D1378" s="157">
        <v>108846</v>
      </c>
      <c r="E1378" s="158" t="s">
        <v>4368</v>
      </c>
      <c r="F1378" s="158" t="s">
        <v>4369</v>
      </c>
      <c r="G1378" s="159">
        <v>41000</v>
      </c>
      <c r="H1378" s="159">
        <v>2</v>
      </c>
      <c r="I1378" s="158" t="s">
        <v>209</v>
      </c>
      <c r="J1378" s="158" t="s">
        <v>4370</v>
      </c>
      <c r="K1378" s="158" t="s">
        <v>4368</v>
      </c>
      <c r="L1378" s="159">
        <v>4</v>
      </c>
      <c r="M1378" s="159">
        <v>4</v>
      </c>
      <c r="N1378" s="158" t="s">
        <v>1548</v>
      </c>
      <c r="O1378" s="159">
        <v>20</v>
      </c>
      <c r="P1378" s="159">
        <v>2</v>
      </c>
      <c r="Q1378" s="159">
        <v>19</v>
      </c>
      <c r="R1378" s="158" t="s">
        <v>654</v>
      </c>
      <c r="S1378" s="158" t="s">
        <v>655</v>
      </c>
      <c r="T1378" s="159">
        <v>244</v>
      </c>
      <c r="U1378" s="158" t="s">
        <v>656</v>
      </c>
      <c r="V1378" s="158" t="s">
        <v>657</v>
      </c>
      <c r="W1378" s="159">
        <v>1</v>
      </c>
      <c r="X1378" s="159">
        <v>2</v>
      </c>
      <c r="Y1378" s="158" t="s">
        <v>194</v>
      </c>
      <c r="Z1378" s="158" t="s">
        <v>195</v>
      </c>
      <c r="AA1378" s="158" t="s">
        <v>196</v>
      </c>
      <c r="AB1378" s="158" t="s">
        <v>187</v>
      </c>
      <c r="AC1378" s="158" t="s">
        <v>187</v>
      </c>
      <c r="AD1378" s="160"/>
      <c r="AE1378" s="158" t="s">
        <v>209</v>
      </c>
      <c r="AF1378" s="159">
        <v>-2.5999300000000001</v>
      </c>
      <c r="AG1378" s="161">
        <v>140.51954000000001</v>
      </c>
      <c r="AO1378" s="121"/>
      <c r="AT1378" s="111"/>
      <c r="AX1378" s="121"/>
    </row>
    <row r="1379" spans="1:50" s="110" customFormat="1" ht="20" customHeight="1">
      <c r="A1379" s="125" t="s">
        <v>185</v>
      </c>
      <c r="B1379" s="126" t="s">
        <v>59</v>
      </c>
      <c r="C1379" s="127">
        <v>18747</v>
      </c>
      <c r="D1379" s="157">
        <v>114385</v>
      </c>
      <c r="E1379" s="158" t="s">
        <v>3487</v>
      </c>
      <c r="F1379" s="158" t="s">
        <v>3487</v>
      </c>
      <c r="G1379" s="159">
        <v>8200</v>
      </c>
      <c r="H1379" s="159">
        <v>2</v>
      </c>
      <c r="I1379" s="158" t="s">
        <v>209</v>
      </c>
      <c r="J1379" s="158" t="s">
        <v>3488</v>
      </c>
      <c r="K1379" s="158" t="s">
        <v>3489</v>
      </c>
      <c r="L1379" s="159">
        <v>4</v>
      </c>
      <c r="M1379" s="159">
        <v>4</v>
      </c>
      <c r="N1379" s="158" t="s">
        <v>1548</v>
      </c>
      <c r="O1379" s="159">
        <v>25</v>
      </c>
      <c r="P1379" s="159">
        <v>2</v>
      </c>
      <c r="Q1379" s="159">
        <v>19</v>
      </c>
      <c r="R1379" s="158" t="s">
        <v>654</v>
      </c>
      <c r="S1379" s="158" t="s">
        <v>655</v>
      </c>
      <c r="T1379" s="159">
        <v>244</v>
      </c>
      <c r="U1379" s="158" t="s">
        <v>656</v>
      </c>
      <c r="V1379" s="158" t="s">
        <v>657</v>
      </c>
      <c r="W1379" s="159">
        <v>1</v>
      </c>
      <c r="X1379" s="159">
        <v>2</v>
      </c>
      <c r="Y1379" s="158" t="s">
        <v>194</v>
      </c>
      <c r="Z1379" s="158" t="s">
        <v>195</v>
      </c>
      <c r="AA1379" s="158" t="s">
        <v>196</v>
      </c>
      <c r="AB1379" s="158" t="s">
        <v>187</v>
      </c>
      <c r="AC1379" s="158" t="s">
        <v>187</v>
      </c>
      <c r="AD1379" s="160"/>
      <c r="AE1379" s="158" t="s">
        <v>209</v>
      </c>
      <c r="AF1379" s="159">
        <v>-4.0972789786419499</v>
      </c>
      <c r="AG1379" s="161">
        <v>138.94454632885001</v>
      </c>
      <c r="AO1379" s="121"/>
      <c r="AT1379" s="111"/>
      <c r="AX1379" s="121"/>
    </row>
    <row r="1380" spans="1:50" s="110" customFormat="1" ht="20" customHeight="1">
      <c r="A1380" s="125" t="s">
        <v>185</v>
      </c>
      <c r="B1380" s="126" t="s">
        <v>59</v>
      </c>
      <c r="C1380" s="127">
        <v>12804</v>
      </c>
      <c r="D1380" s="157">
        <v>105244</v>
      </c>
      <c r="E1380" s="158" t="s">
        <v>3078</v>
      </c>
      <c r="F1380" s="158" t="s">
        <v>3078</v>
      </c>
      <c r="G1380" s="159">
        <v>4300</v>
      </c>
      <c r="H1380" s="159">
        <v>2</v>
      </c>
      <c r="I1380" s="158" t="s">
        <v>209</v>
      </c>
      <c r="J1380" s="158" t="s">
        <v>3079</v>
      </c>
      <c r="K1380" s="158" t="s">
        <v>3078</v>
      </c>
      <c r="L1380" s="159">
        <v>1</v>
      </c>
      <c r="M1380" s="159">
        <v>4</v>
      </c>
      <c r="N1380" s="158" t="s">
        <v>1548</v>
      </c>
      <c r="O1380" s="159">
        <v>30</v>
      </c>
      <c r="P1380" s="159">
        <v>2</v>
      </c>
      <c r="Q1380" s="159">
        <v>19</v>
      </c>
      <c r="R1380" s="158" t="s">
        <v>654</v>
      </c>
      <c r="S1380" s="158" t="s">
        <v>655</v>
      </c>
      <c r="T1380" s="159">
        <v>244</v>
      </c>
      <c r="U1380" s="158" t="s">
        <v>656</v>
      </c>
      <c r="V1380" s="158" t="s">
        <v>657</v>
      </c>
      <c r="W1380" s="159">
        <v>1</v>
      </c>
      <c r="X1380" s="159">
        <v>2</v>
      </c>
      <c r="Y1380" s="158" t="s">
        <v>194</v>
      </c>
      <c r="Z1380" s="158" t="s">
        <v>195</v>
      </c>
      <c r="AA1380" s="158" t="s">
        <v>196</v>
      </c>
      <c r="AB1380" s="158" t="s">
        <v>187</v>
      </c>
      <c r="AC1380" s="158" t="s">
        <v>187</v>
      </c>
      <c r="AD1380" s="160"/>
      <c r="AE1380" s="158" t="s">
        <v>209</v>
      </c>
      <c r="AF1380" s="159">
        <v>-5.23637</v>
      </c>
      <c r="AG1380" s="161">
        <v>139.95937000000001</v>
      </c>
      <c r="AO1380" s="121"/>
      <c r="AT1380" s="111"/>
      <c r="AX1380" s="121"/>
    </row>
    <row r="1381" spans="1:50" s="110" customFormat="1" ht="20" customHeight="1">
      <c r="A1381" s="125" t="s">
        <v>185</v>
      </c>
      <c r="B1381" s="126" t="s">
        <v>59</v>
      </c>
      <c r="C1381" s="127">
        <v>15857</v>
      </c>
      <c r="D1381" s="157">
        <v>110678</v>
      </c>
      <c r="E1381" s="158" t="s">
        <v>2364</v>
      </c>
      <c r="F1381" s="158" t="s">
        <v>2364</v>
      </c>
      <c r="G1381" s="159">
        <v>1100</v>
      </c>
      <c r="H1381" s="159">
        <v>2</v>
      </c>
      <c r="I1381" s="158" t="s">
        <v>209</v>
      </c>
      <c r="J1381" s="158" t="s">
        <v>2365</v>
      </c>
      <c r="K1381" s="158" t="s">
        <v>2364</v>
      </c>
      <c r="L1381" s="159">
        <v>3</v>
      </c>
      <c r="M1381" s="159">
        <v>4</v>
      </c>
      <c r="N1381" s="158" t="s">
        <v>1548</v>
      </c>
      <c r="O1381" s="159">
        <v>25</v>
      </c>
      <c r="P1381" s="159">
        <v>2</v>
      </c>
      <c r="Q1381" s="159">
        <v>19</v>
      </c>
      <c r="R1381" s="158" t="s">
        <v>654</v>
      </c>
      <c r="S1381" s="158" t="s">
        <v>655</v>
      </c>
      <c r="T1381" s="159">
        <v>244</v>
      </c>
      <c r="U1381" s="158" t="s">
        <v>656</v>
      </c>
      <c r="V1381" s="158" t="s">
        <v>657</v>
      </c>
      <c r="W1381" s="159">
        <v>1</v>
      </c>
      <c r="X1381" s="159">
        <v>2</v>
      </c>
      <c r="Y1381" s="158" t="s">
        <v>194</v>
      </c>
      <c r="Z1381" s="158" t="s">
        <v>195</v>
      </c>
      <c r="AA1381" s="158" t="s">
        <v>196</v>
      </c>
      <c r="AB1381" s="158" t="s">
        <v>187</v>
      </c>
      <c r="AC1381" s="158" t="s">
        <v>187</v>
      </c>
      <c r="AD1381" s="160"/>
      <c r="AE1381" s="158" t="s">
        <v>209</v>
      </c>
      <c r="AF1381" s="159">
        <v>-3.4877099999999999</v>
      </c>
      <c r="AG1381" s="161">
        <v>137.66576000000001</v>
      </c>
      <c r="AO1381" s="121"/>
      <c r="AT1381" s="111"/>
      <c r="AX1381" s="121"/>
    </row>
    <row r="1382" spans="1:50" s="110" customFormat="1" ht="20" customHeight="1">
      <c r="A1382" s="125" t="s">
        <v>185</v>
      </c>
      <c r="B1382" s="126" t="s">
        <v>59</v>
      </c>
      <c r="C1382" s="127">
        <v>19297</v>
      </c>
      <c r="D1382" s="157">
        <v>115369</v>
      </c>
      <c r="E1382" s="158" t="s">
        <v>2265</v>
      </c>
      <c r="F1382" s="158" t="s">
        <v>2265</v>
      </c>
      <c r="G1382" s="159">
        <v>900</v>
      </c>
      <c r="H1382" s="159">
        <v>2</v>
      </c>
      <c r="I1382" s="158" t="s">
        <v>209</v>
      </c>
      <c r="J1382" s="158" t="s">
        <v>2266</v>
      </c>
      <c r="K1382" s="158" t="s">
        <v>2265</v>
      </c>
      <c r="L1382" s="159">
        <v>2</v>
      </c>
      <c r="M1382" s="159">
        <v>4</v>
      </c>
      <c r="N1382" s="158" t="s">
        <v>1548</v>
      </c>
      <c r="O1382" s="159">
        <v>10</v>
      </c>
      <c r="P1382" s="159">
        <v>2</v>
      </c>
      <c r="Q1382" s="159">
        <v>19</v>
      </c>
      <c r="R1382" s="158" t="s">
        <v>654</v>
      </c>
      <c r="S1382" s="158" t="s">
        <v>655</v>
      </c>
      <c r="T1382" s="159">
        <v>244</v>
      </c>
      <c r="U1382" s="158" t="s">
        <v>656</v>
      </c>
      <c r="V1382" s="158" t="s">
        <v>657</v>
      </c>
      <c r="W1382" s="159">
        <v>1</v>
      </c>
      <c r="X1382" s="159">
        <v>2</v>
      </c>
      <c r="Y1382" s="158" t="s">
        <v>194</v>
      </c>
      <c r="Z1382" s="158" t="s">
        <v>195</v>
      </c>
      <c r="AA1382" s="158" t="s">
        <v>196</v>
      </c>
      <c r="AB1382" s="158" t="s">
        <v>187</v>
      </c>
      <c r="AC1382" s="158" t="s">
        <v>187</v>
      </c>
      <c r="AD1382" s="160"/>
      <c r="AE1382" s="158" t="s">
        <v>209</v>
      </c>
      <c r="AF1382" s="159">
        <v>-5.1457600000000001</v>
      </c>
      <c r="AG1382" s="161">
        <v>140.52054999999999</v>
      </c>
      <c r="AO1382" s="121"/>
      <c r="AT1382" s="111"/>
      <c r="AX1382" s="121"/>
    </row>
    <row r="1383" spans="1:50" s="110" customFormat="1" ht="20" customHeight="1">
      <c r="A1383" s="125" t="s">
        <v>185</v>
      </c>
      <c r="B1383" s="126" t="s">
        <v>59</v>
      </c>
      <c r="C1383" s="127">
        <v>10562</v>
      </c>
      <c r="D1383" s="157">
        <v>100757</v>
      </c>
      <c r="E1383" s="158" t="s">
        <v>1926</v>
      </c>
      <c r="F1383" s="158" t="s">
        <v>1926</v>
      </c>
      <c r="G1383" s="159">
        <v>500</v>
      </c>
      <c r="H1383" s="159">
        <v>2</v>
      </c>
      <c r="I1383" s="158" t="s">
        <v>209</v>
      </c>
      <c r="J1383" s="158" t="s">
        <v>1927</v>
      </c>
      <c r="K1383" s="158" t="s">
        <v>1926</v>
      </c>
      <c r="L1383" s="159">
        <v>1</v>
      </c>
      <c r="M1383" s="159">
        <v>4</v>
      </c>
      <c r="N1383" s="158" t="s">
        <v>1548</v>
      </c>
      <c r="O1383" s="159">
        <v>12</v>
      </c>
      <c r="P1383" s="159">
        <v>1</v>
      </c>
      <c r="Q1383" s="159">
        <v>19</v>
      </c>
      <c r="R1383" s="158" t="s">
        <v>654</v>
      </c>
      <c r="S1383" s="158" t="s">
        <v>655</v>
      </c>
      <c r="T1383" s="159">
        <v>244</v>
      </c>
      <c r="U1383" s="158" t="s">
        <v>656</v>
      </c>
      <c r="V1383" s="158" t="s">
        <v>657</v>
      </c>
      <c r="W1383" s="159">
        <v>1</v>
      </c>
      <c r="X1383" s="159">
        <v>2</v>
      </c>
      <c r="Y1383" s="158" t="s">
        <v>194</v>
      </c>
      <c r="Z1383" s="158" t="s">
        <v>195</v>
      </c>
      <c r="AA1383" s="158" t="s">
        <v>196</v>
      </c>
      <c r="AB1383" s="158" t="s">
        <v>187</v>
      </c>
      <c r="AC1383" s="158" t="s">
        <v>187</v>
      </c>
      <c r="AD1383" s="160"/>
      <c r="AE1383" s="158" t="s">
        <v>209</v>
      </c>
      <c r="AF1383" s="159">
        <v>-1.9870699999999999</v>
      </c>
      <c r="AG1383" s="161">
        <v>137.91051999999999</v>
      </c>
      <c r="AO1383" s="121"/>
      <c r="AT1383" s="111"/>
      <c r="AX1383" s="121"/>
    </row>
    <row r="1384" spans="1:50" s="110" customFormat="1" ht="20" customHeight="1">
      <c r="A1384" s="125" t="s">
        <v>185</v>
      </c>
      <c r="B1384" s="126" t="s">
        <v>59</v>
      </c>
      <c r="C1384" s="127">
        <v>15736</v>
      </c>
      <c r="D1384" s="157">
        <v>110435</v>
      </c>
      <c r="E1384" s="158" t="s">
        <v>1944</v>
      </c>
      <c r="F1384" s="158" t="s">
        <v>1944</v>
      </c>
      <c r="G1384" s="159">
        <v>500</v>
      </c>
      <c r="H1384" s="159">
        <v>2</v>
      </c>
      <c r="I1384" s="158" t="s">
        <v>209</v>
      </c>
      <c r="J1384" s="158" t="s">
        <v>1945</v>
      </c>
      <c r="K1384" s="158" t="s">
        <v>1944</v>
      </c>
      <c r="L1384" s="159">
        <v>1</v>
      </c>
      <c r="M1384" s="159">
        <v>4</v>
      </c>
      <c r="N1384" s="158" t="s">
        <v>1548</v>
      </c>
      <c r="O1384" s="159">
        <v>48</v>
      </c>
      <c r="P1384" s="159">
        <v>2</v>
      </c>
      <c r="Q1384" s="159">
        <v>19</v>
      </c>
      <c r="R1384" s="158" t="s">
        <v>654</v>
      </c>
      <c r="S1384" s="158" t="s">
        <v>655</v>
      </c>
      <c r="T1384" s="159">
        <v>244</v>
      </c>
      <c r="U1384" s="158" t="s">
        <v>656</v>
      </c>
      <c r="V1384" s="158" t="s">
        <v>657</v>
      </c>
      <c r="W1384" s="159">
        <v>1</v>
      </c>
      <c r="X1384" s="159">
        <v>2</v>
      </c>
      <c r="Y1384" s="158" t="s">
        <v>194</v>
      </c>
      <c r="Z1384" s="158" t="s">
        <v>195</v>
      </c>
      <c r="AA1384" s="158" t="s">
        <v>196</v>
      </c>
      <c r="AB1384" s="158" t="s">
        <v>187</v>
      </c>
      <c r="AC1384" s="158" t="s">
        <v>187</v>
      </c>
      <c r="AD1384" s="160"/>
      <c r="AE1384" s="158" t="s">
        <v>209</v>
      </c>
      <c r="AF1384" s="159">
        <v>-3.4556100000000001</v>
      </c>
      <c r="AG1384" s="161">
        <v>132.74311</v>
      </c>
      <c r="AO1384" s="121"/>
      <c r="AT1384" s="111"/>
      <c r="AX1384" s="121"/>
    </row>
    <row r="1385" spans="1:50" s="110" customFormat="1" ht="20" customHeight="1">
      <c r="A1385" s="125" t="s">
        <v>185</v>
      </c>
      <c r="B1385" s="126" t="s">
        <v>59</v>
      </c>
      <c r="C1385" s="127">
        <v>13959</v>
      </c>
      <c r="D1385" s="157">
        <v>107368</v>
      </c>
      <c r="E1385" s="158" t="s">
        <v>1862</v>
      </c>
      <c r="F1385" s="158" t="s">
        <v>1862</v>
      </c>
      <c r="G1385" s="159">
        <v>400</v>
      </c>
      <c r="H1385" s="159">
        <v>2</v>
      </c>
      <c r="I1385" s="158" t="s">
        <v>209</v>
      </c>
      <c r="J1385" s="158" t="s">
        <v>1863</v>
      </c>
      <c r="K1385" s="158" t="s">
        <v>1864</v>
      </c>
      <c r="L1385" s="159">
        <v>1</v>
      </c>
      <c r="M1385" s="159">
        <v>4</v>
      </c>
      <c r="N1385" s="158" t="s">
        <v>1548</v>
      </c>
      <c r="O1385" s="159">
        <v>10</v>
      </c>
      <c r="P1385" s="159">
        <v>2</v>
      </c>
      <c r="Q1385" s="159">
        <v>19</v>
      </c>
      <c r="R1385" s="158" t="s">
        <v>654</v>
      </c>
      <c r="S1385" s="158" t="s">
        <v>655</v>
      </c>
      <c r="T1385" s="159">
        <v>244</v>
      </c>
      <c r="U1385" s="158" t="s">
        <v>656</v>
      </c>
      <c r="V1385" s="158" t="s">
        <v>657</v>
      </c>
      <c r="W1385" s="159">
        <v>1</v>
      </c>
      <c r="X1385" s="159">
        <v>2</v>
      </c>
      <c r="Y1385" s="158" t="s">
        <v>194</v>
      </c>
      <c r="Z1385" s="158" t="s">
        <v>195</v>
      </c>
      <c r="AA1385" s="158" t="s">
        <v>196</v>
      </c>
      <c r="AB1385" s="158" t="s">
        <v>187</v>
      </c>
      <c r="AC1385" s="158" t="s">
        <v>187</v>
      </c>
      <c r="AD1385" s="160"/>
      <c r="AE1385" s="158" t="s">
        <v>209</v>
      </c>
      <c r="AF1385" s="159">
        <v>-2.53389</v>
      </c>
      <c r="AG1385" s="161">
        <v>138.49887000000001</v>
      </c>
      <c r="AO1385" s="121"/>
      <c r="AT1385" s="111"/>
      <c r="AX1385" s="121"/>
    </row>
    <row r="1386" spans="1:50" s="110" customFormat="1" ht="20" customHeight="1">
      <c r="A1386" s="125" t="s">
        <v>185</v>
      </c>
      <c r="B1386" s="126" t="s">
        <v>59</v>
      </c>
      <c r="C1386" s="127">
        <v>15871</v>
      </c>
      <c r="D1386" s="157">
        <v>110696</v>
      </c>
      <c r="E1386" s="158" t="s">
        <v>1879</v>
      </c>
      <c r="F1386" s="158" t="s">
        <v>1879</v>
      </c>
      <c r="G1386" s="159">
        <v>400</v>
      </c>
      <c r="H1386" s="159">
        <v>2</v>
      </c>
      <c r="I1386" s="158" t="s">
        <v>209</v>
      </c>
      <c r="J1386" s="158" t="s">
        <v>1880</v>
      </c>
      <c r="K1386" s="158" t="s">
        <v>1879</v>
      </c>
      <c r="L1386" s="159">
        <v>1</v>
      </c>
      <c r="M1386" s="159">
        <v>4</v>
      </c>
      <c r="N1386" s="158" t="s">
        <v>1548</v>
      </c>
      <c r="O1386" s="159">
        <v>40</v>
      </c>
      <c r="P1386" s="159">
        <v>2</v>
      </c>
      <c r="Q1386" s="159">
        <v>19</v>
      </c>
      <c r="R1386" s="158" t="s">
        <v>654</v>
      </c>
      <c r="S1386" s="158" t="s">
        <v>655</v>
      </c>
      <c r="T1386" s="159">
        <v>244</v>
      </c>
      <c r="U1386" s="158" t="s">
        <v>656</v>
      </c>
      <c r="V1386" s="158" t="s">
        <v>657</v>
      </c>
      <c r="W1386" s="159">
        <v>1</v>
      </c>
      <c r="X1386" s="159">
        <v>2</v>
      </c>
      <c r="Y1386" s="158" t="s">
        <v>194</v>
      </c>
      <c r="Z1386" s="158" t="s">
        <v>195</v>
      </c>
      <c r="AA1386" s="158" t="s">
        <v>196</v>
      </c>
      <c r="AB1386" s="158" t="s">
        <v>187</v>
      </c>
      <c r="AC1386" s="158" t="s">
        <v>187</v>
      </c>
      <c r="AD1386" s="160"/>
      <c r="AE1386" s="158" t="s">
        <v>209</v>
      </c>
      <c r="AF1386" s="159">
        <v>-5.7847499999999998</v>
      </c>
      <c r="AG1386" s="161">
        <v>138.63460000000001</v>
      </c>
      <c r="AO1386" s="121"/>
      <c r="AT1386" s="111"/>
      <c r="AX1386" s="121"/>
    </row>
    <row r="1387" spans="1:50" s="110" customFormat="1" ht="20" customHeight="1">
      <c r="A1387" s="125" t="s">
        <v>185</v>
      </c>
      <c r="B1387" s="126" t="s">
        <v>59</v>
      </c>
      <c r="C1387" s="127">
        <v>11025</v>
      </c>
      <c r="D1387" s="157">
        <v>101763</v>
      </c>
      <c r="E1387" s="158" t="s">
        <v>1649</v>
      </c>
      <c r="F1387" s="158" t="s">
        <v>1649</v>
      </c>
      <c r="G1387" s="159">
        <v>200</v>
      </c>
      <c r="H1387" s="159">
        <v>2</v>
      </c>
      <c r="I1387" s="158" t="s">
        <v>209</v>
      </c>
      <c r="J1387" s="158" t="s">
        <v>1650</v>
      </c>
      <c r="K1387" s="158" t="s">
        <v>1649</v>
      </c>
      <c r="L1387" s="159">
        <v>0</v>
      </c>
      <c r="M1387" s="159">
        <v>4</v>
      </c>
      <c r="N1387" s="158" t="s">
        <v>1548</v>
      </c>
      <c r="O1387" s="159">
        <v>10</v>
      </c>
      <c r="P1387" s="159">
        <v>2</v>
      </c>
      <c r="Q1387" s="159">
        <v>19</v>
      </c>
      <c r="R1387" s="158" t="s">
        <v>654</v>
      </c>
      <c r="S1387" s="158" t="s">
        <v>655</v>
      </c>
      <c r="T1387" s="159">
        <v>244</v>
      </c>
      <c r="U1387" s="158" t="s">
        <v>656</v>
      </c>
      <c r="V1387" s="158" t="s">
        <v>657</v>
      </c>
      <c r="W1387" s="159">
        <v>1</v>
      </c>
      <c r="X1387" s="159">
        <v>2</v>
      </c>
      <c r="Y1387" s="158" t="s">
        <v>194</v>
      </c>
      <c r="Z1387" s="158" t="s">
        <v>195</v>
      </c>
      <c r="AA1387" s="158" t="s">
        <v>196</v>
      </c>
      <c r="AB1387" s="158" t="s">
        <v>187</v>
      </c>
      <c r="AC1387" s="158" t="s">
        <v>187</v>
      </c>
      <c r="AD1387" s="160"/>
      <c r="AE1387" s="158" t="s">
        <v>209</v>
      </c>
      <c r="AF1387" s="159">
        <v>-2.8907699999999998</v>
      </c>
      <c r="AG1387" s="161">
        <v>136.04560000000001</v>
      </c>
      <c r="AO1387" s="121"/>
      <c r="AT1387" s="111"/>
      <c r="AX1387" s="121"/>
    </row>
    <row r="1388" spans="1:50" s="110" customFormat="1" ht="20" customHeight="1">
      <c r="A1388" s="125" t="s">
        <v>185</v>
      </c>
      <c r="B1388" s="126" t="s">
        <v>59</v>
      </c>
      <c r="C1388" s="127">
        <v>18951</v>
      </c>
      <c r="D1388" s="157">
        <v>115409</v>
      </c>
      <c r="E1388" s="158" t="s">
        <v>1660</v>
      </c>
      <c r="F1388" s="158" t="s">
        <v>1660</v>
      </c>
      <c r="G1388" s="159">
        <v>200</v>
      </c>
      <c r="H1388" s="159">
        <v>2</v>
      </c>
      <c r="I1388" s="158" t="s">
        <v>209</v>
      </c>
      <c r="J1388" s="158" t="s">
        <v>1661</v>
      </c>
      <c r="K1388" s="158" t="s">
        <v>1660</v>
      </c>
      <c r="L1388" s="159">
        <v>1</v>
      </c>
      <c r="M1388" s="159">
        <v>4</v>
      </c>
      <c r="N1388" s="158" t="s">
        <v>1548</v>
      </c>
      <c r="O1388" s="159">
        <v>10</v>
      </c>
      <c r="P1388" s="159">
        <v>1</v>
      </c>
      <c r="Q1388" s="159">
        <v>19</v>
      </c>
      <c r="R1388" s="158" t="s">
        <v>654</v>
      </c>
      <c r="S1388" s="158" t="s">
        <v>655</v>
      </c>
      <c r="T1388" s="159">
        <v>244</v>
      </c>
      <c r="U1388" s="158" t="s">
        <v>656</v>
      </c>
      <c r="V1388" s="158" t="s">
        <v>657</v>
      </c>
      <c r="W1388" s="159">
        <v>1</v>
      </c>
      <c r="X1388" s="159">
        <v>2</v>
      </c>
      <c r="Y1388" s="158" t="s">
        <v>194</v>
      </c>
      <c r="Z1388" s="158" t="s">
        <v>195</v>
      </c>
      <c r="AA1388" s="158" t="s">
        <v>196</v>
      </c>
      <c r="AB1388" s="158" t="s">
        <v>187</v>
      </c>
      <c r="AC1388" s="158" t="s">
        <v>187</v>
      </c>
      <c r="AD1388" s="160"/>
      <c r="AE1388" s="158" t="s">
        <v>209</v>
      </c>
      <c r="AF1388" s="159">
        <v>-2.3397199999999998</v>
      </c>
      <c r="AG1388" s="161">
        <v>139.49986000000001</v>
      </c>
      <c r="AO1388" s="121"/>
      <c r="AT1388" s="111"/>
      <c r="AX1388" s="121"/>
    </row>
    <row r="1389" spans="1:50" s="110" customFormat="1" ht="20" customHeight="1">
      <c r="A1389" s="125" t="s">
        <v>185</v>
      </c>
      <c r="B1389" s="126" t="s">
        <v>59</v>
      </c>
      <c r="C1389" s="127">
        <v>12595</v>
      </c>
      <c r="D1389" s="145">
        <v>104786</v>
      </c>
      <c r="E1389" s="146" t="s">
        <v>3835</v>
      </c>
      <c r="F1389" s="146" t="s">
        <v>3835</v>
      </c>
      <c r="G1389" s="147">
        <v>14000</v>
      </c>
      <c r="H1389" s="147">
        <v>4</v>
      </c>
      <c r="I1389" s="146" t="s">
        <v>209</v>
      </c>
      <c r="J1389" s="146" t="s">
        <v>3836</v>
      </c>
      <c r="K1389" s="146" t="s">
        <v>3835</v>
      </c>
      <c r="L1389" s="147">
        <v>1</v>
      </c>
      <c r="M1389" s="147">
        <v>4</v>
      </c>
      <c r="N1389" s="146" t="s">
        <v>1548</v>
      </c>
      <c r="O1389" s="147">
        <v>20</v>
      </c>
      <c r="P1389" s="147">
        <v>3</v>
      </c>
      <c r="Q1389" s="147">
        <v>19</v>
      </c>
      <c r="R1389" s="146" t="s">
        <v>654</v>
      </c>
      <c r="S1389" s="146" t="s">
        <v>655</v>
      </c>
      <c r="T1389" s="147">
        <v>244</v>
      </c>
      <c r="U1389" s="146" t="s">
        <v>656</v>
      </c>
      <c r="V1389" s="146" t="s">
        <v>657</v>
      </c>
      <c r="W1389" s="147">
        <v>1</v>
      </c>
      <c r="X1389" s="147">
        <v>2</v>
      </c>
      <c r="Y1389" s="146" t="s">
        <v>194</v>
      </c>
      <c r="Z1389" s="146" t="s">
        <v>195</v>
      </c>
      <c r="AA1389" s="146" t="s">
        <v>196</v>
      </c>
      <c r="AB1389" s="146" t="s">
        <v>187</v>
      </c>
      <c r="AC1389" s="146" t="s">
        <v>187</v>
      </c>
      <c r="AD1389" s="148"/>
      <c r="AE1389" s="146" t="s">
        <v>209</v>
      </c>
      <c r="AF1389" s="147">
        <v>-6.3734400000000004</v>
      </c>
      <c r="AG1389" s="149">
        <v>138.91847999999999</v>
      </c>
      <c r="AO1389" s="121"/>
      <c r="AT1389" s="111"/>
      <c r="AX1389" s="121"/>
    </row>
    <row r="1390" spans="1:50" s="110" customFormat="1" ht="20" customHeight="1">
      <c r="A1390" s="125" t="s">
        <v>185</v>
      </c>
      <c r="B1390" s="126" t="s">
        <v>59</v>
      </c>
      <c r="C1390" s="127">
        <v>13332</v>
      </c>
      <c r="D1390" s="145">
        <v>107233</v>
      </c>
      <c r="E1390" s="146" t="s">
        <v>3463</v>
      </c>
      <c r="F1390" s="146" t="s">
        <v>3464</v>
      </c>
      <c r="G1390" s="147">
        <v>8000</v>
      </c>
      <c r="H1390" s="147">
        <v>4</v>
      </c>
      <c r="I1390" s="146" t="s">
        <v>209</v>
      </c>
      <c r="J1390" s="146" t="s">
        <v>3465</v>
      </c>
      <c r="K1390" s="146" t="s">
        <v>3466</v>
      </c>
      <c r="L1390" s="147">
        <v>4</v>
      </c>
      <c r="M1390" s="147">
        <v>4</v>
      </c>
      <c r="N1390" s="146" t="s">
        <v>1548</v>
      </c>
      <c r="O1390" s="147">
        <v>20</v>
      </c>
      <c r="P1390" s="147">
        <v>3</v>
      </c>
      <c r="Q1390" s="147">
        <v>19</v>
      </c>
      <c r="R1390" s="146" t="s">
        <v>654</v>
      </c>
      <c r="S1390" s="146" t="s">
        <v>655</v>
      </c>
      <c r="T1390" s="147">
        <v>244</v>
      </c>
      <c r="U1390" s="146" t="s">
        <v>656</v>
      </c>
      <c r="V1390" s="146" t="s">
        <v>657</v>
      </c>
      <c r="W1390" s="147">
        <v>1</v>
      </c>
      <c r="X1390" s="147">
        <v>2</v>
      </c>
      <c r="Y1390" s="146" t="s">
        <v>194</v>
      </c>
      <c r="Z1390" s="146" t="s">
        <v>195</v>
      </c>
      <c r="AA1390" s="146" t="s">
        <v>196</v>
      </c>
      <c r="AB1390" s="146" t="s">
        <v>187</v>
      </c>
      <c r="AC1390" s="146" t="s">
        <v>187</v>
      </c>
      <c r="AD1390" s="148"/>
      <c r="AE1390" s="146" t="s">
        <v>209</v>
      </c>
      <c r="AF1390" s="147">
        <v>-4.5350900000000003</v>
      </c>
      <c r="AG1390" s="149">
        <v>138.98632000000001</v>
      </c>
      <c r="AO1390" s="121"/>
      <c r="AT1390" s="111"/>
      <c r="AX1390" s="121"/>
    </row>
    <row r="1391" spans="1:50" s="110" customFormat="1" ht="20" customHeight="1">
      <c r="A1391" s="125" t="s">
        <v>185</v>
      </c>
      <c r="B1391" s="126" t="s">
        <v>59</v>
      </c>
      <c r="C1391" s="127">
        <v>15404</v>
      </c>
      <c r="D1391" s="145">
        <v>110845</v>
      </c>
      <c r="E1391" s="146" t="s">
        <v>3426</v>
      </c>
      <c r="F1391" s="146" t="s">
        <v>3426</v>
      </c>
      <c r="G1391" s="147">
        <v>7300</v>
      </c>
      <c r="H1391" s="147">
        <v>4</v>
      </c>
      <c r="I1391" s="146" t="s">
        <v>209</v>
      </c>
      <c r="J1391" s="146" t="s">
        <v>3427</v>
      </c>
      <c r="K1391" s="146" t="s">
        <v>3428</v>
      </c>
      <c r="L1391" s="147">
        <v>3</v>
      </c>
      <c r="M1391" s="147">
        <v>4</v>
      </c>
      <c r="N1391" s="146" t="s">
        <v>1548</v>
      </c>
      <c r="O1391" s="147">
        <v>45</v>
      </c>
      <c r="P1391" s="147">
        <v>4</v>
      </c>
      <c r="Q1391" s="147">
        <v>19</v>
      </c>
      <c r="R1391" s="146" t="s">
        <v>654</v>
      </c>
      <c r="S1391" s="146" t="s">
        <v>655</v>
      </c>
      <c r="T1391" s="147">
        <v>244</v>
      </c>
      <c r="U1391" s="146" t="s">
        <v>656</v>
      </c>
      <c r="V1391" s="146" t="s">
        <v>657</v>
      </c>
      <c r="W1391" s="147">
        <v>1</v>
      </c>
      <c r="X1391" s="147">
        <v>2</v>
      </c>
      <c r="Y1391" s="146" t="s">
        <v>194</v>
      </c>
      <c r="Z1391" s="146" t="s">
        <v>195</v>
      </c>
      <c r="AA1391" s="146" t="s">
        <v>196</v>
      </c>
      <c r="AB1391" s="146" t="s">
        <v>187</v>
      </c>
      <c r="AC1391" s="146" t="s">
        <v>187</v>
      </c>
      <c r="AD1391" s="148"/>
      <c r="AE1391" s="146" t="s">
        <v>209</v>
      </c>
      <c r="AF1391" s="147">
        <v>-3.4486400000000001</v>
      </c>
      <c r="AG1391" s="149">
        <v>136.69947999999999</v>
      </c>
      <c r="AO1391" s="121"/>
      <c r="AT1391" s="111"/>
      <c r="AX1391" s="121"/>
    </row>
    <row r="1392" spans="1:50" s="110" customFormat="1" ht="20" customHeight="1">
      <c r="A1392" s="125" t="s">
        <v>185</v>
      </c>
      <c r="B1392" s="126" t="s">
        <v>59</v>
      </c>
      <c r="C1392" s="127">
        <v>14828</v>
      </c>
      <c r="D1392" s="145">
        <v>108805</v>
      </c>
      <c r="E1392" s="146" t="s">
        <v>3390</v>
      </c>
      <c r="F1392" s="146" t="s">
        <v>3390</v>
      </c>
      <c r="G1392" s="147">
        <v>6800</v>
      </c>
      <c r="H1392" s="147">
        <v>4</v>
      </c>
      <c r="I1392" s="146" t="s">
        <v>209</v>
      </c>
      <c r="J1392" s="146" t="s">
        <v>3049</v>
      </c>
      <c r="K1392" s="146" t="s">
        <v>3050</v>
      </c>
      <c r="L1392" s="147">
        <v>4</v>
      </c>
      <c r="M1392" s="147">
        <v>4</v>
      </c>
      <c r="N1392" s="146" t="s">
        <v>1548</v>
      </c>
      <c r="O1392" s="147">
        <v>45</v>
      </c>
      <c r="P1392" s="147">
        <v>4</v>
      </c>
      <c r="Q1392" s="147">
        <v>19</v>
      </c>
      <c r="R1392" s="146" t="s">
        <v>654</v>
      </c>
      <c r="S1392" s="146" t="s">
        <v>655</v>
      </c>
      <c r="T1392" s="147">
        <v>244</v>
      </c>
      <c r="U1392" s="146" t="s">
        <v>656</v>
      </c>
      <c r="V1392" s="146" t="s">
        <v>657</v>
      </c>
      <c r="W1392" s="147">
        <v>1</v>
      </c>
      <c r="X1392" s="147">
        <v>2</v>
      </c>
      <c r="Y1392" s="146" t="s">
        <v>194</v>
      </c>
      <c r="Z1392" s="146" t="s">
        <v>195</v>
      </c>
      <c r="AA1392" s="146" t="s">
        <v>196</v>
      </c>
      <c r="AB1392" s="146" t="s">
        <v>187</v>
      </c>
      <c r="AC1392" s="146" t="s">
        <v>187</v>
      </c>
      <c r="AD1392" s="148"/>
      <c r="AE1392" s="146" t="s">
        <v>209</v>
      </c>
      <c r="AF1392" s="147">
        <v>-4.6372947257709702</v>
      </c>
      <c r="AG1392" s="149">
        <v>139.621118736341</v>
      </c>
      <c r="AO1392" s="121"/>
      <c r="AT1392" s="111"/>
      <c r="AX1392" s="121"/>
    </row>
    <row r="1393" spans="1:50" s="110" customFormat="1" ht="20" customHeight="1">
      <c r="A1393" s="125" t="s">
        <v>185</v>
      </c>
      <c r="B1393" s="126" t="s">
        <v>59</v>
      </c>
      <c r="C1393" s="127">
        <v>11653</v>
      </c>
      <c r="D1393" s="145">
        <v>102781</v>
      </c>
      <c r="E1393" s="146" t="s">
        <v>3338</v>
      </c>
      <c r="F1393" s="146" t="s">
        <v>3338</v>
      </c>
      <c r="G1393" s="147">
        <v>6300</v>
      </c>
      <c r="H1393" s="147">
        <v>4</v>
      </c>
      <c r="I1393" s="146" t="s">
        <v>209</v>
      </c>
      <c r="J1393" s="146" t="s">
        <v>3339</v>
      </c>
      <c r="K1393" s="146" t="s">
        <v>3338</v>
      </c>
      <c r="L1393" s="147">
        <v>4</v>
      </c>
      <c r="M1393" s="147">
        <v>4</v>
      </c>
      <c r="N1393" s="146" t="s">
        <v>1548</v>
      </c>
      <c r="O1393" s="147">
        <v>22</v>
      </c>
      <c r="P1393" s="147">
        <v>6</v>
      </c>
      <c r="Q1393" s="147">
        <v>19</v>
      </c>
      <c r="R1393" s="146" t="s">
        <v>654</v>
      </c>
      <c r="S1393" s="146" t="s">
        <v>655</v>
      </c>
      <c r="T1393" s="147">
        <v>244</v>
      </c>
      <c r="U1393" s="146" t="s">
        <v>656</v>
      </c>
      <c r="V1393" s="146" t="s">
        <v>657</v>
      </c>
      <c r="W1393" s="147">
        <v>1</v>
      </c>
      <c r="X1393" s="147">
        <v>2</v>
      </c>
      <c r="Y1393" s="146" t="s">
        <v>194</v>
      </c>
      <c r="Z1393" s="146" t="s">
        <v>195</v>
      </c>
      <c r="AA1393" s="146" t="s">
        <v>196</v>
      </c>
      <c r="AB1393" s="146" t="s">
        <v>187</v>
      </c>
      <c r="AC1393" s="146" t="s">
        <v>187</v>
      </c>
      <c r="AD1393" s="148"/>
      <c r="AE1393" s="146" t="s">
        <v>209</v>
      </c>
      <c r="AF1393" s="147">
        <v>-1.52233</v>
      </c>
      <c r="AG1393" s="149">
        <v>115.05937</v>
      </c>
      <c r="AO1393" s="121"/>
      <c r="AT1393" s="111"/>
      <c r="AX1393" s="121"/>
    </row>
    <row r="1394" spans="1:50" s="110" customFormat="1" ht="20" customHeight="1">
      <c r="A1394" s="125" t="s">
        <v>185</v>
      </c>
      <c r="B1394" s="126" t="s">
        <v>59</v>
      </c>
      <c r="C1394" s="127">
        <v>14928</v>
      </c>
      <c r="D1394" s="145">
        <v>108975</v>
      </c>
      <c r="E1394" s="146" t="s">
        <v>3157</v>
      </c>
      <c r="F1394" s="146" t="s">
        <v>3158</v>
      </c>
      <c r="G1394" s="147">
        <v>4800</v>
      </c>
      <c r="H1394" s="147">
        <v>4</v>
      </c>
      <c r="I1394" s="146" t="s">
        <v>209</v>
      </c>
      <c r="J1394" s="146" t="s">
        <v>3159</v>
      </c>
      <c r="K1394" s="146" t="s">
        <v>3160</v>
      </c>
      <c r="L1394" s="147">
        <v>1</v>
      </c>
      <c r="M1394" s="147">
        <v>4</v>
      </c>
      <c r="N1394" s="146" t="s">
        <v>1548</v>
      </c>
      <c r="O1394" s="147">
        <v>30</v>
      </c>
      <c r="P1394" s="147">
        <v>5</v>
      </c>
      <c r="Q1394" s="147">
        <v>19</v>
      </c>
      <c r="R1394" s="146" t="s">
        <v>654</v>
      </c>
      <c r="S1394" s="146" t="s">
        <v>655</v>
      </c>
      <c r="T1394" s="147">
        <v>244</v>
      </c>
      <c r="U1394" s="146" t="s">
        <v>656</v>
      </c>
      <c r="V1394" s="146" t="s">
        <v>657</v>
      </c>
      <c r="W1394" s="147">
        <v>1</v>
      </c>
      <c r="X1394" s="147">
        <v>2</v>
      </c>
      <c r="Y1394" s="146" t="s">
        <v>194</v>
      </c>
      <c r="Z1394" s="146" t="s">
        <v>195</v>
      </c>
      <c r="AA1394" s="146" t="s">
        <v>196</v>
      </c>
      <c r="AB1394" s="146" t="s">
        <v>187</v>
      </c>
      <c r="AC1394" s="146" t="s">
        <v>187</v>
      </c>
      <c r="AD1394" s="148"/>
      <c r="AE1394" s="146" t="s">
        <v>209</v>
      </c>
      <c r="AF1394" s="147">
        <v>-7.0154899999999998</v>
      </c>
      <c r="AG1394" s="149">
        <v>139.89159000000001</v>
      </c>
      <c r="AO1394" s="121"/>
      <c r="AT1394" s="111"/>
      <c r="AX1394" s="121"/>
    </row>
    <row r="1395" spans="1:50" s="110" customFormat="1" ht="20" customHeight="1">
      <c r="A1395" s="125" t="s">
        <v>185</v>
      </c>
      <c r="B1395" s="126" t="s">
        <v>59</v>
      </c>
      <c r="C1395" s="127">
        <v>11944</v>
      </c>
      <c r="D1395" s="145">
        <v>103486</v>
      </c>
      <c r="E1395" s="146" t="s">
        <v>3028</v>
      </c>
      <c r="F1395" s="146" t="s">
        <v>3028</v>
      </c>
      <c r="G1395" s="147">
        <v>4000</v>
      </c>
      <c r="H1395" s="147">
        <v>4</v>
      </c>
      <c r="I1395" s="146" t="s">
        <v>209</v>
      </c>
      <c r="J1395" s="146" t="s">
        <v>3029</v>
      </c>
      <c r="K1395" s="146" t="s">
        <v>3028</v>
      </c>
      <c r="L1395" s="147">
        <v>0</v>
      </c>
      <c r="M1395" s="147">
        <v>4</v>
      </c>
      <c r="N1395" s="146" t="s">
        <v>1548</v>
      </c>
      <c r="O1395" s="147">
        <v>20</v>
      </c>
      <c r="P1395" s="147">
        <v>4</v>
      </c>
      <c r="Q1395" s="147">
        <v>19</v>
      </c>
      <c r="R1395" s="146" t="s">
        <v>654</v>
      </c>
      <c r="S1395" s="146" t="s">
        <v>655</v>
      </c>
      <c r="T1395" s="147">
        <v>244</v>
      </c>
      <c r="U1395" s="146" t="s">
        <v>656</v>
      </c>
      <c r="V1395" s="146" t="s">
        <v>657</v>
      </c>
      <c r="W1395" s="147">
        <v>1</v>
      </c>
      <c r="X1395" s="147">
        <v>2</v>
      </c>
      <c r="Y1395" s="146" t="s">
        <v>194</v>
      </c>
      <c r="Z1395" s="146" t="s">
        <v>195</v>
      </c>
      <c r="AA1395" s="146" t="s">
        <v>196</v>
      </c>
      <c r="AB1395" s="146" t="s">
        <v>187</v>
      </c>
      <c r="AC1395" s="146" t="s">
        <v>187</v>
      </c>
      <c r="AD1395" s="148"/>
      <c r="AE1395" s="146" t="s">
        <v>209</v>
      </c>
      <c r="AF1395" s="147">
        <v>-2.7082099999999998</v>
      </c>
      <c r="AG1395" s="149">
        <v>140.25864000000001</v>
      </c>
      <c r="AO1395" s="121"/>
      <c r="AT1395" s="111"/>
      <c r="AX1395" s="121"/>
    </row>
    <row r="1396" spans="1:50" s="110" customFormat="1" ht="20" customHeight="1">
      <c r="A1396" s="125" t="s">
        <v>185</v>
      </c>
      <c r="B1396" s="126" t="s">
        <v>59</v>
      </c>
      <c r="C1396" s="127">
        <v>12479</v>
      </c>
      <c r="D1396" s="145">
        <v>104541</v>
      </c>
      <c r="E1396" s="146" t="s">
        <v>3030</v>
      </c>
      <c r="F1396" s="146" t="s">
        <v>3030</v>
      </c>
      <c r="G1396" s="147">
        <v>4000</v>
      </c>
      <c r="H1396" s="147">
        <v>4</v>
      </c>
      <c r="I1396" s="146" t="s">
        <v>209</v>
      </c>
      <c r="J1396" s="146" t="s">
        <v>3031</v>
      </c>
      <c r="K1396" s="146" t="s">
        <v>3030</v>
      </c>
      <c r="L1396" s="147">
        <v>4</v>
      </c>
      <c r="M1396" s="147">
        <v>4</v>
      </c>
      <c r="N1396" s="146" t="s">
        <v>1548</v>
      </c>
      <c r="O1396" s="147">
        <v>15</v>
      </c>
      <c r="P1396" s="147">
        <v>4</v>
      </c>
      <c r="Q1396" s="147">
        <v>19</v>
      </c>
      <c r="R1396" s="146" t="s">
        <v>654</v>
      </c>
      <c r="S1396" s="146" t="s">
        <v>655</v>
      </c>
      <c r="T1396" s="147">
        <v>244</v>
      </c>
      <c r="U1396" s="146" t="s">
        <v>656</v>
      </c>
      <c r="V1396" s="146" t="s">
        <v>657</v>
      </c>
      <c r="W1396" s="147">
        <v>1</v>
      </c>
      <c r="X1396" s="147">
        <v>2</v>
      </c>
      <c r="Y1396" s="146" t="s">
        <v>194</v>
      </c>
      <c r="Z1396" s="146" t="s">
        <v>195</v>
      </c>
      <c r="AA1396" s="146" t="s">
        <v>196</v>
      </c>
      <c r="AB1396" s="146" t="s">
        <v>187</v>
      </c>
      <c r="AC1396" s="146" t="s">
        <v>187</v>
      </c>
      <c r="AD1396" s="148"/>
      <c r="AE1396" s="146" t="s">
        <v>209</v>
      </c>
      <c r="AF1396" s="147">
        <v>-2.64784</v>
      </c>
      <c r="AG1396" s="149">
        <v>140.3681</v>
      </c>
      <c r="AO1396" s="121"/>
      <c r="AT1396" s="111"/>
      <c r="AX1396" s="121"/>
    </row>
    <row r="1397" spans="1:50" s="110" customFormat="1" ht="20" customHeight="1">
      <c r="A1397" s="125" t="s">
        <v>185</v>
      </c>
      <c r="B1397" s="126" t="s">
        <v>59</v>
      </c>
      <c r="C1397" s="127">
        <v>10695</v>
      </c>
      <c r="D1397" s="145">
        <v>101082</v>
      </c>
      <c r="E1397" s="146" t="s">
        <v>2962</v>
      </c>
      <c r="F1397" s="146" t="s">
        <v>2962</v>
      </c>
      <c r="G1397" s="147">
        <v>3500</v>
      </c>
      <c r="H1397" s="147">
        <v>4</v>
      </c>
      <c r="I1397" s="146" t="s">
        <v>209</v>
      </c>
      <c r="J1397" s="146" t="s">
        <v>2963</v>
      </c>
      <c r="K1397" s="146" t="s">
        <v>2962</v>
      </c>
      <c r="L1397" s="147">
        <v>1</v>
      </c>
      <c r="M1397" s="147">
        <v>4</v>
      </c>
      <c r="N1397" s="146" t="s">
        <v>1548</v>
      </c>
      <c r="O1397" s="147">
        <v>30</v>
      </c>
      <c r="P1397" s="147">
        <v>4</v>
      </c>
      <c r="Q1397" s="147">
        <v>19</v>
      </c>
      <c r="R1397" s="146" t="s">
        <v>654</v>
      </c>
      <c r="S1397" s="146" t="s">
        <v>655</v>
      </c>
      <c r="T1397" s="147">
        <v>244</v>
      </c>
      <c r="U1397" s="146" t="s">
        <v>656</v>
      </c>
      <c r="V1397" s="146" t="s">
        <v>657</v>
      </c>
      <c r="W1397" s="147">
        <v>1</v>
      </c>
      <c r="X1397" s="147">
        <v>2</v>
      </c>
      <c r="Y1397" s="146" t="s">
        <v>194</v>
      </c>
      <c r="Z1397" s="146" t="s">
        <v>195</v>
      </c>
      <c r="AA1397" s="146" t="s">
        <v>196</v>
      </c>
      <c r="AB1397" s="146" t="s">
        <v>187</v>
      </c>
      <c r="AC1397" s="146" t="s">
        <v>187</v>
      </c>
      <c r="AD1397" s="148"/>
      <c r="AE1397" s="146" t="s">
        <v>209</v>
      </c>
      <c r="AF1397" s="147">
        <v>-2.3410000000000002</v>
      </c>
      <c r="AG1397" s="149">
        <v>137.07646</v>
      </c>
      <c r="AO1397" s="121"/>
      <c r="AT1397" s="111"/>
      <c r="AX1397" s="121"/>
    </row>
    <row r="1398" spans="1:50" s="110" customFormat="1" ht="20" customHeight="1">
      <c r="A1398" s="125" t="s">
        <v>185</v>
      </c>
      <c r="B1398" s="126" t="s">
        <v>59</v>
      </c>
      <c r="C1398" s="127">
        <v>12922</v>
      </c>
      <c r="D1398" s="145">
        <v>105536</v>
      </c>
      <c r="E1398" s="146" t="s">
        <v>1869</v>
      </c>
      <c r="F1398" s="146" t="s">
        <v>2950</v>
      </c>
      <c r="G1398" s="147">
        <v>3400</v>
      </c>
      <c r="H1398" s="147">
        <v>4</v>
      </c>
      <c r="I1398" s="146" t="s">
        <v>209</v>
      </c>
      <c r="J1398" s="146" t="s">
        <v>1868</v>
      </c>
      <c r="K1398" s="146" t="s">
        <v>1869</v>
      </c>
      <c r="L1398" s="147">
        <v>3</v>
      </c>
      <c r="M1398" s="147">
        <v>4</v>
      </c>
      <c r="N1398" s="146" t="s">
        <v>1548</v>
      </c>
      <c r="O1398" s="147">
        <v>15</v>
      </c>
      <c r="P1398" s="147">
        <v>5</v>
      </c>
      <c r="Q1398" s="147">
        <v>19</v>
      </c>
      <c r="R1398" s="146" t="s">
        <v>654</v>
      </c>
      <c r="S1398" s="146" t="s">
        <v>655</v>
      </c>
      <c r="T1398" s="147">
        <v>244</v>
      </c>
      <c r="U1398" s="146" t="s">
        <v>656</v>
      </c>
      <c r="V1398" s="146" t="s">
        <v>657</v>
      </c>
      <c r="W1398" s="147">
        <v>1</v>
      </c>
      <c r="X1398" s="147">
        <v>2</v>
      </c>
      <c r="Y1398" s="146" t="s">
        <v>194</v>
      </c>
      <c r="Z1398" s="146" t="s">
        <v>195</v>
      </c>
      <c r="AA1398" s="146" t="s">
        <v>196</v>
      </c>
      <c r="AB1398" s="146" t="s">
        <v>187</v>
      </c>
      <c r="AC1398" s="146" t="s">
        <v>187</v>
      </c>
      <c r="AD1398" s="148"/>
      <c r="AE1398" s="146" t="s">
        <v>209</v>
      </c>
      <c r="AF1398" s="147">
        <v>-2.2136999995553301</v>
      </c>
      <c r="AG1398" s="149">
        <v>138.48617999970699</v>
      </c>
      <c r="AO1398" s="121"/>
      <c r="AT1398" s="111"/>
      <c r="AX1398" s="121"/>
    </row>
    <row r="1399" spans="1:50" s="110" customFormat="1" ht="20" customHeight="1">
      <c r="A1399" s="125" t="s">
        <v>185</v>
      </c>
      <c r="B1399" s="126" t="s">
        <v>59</v>
      </c>
      <c r="C1399" s="127">
        <v>15811</v>
      </c>
      <c r="D1399" s="145">
        <v>110600</v>
      </c>
      <c r="E1399" s="146" t="s">
        <v>2817</v>
      </c>
      <c r="F1399" s="146" t="s">
        <v>2818</v>
      </c>
      <c r="G1399" s="147">
        <v>2500</v>
      </c>
      <c r="H1399" s="147">
        <v>4</v>
      </c>
      <c r="I1399" s="146" t="s">
        <v>209</v>
      </c>
      <c r="J1399" s="146" t="s">
        <v>2819</v>
      </c>
      <c r="K1399" s="146" t="s">
        <v>2817</v>
      </c>
      <c r="L1399" s="147">
        <v>0</v>
      </c>
      <c r="M1399" s="147">
        <v>4</v>
      </c>
      <c r="N1399" s="146" t="s">
        <v>1548</v>
      </c>
      <c r="O1399" s="147">
        <v>40</v>
      </c>
      <c r="P1399" s="147">
        <v>5</v>
      </c>
      <c r="Q1399" s="147">
        <v>19</v>
      </c>
      <c r="R1399" s="146" t="s">
        <v>654</v>
      </c>
      <c r="S1399" s="146" t="s">
        <v>655</v>
      </c>
      <c r="T1399" s="147">
        <v>244</v>
      </c>
      <c r="U1399" s="146" t="s">
        <v>656</v>
      </c>
      <c r="V1399" s="146" t="s">
        <v>657</v>
      </c>
      <c r="W1399" s="147">
        <v>1</v>
      </c>
      <c r="X1399" s="147">
        <v>2</v>
      </c>
      <c r="Y1399" s="146" t="s">
        <v>194</v>
      </c>
      <c r="Z1399" s="146" t="s">
        <v>195</v>
      </c>
      <c r="AA1399" s="146" t="s">
        <v>196</v>
      </c>
      <c r="AB1399" s="146" t="s">
        <v>187</v>
      </c>
      <c r="AC1399" s="146" t="s">
        <v>187</v>
      </c>
      <c r="AD1399" s="148"/>
      <c r="AE1399" s="146" t="s">
        <v>209</v>
      </c>
      <c r="AF1399" s="147">
        <v>-1.7863800000000001</v>
      </c>
      <c r="AG1399" s="149">
        <v>136.71405999999999</v>
      </c>
      <c r="AO1399" s="121"/>
      <c r="AT1399" s="111"/>
      <c r="AX1399" s="121"/>
    </row>
    <row r="1400" spans="1:50" s="110" customFormat="1" ht="20" customHeight="1">
      <c r="A1400" s="125" t="s">
        <v>185</v>
      </c>
      <c r="B1400" s="126" t="s">
        <v>59</v>
      </c>
      <c r="C1400" s="127">
        <v>13583</v>
      </c>
      <c r="D1400" s="145">
        <v>106400</v>
      </c>
      <c r="E1400" s="146" t="s">
        <v>2567</v>
      </c>
      <c r="F1400" s="146" t="s">
        <v>2567</v>
      </c>
      <c r="G1400" s="147">
        <v>1600</v>
      </c>
      <c r="H1400" s="147">
        <v>4</v>
      </c>
      <c r="I1400" s="146" t="s">
        <v>209</v>
      </c>
      <c r="J1400" s="146" t="s">
        <v>2568</v>
      </c>
      <c r="K1400" s="146" t="s">
        <v>2567</v>
      </c>
      <c r="L1400" s="147">
        <v>1</v>
      </c>
      <c r="M1400" s="147">
        <v>4</v>
      </c>
      <c r="N1400" s="146" t="s">
        <v>1548</v>
      </c>
      <c r="O1400" s="147">
        <v>10</v>
      </c>
      <c r="P1400" s="147">
        <v>4</v>
      </c>
      <c r="Q1400" s="147">
        <v>19</v>
      </c>
      <c r="R1400" s="146" t="s">
        <v>654</v>
      </c>
      <c r="S1400" s="146" t="s">
        <v>655</v>
      </c>
      <c r="T1400" s="147">
        <v>244</v>
      </c>
      <c r="U1400" s="146" t="s">
        <v>656</v>
      </c>
      <c r="V1400" s="146" t="s">
        <v>657</v>
      </c>
      <c r="W1400" s="147">
        <v>1</v>
      </c>
      <c r="X1400" s="147">
        <v>2</v>
      </c>
      <c r="Y1400" s="146" t="s">
        <v>194</v>
      </c>
      <c r="Z1400" s="146" t="s">
        <v>195</v>
      </c>
      <c r="AA1400" s="146" t="s">
        <v>196</v>
      </c>
      <c r="AB1400" s="146" t="s">
        <v>187</v>
      </c>
      <c r="AC1400" s="146" t="s">
        <v>187</v>
      </c>
      <c r="AD1400" s="148"/>
      <c r="AE1400" s="146" t="s">
        <v>209</v>
      </c>
      <c r="AF1400" s="147">
        <v>-1.88192</v>
      </c>
      <c r="AG1400" s="149">
        <v>130.11840000000001</v>
      </c>
      <c r="AO1400" s="121"/>
      <c r="AT1400" s="111"/>
      <c r="AX1400" s="121"/>
    </row>
    <row r="1401" spans="1:50" s="110" customFormat="1" ht="20" customHeight="1">
      <c r="A1401" s="125" t="s">
        <v>185</v>
      </c>
      <c r="B1401" s="126" t="s">
        <v>59</v>
      </c>
      <c r="C1401" s="127">
        <v>19534</v>
      </c>
      <c r="D1401" s="145">
        <v>115411</v>
      </c>
      <c r="E1401" s="146" t="s">
        <v>2417</v>
      </c>
      <c r="F1401" s="146" t="s">
        <v>2417</v>
      </c>
      <c r="G1401" s="147">
        <v>1200</v>
      </c>
      <c r="H1401" s="147">
        <v>4</v>
      </c>
      <c r="I1401" s="146" t="s">
        <v>209</v>
      </c>
      <c r="J1401" s="146" t="s">
        <v>2418</v>
      </c>
      <c r="K1401" s="146" t="s">
        <v>2417</v>
      </c>
      <c r="L1401" s="147">
        <v>2</v>
      </c>
      <c r="M1401" s="147">
        <v>4</v>
      </c>
      <c r="N1401" s="146" t="s">
        <v>1548</v>
      </c>
      <c r="O1401" s="147">
        <v>30</v>
      </c>
      <c r="P1401" s="147">
        <v>4</v>
      </c>
      <c r="Q1401" s="147">
        <v>19</v>
      </c>
      <c r="R1401" s="146" t="s">
        <v>654</v>
      </c>
      <c r="S1401" s="146" t="s">
        <v>655</v>
      </c>
      <c r="T1401" s="147">
        <v>244</v>
      </c>
      <c r="U1401" s="146" t="s">
        <v>656</v>
      </c>
      <c r="V1401" s="146" t="s">
        <v>657</v>
      </c>
      <c r="W1401" s="147">
        <v>1</v>
      </c>
      <c r="X1401" s="147">
        <v>2</v>
      </c>
      <c r="Y1401" s="146" t="s">
        <v>194</v>
      </c>
      <c r="Z1401" s="146" t="s">
        <v>195</v>
      </c>
      <c r="AA1401" s="146" t="s">
        <v>196</v>
      </c>
      <c r="AB1401" s="146" t="s">
        <v>187</v>
      </c>
      <c r="AC1401" s="146" t="s">
        <v>187</v>
      </c>
      <c r="AD1401" s="148"/>
      <c r="AE1401" s="146" t="s">
        <v>209</v>
      </c>
      <c r="AF1401" s="147">
        <v>-5.3237800000000002</v>
      </c>
      <c r="AG1401" s="149">
        <v>140.62455</v>
      </c>
      <c r="AO1401" s="121"/>
      <c r="AT1401" s="111"/>
      <c r="AX1401" s="121"/>
    </row>
    <row r="1402" spans="1:50" s="110" customFormat="1" ht="20" customHeight="1">
      <c r="A1402" s="125" t="s">
        <v>185</v>
      </c>
      <c r="B1402" s="126" t="s">
        <v>59</v>
      </c>
      <c r="C1402" s="127">
        <v>20620</v>
      </c>
      <c r="D1402" s="145">
        <v>116883</v>
      </c>
      <c r="E1402" s="146" t="s">
        <v>2354</v>
      </c>
      <c r="F1402" s="146" t="s">
        <v>2354</v>
      </c>
      <c r="G1402" s="147">
        <v>1100</v>
      </c>
      <c r="H1402" s="147">
        <v>4</v>
      </c>
      <c r="I1402" s="146" t="s">
        <v>209</v>
      </c>
      <c r="J1402" s="146" t="s">
        <v>2355</v>
      </c>
      <c r="K1402" s="146" t="s">
        <v>1563</v>
      </c>
      <c r="L1402" s="147">
        <v>0</v>
      </c>
      <c r="M1402" s="147">
        <v>4</v>
      </c>
      <c r="N1402" s="146" t="s">
        <v>1548</v>
      </c>
      <c r="O1402" s="147">
        <v>25</v>
      </c>
      <c r="P1402" s="147">
        <v>3</v>
      </c>
      <c r="Q1402" s="147">
        <v>19</v>
      </c>
      <c r="R1402" s="146" t="s">
        <v>654</v>
      </c>
      <c r="S1402" s="146" t="s">
        <v>655</v>
      </c>
      <c r="T1402" s="147">
        <v>244</v>
      </c>
      <c r="U1402" s="146" t="s">
        <v>656</v>
      </c>
      <c r="V1402" s="146" t="s">
        <v>657</v>
      </c>
      <c r="W1402" s="147">
        <v>1</v>
      </c>
      <c r="X1402" s="147">
        <v>2</v>
      </c>
      <c r="Y1402" s="146" t="s">
        <v>194</v>
      </c>
      <c r="Z1402" s="146" t="s">
        <v>195</v>
      </c>
      <c r="AA1402" s="146" t="s">
        <v>196</v>
      </c>
      <c r="AB1402" s="146" t="s">
        <v>187</v>
      </c>
      <c r="AC1402" s="146" t="s">
        <v>187</v>
      </c>
      <c r="AD1402" s="148"/>
      <c r="AE1402" s="146" t="s">
        <v>209</v>
      </c>
      <c r="AF1402" s="147">
        <v>-3.5095459999999998</v>
      </c>
      <c r="AG1402" s="149">
        <v>135.75209799999999</v>
      </c>
      <c r="AO1402" s="121"/>
      <c r="AT1402" s="111"/>
      <c r="AX1402" s="121"/>
    </row>
    <row r="1403" spans="1:50" s="110" customFormat="1" ht="20" customHeight="1">
      <c r="A1403" s="125" t="s">
        <v>185</v>
      </c>
      <c r="B1403" s="126" t="s">
        <v>59</v>
      </c>
      <c r="C1403" s="127">
        <v>12580</v>
      </c>
      <c r="D1403" s="145">
        <v>104758</v>
      </c>
      <c r="E1403" s="146" t="s">
        <v>2022</v>
      </c>
      <c r="F1403" s="146" t="s">
        <v>2022</v>
      </c>
      <c r="G1403" s="147">
        <v>600</v>
      </c>
      <c r="H1403" s="147">
        <v>4</v>
      </c>
      <c r="I1403" s="146" t="s">
        <v>209</v>
      </c>
      <c r="J1403" s="146" t="s">
        <v>2023</v>
      </c>
      <c r="K1403" s="146" t="s">
        <v>2024</v>
      </c>
      <c r="L1403" s="147">
        <v>1</v>
      </c>
      <c r="M1403" s="147">
        <v>4</v>
      </c>
      <c r="N1403" s="146" t="s">
        <v>1548</v>
      </c>
      <c r="O1403" s="147">
        <v>40</v>
      </c>
      <c r="P1403" s="147">
        <v>5</v>
      </c>
      <c r="Q1403" s="147">
        <v>19</v>
      </c>
      <c r="R1403" s="146" t="s">
        <v>654</v>
      </c>
      <c r="S1403" s="146" t="s">
        <v>655</v>
      </c>
      <c r="T1403" s="147">
        <v>244</v>
      </c>
      <c r="U1403" s="146" t="s">
        <v>656</v>
      </c>
      <c r="V1403" s="146" t="s">
        <v>657</v>
      </c>
      <c r="W1403" s="147">
        <v>1</v>
      </c>
      <c r="X1403" s="147">
        <v>2</v>
      </c>
      <c r="Y1403" s="146" t="s">
        <v>194</v>
      </c>
      <c r="Z1403" s="146" t="s">
        <v>195</v>
      </c>
      <c r="AA1403" s="146" t="s">
        <v>196</v>
      </c>
      <c r="AB1403" s="146" t="s">
        <v>187</v>
      </c>
      <c r="AC1403" s="146" t="s">
        <v>187</v>
      </c>
      <c r="AD1403" s="148"/>
      <c r="AE1403" s="146" t="s">
        <v>209</v>
      </c>
      <c r="AF1403" s="147">
        <v>-2.26126</v>
      </c>
      <c r="AG1403" s="149">
        <v>138.17756</v>
      </c>
      <c r="AO1403" s="121"/>
      <c r="AT1403" s="111"/>
      <c r="AX1403" s="121"/>
    </row>
    <row r="1404" spans="1:50" s="110" customFormat="1" ht="20" customHeight="1">
      <c r="A1404" s="125" t="s">
        <v>185</v>
      </c>
      <c r="B1404" s="126" t="s">
        <v>59</v>
      </c>
      <c r="C1404" s="127">
        <v>10444</v>
      </c>
      <c r="D1404" s="145">
        <v>100543</v>
      </c>
      <c r="E1404" s="146" t="s">
        <v>1822</v>
      </c>
      <c r="F1404" s="146" t="s">
        <v>1822</v>
      </c>
      <c r="G1404" s="147">
        <v>400</v>
      </c>
      <c r="H1404" s="147">
        <v>4</v>
      </c>
      <c r="I1404" s="146" t="s">
        <v>209</v>
      </c>
      <c r="J1404" s="146" t="s">
        <v>1823</v>
      </c>
      <c r="K1404" s="146" t="s">
        <v>1822</v>
      </c>
      <c r="L1404" s="147">
        <v>1</v>
      </c>
      <c r="M1404" s="147">
        <v>4</v>
      </c>
      <c r="N1404" s="146" t="s">
        <v>1548</v>
      </c>
      <c r="O1404" s="147">
        <v>44</v>
      </c>
      <c r="P1404" s="147">
        <v>5</v>
      </c>
      <c r="Q1404" s="147">
        <v>19</v>
      </c>
      <c r="R1404" s="146" t="s">
        <v>654</v>
      </c>
      <c r="S1404" s="146" t="s">
        <v>655</v>
      </c>
      <c r="T1404" s="147">
        <v>244</v>
      </c>
      <c r="U1404" s="146" t="s">
        <v>656</v>
      </c>
      <c r="V1404" s="146" t="s">
        <v>657</v>
      </c>
      <c r="W1404" s="147">
        <v>1</v>
      </c>
      <c r="X1404" s="147">
        <v>2</v>
      </c>
      <c r="Y1404" s="146" t="s">
        <v>194</v>
      </c>
      <c r="Z1404" s="146" t="s">
        <v>195</v>
      </c>
      <c r="AA1404" s="146" t="s">
        <v>196</v>
      </c>
      <c r="AB1404" s="146" t="s">
        <v>187</v>
      </c>
      <c r="AC1404" s="146" t="s">
        <v>187</v>
      </c>
      <c r="AD1404" s="148"/>
      <c r="AE1404" s="146" t="s">
        <v>209</v>
      </c>
      <c r="AF1404" s="147">
        <v>-0.74768000000000001</v>
      </c>
      <c r="AG1404" s="149">
        <v>131.73212000000001</v>
      </c>
      <c r="AO1404" s="121"/>
      <c r="AT1404" s="111"/>
      <c r="AX1404" s="121"/>
    </row>
    <row r="1405" spans="1:50" s="110" customFormat="1" ht="20" customHeight="1">
      <c r="A1405" s="125" t="s">
        <v>185</v>
      </c>
      <c r="B1405" s="126" t="s">
        <v>59</v>
      </c>
      <c r="C1405" s="127">
        <v>19302</v>
      </c>
      <c r="D1405" s="145">
        <v>115374</v>
      </c>
      <c r="E1405" s="146" t="s">
        <v>1877</v>
      </c>
      <c r="F1405" s="146" t="s">
        <v>1877</v>
      </c>
      <c r="G1405" s="147">
        <v>400</v>
      </c>
      <c r="H1405" s="147">
        <v>4</v>
      </c>
      <c r="I1405" s="146" t="s">
        <v>209</v>
      </c>
      <c r="J1405" s="146" t="s">
        <v>1878</v>
      </c>
      <c r="K1405" s="146" t="s">
        <v>1877</v>
      </c>
      <c r="L1405" s="147">
        <v>1</v>
      </c>
      <c r="M1405" s="147">
        <v>4</v>
      </c>
      <c r="N1405" s="146" t="s">
        <v>1548</v>
      </c>
      <c r="O1405" s="147">
        <v>30</v>
      </c>
      <c r="P1405" s="147">
        <v>5</v>
      </c>
      <c r="Q1405" s="147">
        <v>19</v>
      </c>
      <c r="R1405" s="146" t="s">
        <v>654</v>
      </c>
      <c r="S1405" s="146" t="s">
        <v>655</v>
      </c>
      <c r="T1405" s="147">
        <v>244</v>
      </c>
      <c r="U1405" s="146" t="s">
        <v>656</v>
      </c>
      <c r="V1405" s="146" t="s">
        <v>657</v>
      </c>
      <c r="W1405" s="147">
        <v>1</v>
      </c>
      <c r="X1405" s="147">
        <v>2</v>
      </c>
      <c r="Y1405" s="146" t="s">
        <v>194</v>
      </c>
      <c r="Z1405" s="146" t="s">
        <v>195</v>
      </c>
      <c r="AA1405" s="146" t="s">
        <v>196</v>
      </c>
      <c r="AB1405" s="146" t="s">
        <v>187</v>
      </c>
      <c r="AC1405" s="146" t="s">
        <v>187</v>
      </c>
      <c r="AD1405" s="148"/>
      <c r="AE1405" s="146" t="s">
        <v>209</v>
      </c>
      <c r="AF1405" s="147">
        <v>-2.1588799999999999</v>
      </c>
      <c r="AG1405" s="149">
        <v>138.02420000000001</v>
      </c>
      <c r="AO1405" s="121"/>
      <c r="AT1405" s="111"/>
      <c r="AX1405" s="121"/>
    </row>
    <row r="1406" spans="1:50" s="110" customFormat="1" ht="20" customHeight="1">
      <c r="A1406" s="125" t="s">
        <v>185</v>
      </c>
      <c r="B1406" s="126" t="s">
        <v>59</v>
      </c>
      <c r="C1406" s="127">
        <v>14493</v>
      </c>
      <c r="D1406" s="145">
        <v>108213</v>
      </c>
      <c r="E1406" s="146" t="s">
        <v>1596</v>
      </c>
      <c r="F1406" s="146" t="s">
        <v>1596</v>
      </c>
      <c r="G1406" s="147">
        <v>100</v>
      </c>
      <c r="H1406" s="147">
        <v>4</v>
      </c>
      <c r="I1406" s="146" t="s">
        <v>209</v>
      </c>
      <c r="J1406" s="146" t="s">
        <v>1597</v>
      </c>
      <c r="K1406" s="146" t="s">
        <v>1596</v>
      </c>
      <c r="L1406" s="147">
        <v>1</v>
      </c>
      <c r="M1406" s="147">
        <v>4</v>
      </c>
      <c r="N1406" s="146" t="s">
        <v>1548</v>
      </c>
      <c r="O1406" s="147">
        <v>30</v>
      </c>
      <c r="P1406" s="147">
        <v>3</v>
      </c>
      <c r="Q1406" s="147">
        <v>19</v>
      </c>
      <c r="R1406" s="146" t="s">
        <v>654</v>
      </c>
      <c r="S1406" s="146" t="s">
        <v>655</v>
      </c>
      <c r="T1406" s="147">
        <v>244</v>
      </c>
      <c r="U1406" s="146" t="s">
        <v>656</v>
      </c>
      <c r="V1406" s="146" t="s">
        <v>657</v>
      </c>
      <c r="W1406" s="147">
        <v>2</v>
      </c>
      <c r="X1406" s="147">
        <v>2</v>
      </c>
      <c r="Y1406" s="146" t="s">
        <v>194</v>
      </c>
      <c r="Z1406" s="146" t="s">
        <v>195</v>
      </c>
      <c r="AA1406" s="146" t="s">
        <v>196</v>
      </c>
      <c r="AB1406" s="146" t="s">
        <v>187</v>
      </c>
      <c r="AC1406" s="146" t="s">
        <v>209</v>
      </c>
      <c r="AD1406" s="148"/>
      <c r="AE1406" s="146" t="s">
        <v>209</v>
      </c>
      <c r="AF1406" s="147">
        <v>-5.0224710000000004</v>
      </c>
      <c r="AG1406" s="149">
        <v>140.91396</v>
      </c>
      <c r="AO1406" s="121"/>
      <c r="AT1406" s="111"/>
      <c r="AX1406" s="121"/>
    </row>
    <row r="1407" spans="1:50" s="110" customFormat="1" ht="20" customHeight="1">
      <c r="A1407" s="125" t="s">
        <v>185</v>
      </c>
      <c r="B1407" s="126" t="s">
        <v>59</v>
      </c>
      <c r="C1407" s="127">
        <v>13197</v>
      </c>
      <c r="D1407" s="128">
        <v>105997</v>
      </c>
      <c r="E1407" s="129" t="s">
        <v>2964</v>
      </c>
      <c r="F1407" s="129" t="s">
        <v>2964</v>
      </c>
      <c r="G1407" s="130">
        <v>3500</v>
      </c>
      <c r="H1407" s="130">
        <v>5</v>
      </c>
      <c r="I1407" s="129" t="s">
        <v>209</v>
      </c>
      <c r="J1407" s="129" t="s">
        <v>2965</v>
      </c>
      <c r="K1407" s="129" t="s">
        <v>2966</v>
      </c>
      <c r="L1407" s="130">
        <v>2</v>
      </c>
      <c r="M1407" s="130">
        <v>4</v>
      </c>
      <c r="N1407" s="129" t="s">
        <v>1548</v>
      </c>
      <c r="O1407" s="130">
        <v>25</v>
      </c>
      <c r="P1407" s="130">
        <v>11</v>
      </c>
      <c r="Q1407" s="130">
        <v>19</v>
      </c>
      <c r="R1407" s="129" t="s">
        <v>654</v>
      </c>
      <c r="S1407" s="129" t="s">
        <v>655</v>
      </c>
      <c r="T1407" s="130">
        <v>244</v>
      </c>
      <c r="U1407" s="129" t="s">
        <v>656</v>
      </c>
      <c r="V1407" s="129" t="s">
        <v>657</v>
      </c>
      <c r="W1407" s="130">
        <v>1</v>
      </c>
      <c r="X1407" s="130">
        <v>2</v>
      </c>
      <c r="Y1407" s="129" t="s">
        <v>194</v>
      </c>
      <c r="Z1407" s="129" t="s">
        <v>195</v>
      </c>
      <c r="AA1407" s="129" t="s">
        <v>196</v>
      </c>
      <c r="AB1407" s="129" t="s">
        <v>187</v>
      </c>
      <c r="AC1407" s="129" t="s">
        <v>187</v>
      </c>
      <c r="AD1407" s="131"/>
      <c r="AE1407" s="129" t="s">
        <v>209</v>
      </c>
      <c r="AF1407" s="130">
        <v>1.39402</v>
      </c>
      <c r="AG1407" s="132">
        <v>127.7513</v>
      </c>
      <c r="AO1407" s="121"/>
      <c r="AT1407" s="111"/>
      <c r="AX1407" s="121"/>
    </row>
    <row r="1408" spans="1:50" s="110" customFormat="1" ht="20" customHeight="1">
      <c r="A1408" s="125" t="s">
        <v>1620</v>
      </c>
      <c r="B1408" s="126" t="s">
        <v>61</v>
      </c>
      <c r="C1408" s="127">
        <v>11342</v>
      </c>
      <c r="D1408" s="145">
        <v>102127</v>
      </c>
      <c r="E1408" s="146" t="s">
        <v>2446</v>
      </c>
      <c r="F1408" s="146" t="s">
        <v>4388</v>
      </c>
      <c r="G1408" s="147">
        <v>44000</v>
      </c>
      <c r="H1408" s="147">
        <v>4</v>
      </c>
      <c r="I1408" s="146" t="s">
        <v>209</v>
      </c>
      <c r="J1408" s="146" t="s">
        <v>2447</v>
      </c>
      <c r="K1408" s="146" t="s">
        <v>2448</v>
      </c>
      <c r="L1408" s="147">
        <v>2</v>
      </c>
      <c r="M1408" s="147">
        <v>4</v>
      </c>
      <c r="N1408" s="146" t="s">
        <v>1548</v>
      </c>
      <c r="O1408" s="147">
        <v>10</v>
      </c>
      <c r="P1408" s="147">
        <v>8</v>
      </c>
      <c r="Q1408" s="147">
        <v>21</v>
      </c>
      <c r="R1408" s="146" t="s">
        <v>200</v>
      </c>
      <c r="S1408" s="146" t="s">
        <v>201</v>
      </c>
      <c r="T1408" s="147">
        <v>478</v>
      </c>
      <c r="U1408" s="146" t="s">
        <v>200</v>
      </c>
      <c r="V1408" s="146" t="s">
        <v>2449</v>
      </c>
      <c r="W1408" s="147">
        <v>2</v>
      </c>
      <c r="X1408" s="147">
        <v>2</v>
      </c>
      <c r="Y1408" s="146" t="s">
        <v>194</v>
      </c>
      <c r="Z1408" s="146" t="s">
        <v>195</v>
      </c>
      <c r="AA1408" s="146" t="s">
        <v>196</v>
      </c>
      <c r="AB1408" s="146" t="s">
        <v>187</v>
      </c>
      <c r="AC1408" s="146" t="s">
        <v>187</v>
      </c>
      <c r="AD1408" s="148"/>
      <c r="AE1408" s="146" t="s">
        <v>209</v>
      </c>
      <c r="AF1408" s="147">
        <v>21.196713057961201</v>
      </c>
      <c r="AG1408" s="149">
        <v>94.0365561085775</v>
      </c>
      <c r="AO1408" s="121"/>
      <c r="AT1408" s="111"/>
      <c r="AX1408" s="121"/>
    </row>
    <row r="1409" spans="1:50" s="110" customFormat="1" ht="20" customHeight="1">
      <c r="A1409" s="125" t="s">
        <v>1620</v>
      </c>
      <c r="B1409" s="126" t="s">
        <v>61</v>
      </c>
      <c r="C1409" s="127">
        <v>12127</v>
      </c>
      <c r="D1409" s="128">
        <v>103879</v>
      </c>
      <c r="E1409" s="129" t="s">
        <v>3573</v>
      </c>
      <c r="F1409" s="129" t="s">
        <v>3573</v>
      </c>
      <c r="G1409" s="130">
        <v>9200</v>
      </c>
      <c r="H1409" s="130">
        <v>5</v>
      </c>
      <c r="I1409" s="129" t="s">
        <v>209</v>
      </c>
      <c r="J1409" s="129" t="s">
        <v>3574</v>
      </c>
      <c r="K1409" s="129" t="s">
        <v>3573</v>
      </c>
      <c r="L1409" s="130">
        <v>5</v>
      </c>
      <c r="M1409" s="130">
        <v>4</v>
      </c>
      <c r="N1409" s="129" t="s">
        <v>1548</v>
      </c>
      <c r="O1409" s="130">
        <v>35</v>
      </c>
      <c r="P1409" s="130">
        <v>25</v>
      </c>
      <c r="Q1409" s="130">
        <v>21</v>
      </c>
      <c r="R1409" s="129" t="s">
        <v>200</v>
      </c>
      <c r="S1409" s="129" t="s">
        <v>201</v>
      </c>
      <c r="T1409" s="130">
        <v>475</v>
      </c>
      <c r="U1409" s="129" t="s">
        <v>200</v>
      </c>
      <c r="V1409" s="129" t="s">
        <v>392</v>
      </c>
      <c r="W1409" s="130">
        <v>2</v>
      </c>
      <c r="X1409" s="130">
        <v>2</v>
      </c>
      <c r="Y1409" s="129" t="s">
        <v>194</v>
      </c>
      <c r="Z1409" s="129" t="s">
        <v>195</v>
      </c>
      <c r="AA1409" s="129" t="s">
        <v>196</v>
      </c>
      <c r="AB1409" s="129" t="s">
        <v>187</v>
      </c>
      <c r="AC1409" s="129" t="s">
        <v>187</v>
      </c>
      <c r="AD1409" s="131"/>
      <c r="AE1409" s="129" t="s">
        <v>209</v>
      </c>
      <c r="AF1409" s="130">
        <v>23.823599999999999</v>
      </c>
      <c r="AG1409" s="132">
        <v>93.538510000000002</v>
      </c>
      <c r="AO1409" s="121"/>
      <c r="AT1409" s="111"/>
      <c r="AX1409" s="121"/>
    </row>
    <row r="1410" spans="1:50" s="110" customFormat="1" ht="20" customHeight="1">
      <c r="A1410" s="125" t="s">
        <v>478</v>
      </c>
      <c r="B1410" s="126" t="s">
        <v>56</v>
      </c>
      <c r="C1410" s="127">
        <v>14881</v>
      </c>
      <c r="D1410" s="128">
        <v>108886</v>
      </c>
      <c r="E1410" s="129" t="s">
        <v>4752</v>
      </c>
      <c r="F1410" s="129" t="s">
        <v>4752</v>
      </c>
      <c r="G1410" s="130">
        <v>210000</v>
      </c>
      <c r="H1410" s="130">
        <v>5</v>
      </c>
      <c r="I1410" s="129" t="s">
        <v>209</v>
      </c>
      <c r="J1410" s="129" t="s">
        <v>4753</v>
      </c>
      <c r="K1410" s="129" t="s">
        <v>4752</v>
      </c>
      <c r="L1410" s="130">
        <v>5</v>
      </c>
      <c r="M1410" s="130">
        <v>4</v>
      </c>
      <c r="N1410" s="129" t="s">
        <v>1548</v>
      </c>
      <c r="O1410" s="130">
        <v>36</v>
      </c>
      <c r="P1410" s="130">
        <v>17.832000000000001</v>
      </c>
      <c r="Q1410" s="130">
        <v>21</v>
      </c>
      <c r="R1410" s="129" t="s">
        <v>200</v>
      </c>
      <c r="S1410" s="129" t="s">
        <v>201</v>
      </c>
      <c r="T1410" s="130">
        <v>475</v>
      </c>
      <c r="U1410" s="129" t="s">
        <v>200</v>
      </c>
      <c r="V1410" s="129" t="s">
        <v>392</v>
      </c>
      <c r="W1410" s="130">
        <v>4</v>
      </c>
      <c r="X1410" s="130">
        <v>2</v>
      </c>
      <c r="Y1410" s="129" t="s">
        <v>194</v>
      </c>
      <c r="Z1410" s="129" t="s">
        <v>195</v>
      </c>
      <c r="AA1410" s="129" t="s">
        <v>196</v>
      </c>
      <c r="AB1410" s="129" t="s">
        <v>187</v>
      </c>
      <c r="AC1410" s="129" t="s">
        <v>187</v>
      </c>
      <c r="AD1410" s="131"/>
      <c r="AE1410" s="129" t="s">
        <v>209</v>
      </c>
      <c r="AF1410" s="130">
        <v>17.70964</v>
      </c>
      <c r="AG1410" s="132">
        <v>98.318020000000004</v>
      </c>
      <c r="AO1410" s="121"/>
      <c r="AT1410" s="111"/>
      <c r="AX1410" s="121"/>
    </row>
    <row r="1411" spans="1:50" s="110" customFormat="1" ht="20" customHeight="1">
      <c r="A1411" s="125" t="s">
        <v>471</v>
      </c>
      <c r="B1411" s="126" t="s">
        <v>65</v>
      </c>
      <c r="C1411" s="127">
        <v>14457</v>
      </c>
      <c r="D1411" s="163">
        <v>108139</v>
      </c>
      <c r="E1411" s="164" t="s">
        <v>2847</v>
      </c>
      <c r="F1411" s="164" t="s">
        <v>2847</v>
      </c>
      <c r="G1411" s="165">
        <v>2700</v>
      </c>
      <c r="H1411" s="165">
        <v>1</v>
      </c>
      <c r="I1411" s="164" t="s">
        <v>187</v>
      </c>
      <c r="J1411" s="164" t="s">
        <v>634</v>
      </c>
      <c r="K1411" s="164" t="s">
        <v>635</v>
      </c>
      <c r="L1411" s="165">
        <v>0</v>
      </c>
      <c r="M1411" s="165">
        <v>4</v>
      </c>
      <c r="N1411" s="164" t="s">
        <v>1548</v>
      </c>
      <c r="O1411" s="165">
        <v>0</v>
      </c>
      <c r="P1411" s="165">
        <v>0</v>
      </c>
      <c r="Q1411" s="165">
        <v>20</v>
      </c>
      <c r="R1411" s="164" t="s">
        <v>574</v>
      </c>
      <c r="S1411" s="164" t="s">
        <v>575</v>
      </c>
      <c r="T1411" s="165">
        <v>260</v>
      </c>
      <c r="U1411" s="164" t="s">
        <v>1796</v>
      </c>
      <c r="V1411" s="164" t="s">
        <v>1797</v>
      </c>
      <c r="W1411" s="165">
        <v>1</v>
      </c>
      <c r="X1411" s="165">
        <v>2</v>
      </c>
      <c r="Y1411" s="164" t="s">
        <v>194</v>
      </c>
      <c r="Z1411" s="164" t="s">
        <v>195</v>
      </c>
      <c r="AA1411" s="164" t="s">
        <v>196</v>
      </c>
      <c r="AB1411" s="164" t="s">
        <v>187</v>
      </c>
      <c r="AC1411" s="164" t="s">
        <v>187</v>
      </c>
      <c r="AD1411" s="165">
        <v>1</v>
      </c>
      <c r="AE1411" s="164" t="s">
        <v>187</v>
      </c>
      <c r="AF1411" s="165">
        <v>21.223520768069001</v>
      </c>
      <c r="AG1411" s="166">
        <v>101.969360770983</v>
      </c>
      <c r="AO1411" s="121"/>
      <c r="AT1411" s="111"/>
      <c r="AX1411" s="121"/>
    </row>
    <row r="1412" spans="1:50" s="110" customFormat="1" ht="20" customHeight="1">
      <c r="A1412" s="125" t="s">
        <v>471</v>
      </c>
      <c r="B1412" s="126" t="s">
        <v>65</v>
      </c>
      <c r="C1412" s="127">
        <v>14456</v>
      </c>
      <c r="D1412" s="163">
        <v>108138</v>
      </c>
      <c r="E1412" s="164" t="s">
        <v>2496</v>
      </c>
      <c r="F1412" s="164" t="s">
        <v>2496</v>
      </c>
      <c r="G1412" s="165">
        <v>1400</v>
      </c>
      <c r="H1412" s="165">
        <v>1</v>
      </c>
      <c r="I1412" s="164" t="s">
        <v>187</v>
      </c>
      <c r="J1412" s="164" t="s">
        <v>634</v>
      </c>
      <c r="K1412" s="164" t="s">
        <v>635</v>
      </c>
      <c r="L1412" s="165">
        <v>0</v>
      </c>
      <c r="M1412" s="165">
        <v>4</v>
      </c>
      <c r="N1412" s="164" t="s">
        <v>1548</v>
      </c>
      <c r="O1412" s="165">
        <v>0</v>
      </c>
      <c r="P1412" s="165">
        <v>0</v>
      </c>
      <c r="Q1412" s="165">
        <v>20</v>
      </c>
      <c r="R1412" s="164" t="s">
        <v>574</v>
      </c>
      <c r="S1412" s="164" t="s">
        <v>575</v>
      </c>
      <c r="T1412" s="165">
        <v>260</v>
      </c>
      <c r="U1412" s="164" t="s">
        <v>1796</v>
      </c>
      <c r="V1412" s="164" t="s">
        <v>1797</v>
      </c>
      <c r="W1412" s="165">
        <v>1</v>
      </c>
      <c r="X1412" s="165">
        <v>2</v>
      </c>
      <c r="Y1412" s="164" t="s">
        <v>194</v>
      </c>
      <c r="Z1412" s="164" t="s">
        <v>195</v>
      </c>
      <c r="AA1412" s="164" t="s">
        <v>196</v>
      </c>
      <c r="AB1412" s="164" t="s">
        <v>187</v>
      </c>
      <c r="AC1412" s="164" t="s">
        <v>187</v>
      </c>
      <c r="AD1412" s="165">
        <v>1</v>
      </c>
      <c r="AE1412" s="164" t="s">
        <v>187</v>
      </c>
      <c r="AF1412" s="165">
        <v>21.3878029146728</v>
      </c>
      <c r="AG1412" s="166">
        <v>101.970248847007</v>
      </c>
      <c r="AO1412" s="121"/>
      <c r="AT1412" s="111"/>
      <c r="AX1412" s="121"/>
    </row>
    <row r="1413" spans="1:50" s="110" customFormat="1" ht="20" customHeight="1">
      <c r="A1413" s="125" t="s">
        <v>471</v>
      </c>
      <c r="B1413" s="126" t="s">
        <v>65</v>
      </c>
      <c r="C1413" s="127">
        <v>13015</v>
      </c>
      <c r="D1413" s="163">
        <v>105685</v>
      </c>
      <c r="E1413" s="164" t="s">
        <v>2419</v>
      </c>
      <c r="F1413" s="164" t="s">
        <v>2419</v>
      </c>
      <c r="G1413" s="165">
        <v>1200</v>
      </c>
      <c r="H1413" s="165">
        <v>1</v>
      </c>
      <c r="I1413" s="164" t="s">
        <v>187</v>
      </c>
      <c r="J1413" s="164" t="s">
        <v>2420</v>
      </c>
      <c r="K1413" s="164" t="s">
        <v>2421</v>
      </c>
      <c r="L1413" s="165">
        <v>0</v>
      </c>
      <c r="M1413" s="165">
        <v>4</v>
      </c>
      <c r="N1413" s="164" t="s">
        <v>1548</v>
      </c>
      <c r="O1413" s="165">
        <v>0</v>
      </c>
      <c r="P1413" s="165">
        <v>0</v>
      </c>
      <c r="Q1413" s="165">
        <v>20</v>
      </c>
      <c r="R1413" s="164" t="s">
        <v>574</v>
      </c>
      <c r="S1413" s="164" t="s">
        <v>575</v>
      </c>
      <c r="T1413" s="165">
        <v>260</v>
      </c>
      <c r="U1413" s="164" t="s">
        <v>1796</v>
      </c>
      <c r="V1413" s="164" t="s">
        <v>1797</v>
      </c>
      <c r="W1413" s="165">
        <v>1</v>
      </c>
      <c r="X1413" s="165">
        <v>2</v>
      </c>
      <c r="Y1413" s="164" t="s">
        <v>194</v>
      </c>
      <c r="Z1413" s="164" t="s">
        <v>195</v>
      </c>
      <c r="AA1413" s="164" t="s">
        <v>196</v>
      </c>
      <c r="AB1413" s="164" t="s">
        <v>187</v>
      </c>
      <c r="AC1413" s="164" t="s">
        <v>187</v>
      </c>
      <c r="AD1413" s="165">
        <v>1</v>
      </c>
      <c r="AE1413" s="164" t="s">
        <v>187</v>
      </c>
      <c r="AF1413" s="165">
        <v>15.270920438827099</v>
      </c>
      <c r="AG1413" s="166">
        <v>106.793375486589</v>
      </c>
      <c r="AO1413" s="121"/>
      <c r="AT1413" s="111"/>
      <c r="AX1413" s="121"/>
    </row>
    <row r="1414" spans="1:50" s="110" customFormat="1" ht="20" customHeight="1">
      <c r="A1414" s="125" t="s">
        <v>471</v>
      </c>
      <c r="B1414" s="126" t="s">
        <v>65</v>
      </c>
      <c r="C1414" s="127">
        <v>11311</v>
      </c>
      <c r="D1414" s="163">
        <v>102042</v>
      </c>
      <c r="E1414" s="164" t="s">
        <v>2201</v>
      </c>
      <c r="F1414" s="164" t="s">
        <v>2201</v>
      </c>
      <c r="G1414" s="165">
        <v>800</v>
      </c>
      <c r="H1414" s="165">
        <v>1</v>
      </c>
      <c r="I1414" s="164" t="s">
        <v>187</v>
      </c>
      <c r="J1414" s="164" t="s">
        <v>634</v>
      </c>
      <c r="K1414" s="164" t="s">
        <v>635</v>
      </c>
      <c r="L1414" s="165">
        <v>0</v>
      </c>
      <c r="M1414" s="165">
        <v>4</v>
      </c>
      <c r="N1414" s="164" t="s">
        <v>1548</v>
      </c>
      <c r="O1414" s="165">
        <v>0</v>
      </c>
      <c r="P1414" s="165">
        <v>0</v>
      </c>
      <c r="Q1414" s="165">
        <v>20</v>
      </c>
      <c r="R1414" s="164" t="s">
        <v>574</v>
      </c>
      <c r="S1414" s="164" t="s">
        <v>575</v>
      </c>
      <c r="T1414" s="165">
        <v>260</v>
      </c>
      <c r="U1414" s="164" t="s">
        <v>1796</v>
      </c>
      <c r="V1414" s="164" t="s">
        <v>1797</v>
      </c>
      <c r="W1414" s="165">
        <v>1</v>
      </c>
      <c r="X1414" s="165">
        <v>2</v>
      </c>
      <c r="Y1414" s="164" t="s">
        <v>194</v>
      </c>
      <c r="Z1414" s="164" t="s">
        <v>195</v>
      </c>
      <c r="AA1414" s="164" t="s">
        <v>196</v>
      </c>
      <c r="AB1414" s="164" t="s">
        <v>187</v>
      </c>
      <c r="AC1414" s="164" t="s">
        <v>187</v>
      </c>
      <c r="AD1414" s="165">
        <v>1</v>
      </c>
      <c r="AE1414" s="164" t="s">
        <v>187</v>
      </c>
      <c r="AF1414" s="165">
        <v>15.652315414624701</v>
      </c>
      <c r="AG1414" s="166">
        <v>107.201817084591</v>
      </c>
      <c r="AO1414" s="121"/>
      <c r="AT1414" s="111"/>
      <c r="AX1414" s="121"/>
    </row>
    <row r="1415" spans="1:50" s="110" customFormat="1" ht="20" customHeight="1">
      <c r="A1415" s="125" t="s">
        <v>471</v>
      </c>
      <c r="B1415" s="126" t="s">
        <v>65</v>
      </c>
      <c r="C1415" s="127">
        <v>15205</v>
      </c>
      <c r="D1415" s="163">
        <v>109741</v>
      </c>
      <c r="E1415" s="164" t="s">
        <v>2046</v>
      </c>
      <c r="F1415" s="164" t="s">
        <v>2046</v>
      </c>
      <c r="G1415" s="165">
        <v>600</v>
      </c>
      <c r="H1415" s="165">
        <v>1</v>
      </c>
      <c r="I1415" s="164" t="s">
        <v>187</v>
      </c>
      <c r="J1415" s="164" t="s">
        <v>634</v>
      </c>
      <c r="K1415" s="164" t="s">
        <v>635</v>
      </c>
      <c r="L1415" s="165">
        <v>0</v>
      </c>
      <c r="M1415" s="165">
        <v>4</v>
      </c>
      <c r="N1415" s="164" t="s">
        <v>1548</v>
      </c>
      <c r="O1415" s="165">
        <v>0</v>
      </c>
      <c r="P1415" s="165">
        <v>0</v>
      </c>
      <c r="Q1415" s="165">
        <v>20</v>
      </c>
      <c r="R1415" s="164" t="s">
        <v>574</v>
      </c>
      <c r="S1415" s="164" t="s">
        <v>575</v>
      </c>
      <c r="T1415" s="165">
        <v>260</v>
      </c>
      <c r="U1415" s="164" t="s">
        <v>1796</v>
      </c>
      <c r="V1415" s="164" t="s">
        <v>1797</v>
      </c>
      <c r="W1415" s="165">
        <v>1</v>
      </c>
      <c r="X1415" s="165">
        <v>2</v>
      </c>
      <c r="Y1415" s="164" t="s">
        <v>194</v>
      </c>
      <c r="Z1415" s="164" t="s">
        <v>195</v>
      </c>
      <c r="AA1415" s="164" t="s">
        <v>196</v>
      </c>
      <c r="AB1415" s="164" t="s">
        <v>187</v>
      </c>
      <c r="AC1415" s="164" t="s">
        <v>187</v>
      </c>
      <c r="AD1415" s="165">
        <v>1</v>
      </c>
      <c r="AE1415" s="164" t="s">
        <v>187</v>
      </c>
      <c r="AF1415" s="165">
        <v>20.6311865472214</v>
      </c>
      <c r="AG1415" s="166">
        <v>102.453069035807</v>
      </c>
      <c r="AO1415" s="121"/>
      <c r="AT1415" s="111"/>
      <c r="AX1415" s="121"/>
    </row>
    <row r="1416" spans="1:50" s="110" customFormat="1" ht="20" customHeight="1">
      <c r="A1416" s="125" t="s">
        <v>471</v>
      </c>
      <c r="B1416" s="126" t="s">
        <v>65</v>
      </c>
      <c r="C1416" s="127">
        <v>15182</v>
      </c>
      <c r="D1416" s="163">
        <v>109703</v>
      </c>
      <c r="E1416" s="164" t="s">
        <v>1884</v>
      </c>
      <c r="F1416" s="164" t="s">
        <v>1884</v>
      </c>
      <c r="G1416" s="165">
        <v>400</v>
      </c>
      <c r="H1416" s="165">
        <v>1</v>
      </c>
      <c r="I1416" s="164" t="s">
        <v>187</v>
      </c>
      <c r="J1416" s="164" t="s">
        <v>634</v>
      </c>
      <c r="K1416" s="164" t="s">
        <v>635</v>
      </c>
      <c r="L1416" s="165">
        <v>0</v>
      </c>
      <c r="M1416" s="165">
        <v>4</v>
      </c>
      <c r="N1416" s="164" t="s">
        <v>1548</v>
      </c>
      <c r="O1416" s="165">
        <v>0</v>
      </c>
      <c r="P1416" s="165">
        <v>0</v>
      </c>
      <c r="Q1416" s="165">
        <v>20</v>
      </c>
      <c r="R1416" s="164" t="s">
        <v>574</v>
      </c>
      <c r="S1416" s="164" t="s">
        <v>575</v>
      </c>
      <c r="T1416" s="165">
        <v>260</v>
      </c>
      <c r="U1416" s="164" t="s">
        <v>1796</v>
      </c>
      <c r="V1416" s="164" t="s">
        <v>1797</v>
      </c>
      <c r="W1416" s="165">
        <v>1</v>
      </c>
      <c r="X1416" s="165">
        <v>2</v>
      </c>
      <c r="Y1416" s="164" t="s">
        <v>194</v>
      </c>
      <c r="Z1416" s="164" t="s">
        <v>195</v>
      </c>
      <c r="AA1416" s="164" t="s">
        <v>196</v>
      </c>
      <c r="AB1416" s="164" t="s">
        <v>187</v>
      </c>
      <c r="AC1416" s="164" t="s">
        <v>187</v>
      </c>
      <c r="AD1416" s="165">
        <v>1</v>
      </c>
      <c r="AE1416" s="164" t="s">
        <v>187</v>
      </c>
      <c r="AF1416" s="165">
        <v>15.201382224110301</v>
      </c>
      <c r="AG1416" s="166">
        <v>106.28694579271399</v>
      </c>
      <c r="AO1416" s="121"/>
      <c r="AT1416" s="111"/>
      <c r="AX1416" s="121"/>
    </row>
    <row r="1417" spans="1:50" s="110" customFormat="1" ht="20" customHeight="1">
      <c r="A1417" s="125" t="s">
        <v>471</v>
      </c>
      <c r="B1417" s="126" t="s">
        <v>65</v>
      </c>
      <c r="C1417" s="127">
        <v>15312</v>
      </c>
      <c r="D1417" s="163">
        <v>109912</v>
      </c>
      <c r="E1417" s="164" t="s">
        <v>1888</v>
      </c>
      <c r="F1417" s="164" t="s">
        <v>1888</v>
      </c>
      <c r="G1417" s="165">
        <v>400</v>
      </c>
      <c r="H1417" s="165">
        <v>1</v>
      </c>
      <c r="I1417" s="164" t="s">
        <v>187</v>
      </c>
      <c r="J1417" s="164" t="s">
        <v>634</v>
      </c>
      <c r="K1417" s="164" t="s">
        <v>635</v>
      </c>
      <c r="L1417" s="165">
        <v>0</v>
      </c>
      <c r="M1417" s="165">
        <v>4</v>
      </c>
      <c r="N1417" s="164" t="s">
        <v>1548</v>
      </c>
      <c r="O1417" s="165">
        <v>0</v>
      </c>
      <c r="P1417" s="165">
        <v>0</v>
      </c>
      <c r="Q1417" s="165">
        <v>20</v>
      </c>
      <c r="R1417" s="164" t="s">
        <v>574</v>
      </c>
      <c r="S1417" s="164" t="s">
        <v>575</v>
      </c>
      <c r="T1417" s="165">
        <v>260</v>
      </c>
      <c r="U1417" s="164" t="s">
        <v>1796</v>
      </c>
      <c r="V1417" s="164" t="s">
        <v>1797</v>
      </c>
      <c r="W1417" s="165">
        <v>1</v>
      </c>
      <c r="X1417" s="165">
        <v>2</v>
      </c>
      <c r="Y1417" s="164" t="s">
        <v>194</v>
      </c>
      <c r="Z1417" s="164" t="s">
        <v>195</v>
      </c>
      <c r="AA1417" s="164" t="s">
        <v>196</v>
      </c>
      <c r="AB1417" s="164" t="s">
        <v>187</v>
      </c>
      <c r="AC1417" s="164" t="s">
        <v>187</v>
      </c>
      <c r="AD1417" s="165">
        <v>1</v>
      </c>
      <c r="AE1417" s="164" t="s">
        <v>187</v>
      </c>
      <c r="AF1417" s="165">
        <v>21.938507823777002</v>
      </c>
      <c r="AG1417" s="166">
        <v>101.879509034115</v>
      </c>
      <c r="AO1417" s="121"/>
      <c r="AT1417" s="111"/>
      <c r="AX1417" s="121"/>
    </row>
    <row r="1418" spans="1:50" s="110" customFormat="1" ht="20" customHeight="1">
      <c r="A1418" s="125" t="s">
        <v>471</v>
      </c>
      <c r="B1418" s="126" t="s">
        <v>65</v>
      </c>
      <c r="C1418" s="127">
        <v>14455</v>
      </c>
      <c r="D1418" s="163">
        <v>108137</v>
      </c>
      <c r="E1418" s="164" t="s">
        <v>1795</v>
      </c>
      <c r="F1418" s="164" t="s">
        <v>1795</v>
      </c>
      <c r="G1418" s="165">
        <v>300</v>
      </c>
      <c r="H1418" s="165">
        <v>1</v>
      </c>
      <c r="I1418" s="164" t="s">
        <v>187</v>
      </c>
      <c r="J1418" s="164" t="s">
        <v>634</v>
      </c>
      <c r="K1418" s="164" t="s">
        <v>635</v>
      </c>
      <c r="L1418" s="165">
        <v>0</v>
      </c>
      <c r="M1418" s="165">
        <v>4</v>
      </c>
      <c r="N1418" s="164" t="s">
        <v>1548</v>
      </c>
      <c r="O1418" s="165">
        <v>0</v>
      </c>
      <c r="P1418" s="165">
        <v>0</v>
      </c>
      <c r="Q1418" s="165">
        <v>20</v>
      </c>
      <c r="R1418" s="164" t="s">
        <v>574</v>
      </c>
      <c r="S1418" s="164" t="s">
        <v>575</v>
      </c>
      <c r="T1418" s="165">
        <v>260</v>
      </c>
      <c r="U1418" s="164" t="s">
        <v>1796</v>
      </c>
      <c r="V1418" s="164" t="s">
        <v>1797</v>
      </c>
      <c r="W1418" s="165">
        <v>1</v>
      </c>
      <c r="X1418" s="165">
        <v>2</v>
      </c>
      <c r="Y1418" s="164" t="s">
        <v>194</v>
      </c>
      <c r="Z1418" s="164" t="s">
        <v>195</v>
      </c>
      <c r="AA1418" s="164" t="s">
        <v>196</v>
      </c>
      <c r="AB1418" s="164" t="s">
        <v>187</v>
      </c>
      <c r="AC1418" s="164" t="s">
        <v>187</v>
      </c>
      <c r="AD1418" s="165">
        <v>1</v>
      </c>
      <c r="AE1418" s="164" t="s">
        <v>187</v>
      </c>
      <c r="AF1418" s="165">
        <v>21.0452925584048</v>
      </c>
      <c r="AG1418" s="166">
        <v>101.73095078435099</v>
      </c>
      <c r="AO1418" s="121"/>
      <c r="AT1418" s="111"/>
      <c r="AX1418" s="121"/>
    </row>
    <row r="1419" spans="1:50" s="110" customFormat="1" ht="20" customHeight="1">
      <c r="A1419" s="125" t="s">
        <v>471</v>
      </c>
      <c r="B1419" s="126" t="s">
        <v>65</v>
      </c>
      <c r="C1419" s="127">
        <v>18689</v>
      </c>
      <c r="D1419" s="163">
        <v>109710</v>
      </c>
      <c r="E1419" s="164" t="s">
        <v>4607</v>
      </c>
      <c r="F1419" s="164" t="s">
        <v>4608</v>
      </c>
      <c r="G1419" s="165">
        <v>102000</v>
      </c>
      <c r="H1419" s="165">
        <v>1</v>
      </c>
      <c r="I1419" s="164" t="s">
        <v>187</v>
      </c>
      <c r="J1419" s="164" t="s">
        <v>4609</v>
      </c>
      <c r="K1419" s="164" t="s">
        <v>4610</v>
      </c>
      <c r="L1419" s="165">
        <v>3</v>
      </c>
      <c r="M1419" s="165">
        <v>4</v>
      </c>
      <c r="N1419" s="164" t="s">
        <v>1548</v>
      </c>
      <c r="O1419" s="165">
        <v>0</v>
      </c>
      <c r="P1419" s="165">
        <v>0</v>
      </c>
      <c r="Q1419" s="165">
        <v>20</v>
      </c>
      <c r="R1419" s="164" t="s">
        <v>574</v>
      </c>
      <c r="S1419" s="164" t="s">
        <v>575</v>
      </c>
      <c r="T1419" s="165">
        <v>295</v>
      </c>
      <c r="U1419" s="164" t="s">
        <v>1702</v>
      </c>
      <c r="V1419" s="164" t="s">
        <v>1703</v>
      </c>
      <c r="W1419" s="165">
        <v>4</v>
      </c>
      <c r="X1419" s="165">
        <v>2</v>
      </c>
      <c r="Y1419" s="164" t="s">
        <v>194</v>
      </c>
      <c r="Z1419" s="164" t="s">
        <v>195</v>
      </c>
      <c r="AA1419" s="164" t="s">
        <v>196</v>
      </c>
      <c r="AB1419" s="164" t="s">
        <v>187</v>
      </c>
      <c r="AC1419" s="164" t="s">
        <v>187</v>
      </c>
      <c r="AD1419" s="165">
        <v>2</v>
      </c>
      <c r="AE1419" s="164" t="s">
        <v>187</v>
      </c>
      <c r="AF1419" s="165">
        <v>20.25658</v>
      </c>
      <c r="AG1419" s="166">
        <v>104.52789</v>
      </c>
      <c r="AO1419" s="121"/>
      <c r="AT1419" s="111"/>
      <c r="AX1419" s="121"/>
    </row>
    <row r="1420" spans="1:50" s="110" customFormat="1" ht="20" customHeight="1">
      <c r="A1420" s="125" t="s">
        <v>471</v>
      </c>
      <c r="B1420" s="126" t="s">
        <v>65</v>
      </c>
      <c r="C1420" s="127">
        <v>15187</v>
      </c>
      <c r="D1420" s="163">
        <v>109709</v>
      </c>
      <c r="E1420" s="164" t="s">
        <v>2236</v>
      </c>
      <c r="F1420" s="164" t="s">
        <v>2236</v>
      </c>
      <c r="G1420" s="165">
        <v>27000</v>
      </c>
      <c r="H1420" s="165">
        <v>1</v>
      </c>
      <c r="I1420" s="164" t="s">
        <v>187</v>
      </c>
      <c r="J1420" s="164" t="s">
        <v>2237</v>
      </c>
      <c r="K1420" s="164" t="s">
        <v>2236</v>
      </c>
      <c r="L1420" s="165">
        <v>4</v>
      </c>
      <c r="M1420" s="165">
        <v>4</v>
      </c>
      <c r="N1420" s="164" t="s">
        <v>1548</v>
      </c>
      <c r="O1420" s="165">
        <v>0.2</v>
      </c>
      <c r="P1420" s="165">
        <v>0.17699999999999999</v>
      </c>
      <c r="Q1420" s="165">
        <v>20</v>
      </c>
      <c r="R1420" s="164" t="s">
        <v>574</v>
      </c>
      <c r="S1420" s="164" t="s">
        <v>575</v>
      </c>
      <c r="T1420" s="165">
        <v>295</v>
      </c>
      <c r="U1420" s="164" t="s">
        <v>1702</v>
      </c>
      <c r="V1420" s="164" t="s">
        <v>1703</v>
      </c>
      <c r="W1420" s="165">
        <v>6</v>
      </c>
      <c r="X1420" s="165">
        <v>2</v>
      </c>
      <c r="Y1420" s="164" t="s">
        <v>194</v>
      </c>
      <c r="Z1420" s="164" t="s">
        <v>195</v>
      </c>
      <c r="AA1420" s="164" t="s">
        <v>196</v>
      </c>
      <c r="AB1420" s="164" t="s">
        <v>187</v>
      </c>
      <c r="AC1420" s="164" t="s">
        <v>187</v>
      </c>
      <c r="AD1420" s="165">
        <v>1</v>
      </c>
      <c r="AE1420" s="164" t="s">
        <v>209</v>
      </c>
      <c r="AF1420" s="165">
        <v>19.236550000000001</v>
      </c>
      <c r="AG1420" s="166">
        <v>102.72542</v>
      </c>
      <c r="AO1420" s="121"/>
      <c r="AT1420" s="111"/>
      <c r="AX1420" s="121"/>
    </row>
    <row r="1421" spans="1:50" s="110" customFormat="1" ht="20" customHeight="1">
      <c r="A1421" s="125" t="s">
        <v>471</v>
      </c>
      <c r="B1421" s="126" t="s">
        <v>65</v>
      </c>
      <c r="C1421" s="127">
        <v>15186</v>
      </c>
      <c r="D1421" s="163">
        <v>109708</v>
      </c>
      <c r="E1421" s="164" t="s">
        <v>4150</v>
      </c>
      <c r="F1421" s="164" t="s">
        <v>4150</v>
      </c>
      <c r="G1421" s="165">
        <v>25000</v>
      </c>
      <c r="H1421" s="165">
        <v>1</v>
      </c>
      <c r="I1421" s="164" t="s">
        <v>187</v>
      </c>
      <c r="J1421" s="164" t="s">
        <v>4151</v>
      </c>
      <c r="K1421" s="164" t="s">
        <v>4150</v>
      </c>
      <c r="L1421" s="165">
        <v>1</v>
      </c>
      <c r="M1421" s="165">
        <v>4</v>
      </c>
      <c r="N1421" s="164" t="s">
        <v>1548</v>
      </c>
      <c r="O1421" s="165">
        <v>0</v>
      </c>
      <c r="P1421" s="165">
        <v>0</v>
      </c>
      <c r="Q1421" s="165">
        <v>20</v>
      </c>
      <c r="R1421" s="164" t="s">
        <v>574</v>
      </c>
      <c r="S1421" s="164" t="s">
        <v>575</v>
      </c>
      <c r="T1421" s="165">
        <v>295</v>
      </c>
      <c r="U1421" s="164" t="s">
        <v>1702</v>
      </c>
      <c r="V1421" s="164" t="s">
        <v>1703</v>
      </c>
      <c r="W1421" s="165">
        <v>2</v>
      </c>
      <c r="X1421" s="165">
        <v>2</v>
      </c>
      <c r="Y1421" s="164" t="s">
        <v>194</v>
      </c>
      <c r="Z1421" s="164" t="s">
        <v>195</v>
      </c>
      <c r="AA1421" s="164" t="s">
        <v>196</v>
      </c>
      <c r="AB1421" s="164" t="s">
        <v>187</v>
      </c>
      <c r="AC1421" s="164" t="s">
        <v>187</v>
      </c>
      <c r="AD1421" s="165">
        <v>1</v>
      </c>
      <c r="AE1421" s="164" t="s">
        <v>187</v>
      </c>
      <c r="AF1421" s="165">
        <v>20.023209999999999</v>
      </c>
      <c r="AG1421" s="166">
        <v>104.53134</v>
      </c>
      <c r="AO1421" s="121"/>
      <c r="AT1421" s="111"/>
      <c r="AX1421" s="121"/>
    </row>
    <row r="1422" spans="1:50" s="110" customFormat="1" ht="20" customHeight="1">
      <c r="A1422" s="125" t="s">
        <v>471</v>
      </c>
      <c r="B1422" s="126" t="s">
        <v>65</v>
      </c>
      <c r="C1422" s="127">
        <v>14631</v>
      </c>
      <c r="D1422" s="163">
        <v>108502</v>
      </c>
      <c r="E1422" s="164" t="s">
        <v>3025</v>
      </c>
      <c r="F1422" s="164" t="s">
        <v>3025</v>
      </c>
      <c r="G1422" s="165">
        <v>3900</v>
      </c>
      <c r="H1422" s="165">
        <v>1</v>
      </c>
      <c r="I1422" s="164" t="s">
        <v>187</v>
      </c>
      <c r="J1422" s="164" t="s">
        <v>3026</v>
      </c>
      <c r="K1422" s="164" t="s">
        <v>3025</v>
      </c>
      <c r="L1422" s="165">
        <v>1</v>
      </c>
      <c r="M1422" s="165">
        <v>4</v>
      </c>
      <c r="N1422" s="164" t="s">
        <v>1548</v>
      </c>
      <c r="O1422" s="165">
        <v>0</v>
      </c>
      <c r="P1422" s="165">
        <v>0</v>
      </c>
      <c r="Q1422" s="165">
        <v>20</v>
      </c>
      <c r="R1422" s="164" t="s">
        <v>574</v>
      </c>
      <c r="S1422" s="164" t="s">
        <v>575</v>
      </c>
      <c r="T1422" s="165">
        <v>295</v>
      </c>
      <c r="U1422" s="164" t="s">
        <v>1702</v>
      </c>
      <c r="V1422" s="164" t="s">
        <v>1703</v>
      </c>
      <c r="W1422" s="165">
        <v>2</v>
      </c>
      <c r="X1422" s="165">
        <v>2</v>
      </c>
      <c r="Y1422" s="164" t="s">
        <v>194</v>
      </c>
      <c r="Z1422" s="164" t="s">
        <v>195</v>
      </c>
      <c r="AA1422" s="164" t="s">
        <v>196</v>
      </c>
      <c r="AB1422" s="164" t="s">
        <v>187</v>
      </c>
      <c r="AC1422" s="164" t="s">
        <v>187</v>
      </c>
      <c r="AD1422" s="165">
        <v>1</v>
      </c>
      <c r="AE1422" s="164" t="s">
        <v>187</v>
      </c>
      <c r="AF1422" s="165">
        <v>17.88428</v>
      </c>
      <c r="AG1422" s="166">
        <v>105.53223</v>
      </c>
      <c r="AO1422" s="121"/>
      <c r="AT1422" s="111"/>
      <c r="AX1422" s="121"/>
    </row>
    <row r="1423" spans="1:50" s="110" customFormat="1" ht="20" customHeight="1">
      <c r="A1423" s="125" t="s">
        <v>471</v>
      </c>
      <c r="B1423" s="126" t="s">
        <v>65</v>
      </c>
      <c r="C1423" s="127">
        <v>15306</v>
      </c>
      <c r="D1423" s="163">
        <v>109905</v>
      </c>
      <c r="E1423" s="164" t="s">
        <v>1910</v>
      </c>
      <c r="F1423" s="164" t="s">
        <v>1910</v>
      </c>
      <c r="G1423" s="165">
        <v>3600</v>
      </c>
      <c r="H1423" s="165">
        <v>1</v>
      </c>
      <c r="I1423" s="164" t="s">
        <v>187</v>
      </c>
      <c r="J1423" s="164" t="s">
        <v>1911</v>
      </c>
      <c r="K1423" s="164" t="s">
        <v>1912</v>
      </c>
      <c r="L1423" s="165">
        <v>1</v>
      </c>
      <c r="M1423" s="165">
        <v>4</v>
      </c>
      <c r="N1423" s="164" t="s">
        <v>1548</v>
      </c>
      <c r="O1423" s="165">
        <v>0</v>
      </c>
      <c r="P1423" s="165">
        <v>0</v>
      </c>
      <c r="Q1423" s="165">
        <v>20</v>
      </c>
      <c r="R1423" s="164" t="s">
        <v>574</v>
      </c>
      <c r="S1423" s="164" t="s">
        <v>575</v>
      </c>
      <c r="T1423" s="165">
        <v>295</v>
      </c>
      <c r="U1423" s="164" t="s">
        <v>1702</v>
      </c>
      <c r="V1423" s="164" t="s">
        <v>1703</v>
      </c>
      <c r="W1423" s="165">
        <v>2</v>
      </c>
      <c r="X1423" s="165">
        <v>2</v>
      </c>
      <c r="Y1423" s="164" t="s">
        <v>194</v>
      </c>
      <c r="Z1423" s="164" t="s">
        <v>195</v>
      </c>
      <c r="AA1423" s="164" t="s">
        <v>196</v>
      </c>
      <c r="AB1423" s="164" t="s">
        <v>187</v>
      </c>
      <c r="AC1423" s="164" t="s">
        <v>187</v>
      </c>
      <c r="AD1423" s="165">
        <v>1</v>
      </c>
      <c r="AE1423" s="164" t="s">
        <v>187</v>
      </c>
      <c r="AF1423" s="165">
        <v>18.197789</v>
      </c>
      <c r="AG1423" s="166">
        <v>104.973929</v>
      </c>
      <c r="AO1423" s="121"/>
      <c r="AT1423" s="111"/>
      <c r="AX1423" s="121"/>
    </row>
    <row r="1424" spans="1:50" s="110" customFormat="1" ht="20" customHeight="1">
      <c r="A1424" s="125" t="s">
        <v>471</v>
      </c>
      <c r="B1424" s="126" t="s">
        <v>65</v>
      </c>
      <c r="C1424" s="127">
        <v>18690</v>
      </c>
      <c r="D1424" s="163">
        <v>114319</v>
      </c>
      <c r="E1424" s="164" t="s">
        <v>2721</v>
      </c>
      <c r="F1424" s="164" t="s">
        <v>2721</v>
      </c>
      <c r="G1424" s="165">
        <v>2100</v>
      </c>
      <c r="H1424" s="165">
        <v>1</v>
      </c>
      <c r="I1424" s="164" t="s">
        <v>187</v>
      </c>
      <c r="J1424" s="164" t="s">
        <v>2722</v>
      </c>
      <c r="K1424" s="164" t="s">
        <v>2721</v>
      </c>
      <c r="L1424" s="165">
        <v>1</v>
      </c>
      <c r="M1424" s="165">
        <v>4</v>
      </c>
      <c r="N1424" s="164" t="s">
        <v>1548</v>
      </c>
      <c r="O1424" s="165">
        <v>0</v>
      </c>
      <c r="P1424" s="165">
        <v>0</v>
      </c>
      <c r="Q1424" s="165">
        <v>20</v>
      </c>
      <c r="R1424" s="164" t="s">
        <v>574</v>
      </c>
      <c r="S1424" s="164" t="s">
        <v>575</v>
      </c>
      <c r="T1424" s="165">
        <v>295</v>
      </c>
      <c r="U1424" s="164" t="s">
        <v>1702</v>
      </c>
      <c r="V1424" s="164" t="s">
        <v>1703</v>
      </c>
      <c r="W1424" s="165">
        <v>1</v>
      </c>
      <c r="X1424" s="165">
        <v>2</v>
      </c>
      <c r="Y1424" s="164" t="s">
        <v>194</v>
      </c>
      <c r="Z1424" s="164" t="s">
        <v>195</v>
      </c>
      <c r="AA1424" s="164" t="s">
        <v>196</v>
      </c>
      <c r="AB1424" s="164" t="s">
        <v>187</v>
      </c>
      <c r="AC1424" s="164" t="s">
        <v>187</v>
      </c>
      <c r="AD1424" s="165">
        <v>1</v>
      </c>
      <c r="AE1424" s="164" t="s">
        <v>187</v>
      </c>
      <c r="AF1424" s="165">
        <v>20.044969999999999</v>
      </c>
      <c r="AG1424" s="166">
        <v>102.4067</v>
      </c>
      <c r="AO1424" s="121"/>
      <c r="AT1424" s="111"/>
      <c r="AX1424" s="121"/>
    </row>
    <row r="1425" spans="1:50" s="110" customFormat="1" ht="20" customHeight="1">
      <c r="A1425" s="125" t="s">
        <v>471</v>
      </c>
      <c r="B1425" s="126" t="s">
        <v>65</v>
      </c>
      <c r="C1425" s="127">
        <v>15195</v>
      </c>
      <c r="D1425" s="163">
        <v>109722</v>
      </c>
      <c r="E1425" s="164" t="s">
        <v>1956</v>
      </c>
      <c r="F1425" s="164" t="s">
        <v>1956</v>
      </c>
      <c r="G1425" s="165">
        <v>500</v>
      </c>
      <c r="H1425" s="165">
        <v>1</v>
      </c>
      <c r="I1425" s="164" t="s">
        <v>187</v>
      </c>
      <c r="J1425" s="164" t="s">
        <v>634</v>
      </c>
      <c r="K1425" s="164" t="s">
        <v>635</v>
      </c>
      <c r="L1425" s="165">
        <v>0</v>
      </c>
      <c r="M1425" s="165">
        <v>4</v>
      </c>
      <c r="N1425" s="164" t="s">
        <v>1548</v>
      </c>
      <c r="O1425" s="165">
        <v>0</v>
      </c>
      <c r="P1425" s="165">
        <v>0</v>
      </c>
      <c r="Q1425" s="165">
        <v>20</v>
      </c>
      <c r="R1425" s="164" t="s">
        <v>574</v>
      </c>
      <c r="S1425" s="164" t="s">
        <v>575</v>
      </c>
      <c r="T1425" s="165">
        <v>295</v>
      </c>
      <c r="U1425" s="164" t="s">
        <v>1702</v>
      </c>
      <c r="V1425" s="164" t="s">
        <v>1703</v>
      </c>
      <c r="W1425" s="165">
        <v>1</v>
      </c>
      <c r="X1425" s="165">
        <v>2</v>
      </c>
      <c r="Y1425" s="164" t="s">
        <v>194</v>
      </c>
      <c r="Z1425" s="164" t="s">
        <v>195</v>
      </c>
      <c r="AA1425" s="164" t="s">
        <v>196</v>
      </c>
      <c r="AB1425" s="164" t="s">
        <v>187</v>
      </c>
      <c r="AC1425" s="164" t="s">
        <v>187</v>
      </c>
      <c r="AD1425" s="165">
        <v>1</v>
      </c>
      <c r="AE1425" s="164" t="s">
        <v>187</v>
      </c>
      <c r="AF1425" s="165">
        <v>19.6810367157718</v>
      </c>
      <c r="AG1425" s="166">
        <v>103.501913511</v>
      </c>
      <c r="AO1425" s="121"/>
      <c r="AT1425" s="111"/>
      <c r="AX1425" s="121"/>
    </row>
    <row r="1426" spans="1:50" s="110" customFormat="1" ht="20" customHeight="1">
      <c r="A1426" s="125" t="s">
        <v>471</v>
      </c>
      <c r="B1426" s="126" t="s">
        <v>65</v>
      </c>
      <c r="C1426" s="127">
        <v>19668</v>
      </c>
      <c r="D1426" s="163">
        <v>109723</v>
      </c>
      <c r="E1426" s="164" t="s">
        <v>1885</v>
      </c>
      <c r="F1426" s="164" t="s">
        <v>1885</v>
      </c>
      <c r="G1426" s="165">
        <v>400</v>
      </c>
      <c r="H1426" s="165">
        <v>1</v>
      </c>
      <c r="I1426" s="164" t="s">
        <v>187</v>
      </c>
      <c r="J1426" s="164" t="s">
        <v>634</v>
      </c>
      <c r="K1426" s="164" t="s">
        <v>635</v>
      </c>
      <c r="L1426" s="165">
        <v>0</v>
      </c>
      <c r="M1426" s="165">
        <v>4</v>
      </c>
      <c r="N1426" s="164" t="s">
        <v>1548</v>
      </c>
      <c r="O1426" s="165">
        <v>0</v>
      </c>
      <c r="P1426" s="165">
        <v>0</v>
      </c>
      <c r="Q1426" s="165">
        <v>20</v>
      </c>
      <c r="R1426" s="164" t="s">
        <v>574</v>
      </c>
      <c r="S1426" s="164" t="s">
        <v>575</v>
      </c>
      <c r="T1426" s="165">
        <v>295</v>
      </c>
      <c r="U1426" s="164" t="s">
        <v>1702</v>
      </c>
      <c r="V1426" s="164" t="s">
        <v>1703</v>
      </c>
      <c r="W1426" s="165">
        <v>1</v>
      </c>
      <c r="X1426" s="165">
        <v>2</v>
      </c>
      <c r="Y1426" s="164" t="s">
        <v>194</v>
      </c>
      <c r="Z1426" s="164" t="s">
        <v>195</v>
      </c>
      <c r="AA1426" s="164" t="s">
        <v>196</v>
      </c>
      <c r="AB1426" s="164" t="s">
        <v>187</v>
      </c>
      <c r="AC1426" s="164" t="s">
        <v>187</v>
      </c>
      <c r="AD1426" s="165">
        <v>1</v>
      </c>
      <c r="AE1426" s="164" t="s">
        <v>187</v>
      </c>
      <c r="AF1426" s="165">
        <v>19.738647</v>
      </c>
      <c r="AG1426" s="166">
        <v>103.252511</v>
      </c>
      <c r="AO1426" s="121"/>
      <c r="AT1426" s="111"/>
      <c r="AX1426" s="121"/>
    </row>
    <row r="1427" spans="1:50" s="110" customFormat="1" ht="20" customHeight="1">
      <c r="A1427" s="125" t="s">
        <v>471</v>
      </c>
      <c r="B1427" s="126" t="s">
        <v>65</v>
      </c>
      <c r="C1427" s="127">
        <v>16149</v>
      </c>
      <c r="D1427" s="163">
        <v>111249</v>
      </c>
      <c r="E1427" s="164" t="s">
        <v>1886</v>
      </c>
      <c r="F1427" s="164" t="s">
        <v>1886</v>
      </c>
      <c r="G1427" s="165">
        <v>400</v>
      </c>
      <c r="H1427" s="165">
        <v>1</v>
      </c>
      <c r="I1427" s="164" t="s">
        <v>187</v>
      </c>
      <c r="J1427" s="164" t="s">
        <v>1887</v>
      </c>
      <c r="K1427" s="164" t="s">
        <v>1610</v>
      </c>
      <c r="L1427" s="165">
        <v>5</v>
      </c>
      <c r="M1427" s="165">
        <v>4</v>
      </c>
      <c r="N1427" s="164" t="s">
        <v>1548</v>
      </c>
      <c r="O1427" s="165">
        <v>0</v>
      </c>
      <c r="P1427" s="165">
        <v>0</v>
      </c>
      <c r="Q1427" s="165">
        <v>20</v>
      </c>
      <c r="R1427" s="164" t="s">
        <v>574</v>
      </c>
      <c r="S1427" s="164" t="s">
        <v>575</v>
      </c>
      <c r="T1427" s="165">
        <v>295</v>
      </c>
      <c r="U1427" s="164" t="s">
        <v>1702</v>
      </c>
      <c r="V1427" s="164" t="s">
        <v>1703</v>
      </c>
      <c r="W1427" s="165">
        <v>1</v>
      </c>
      <c r="X1427" s="165">
        <v>2</v>
      </c>
      <c r="Y1427" s="164" t="s">
        <v>194</v>
      </c>
      <c r="Z1427" s="164" t="s">
        <v>195</v>
      </c>
      <c r="AA1427" s="164" t="s">
        <v>196</v>
      </c>
      <c r="AB1427" s="164" t="s">
        <v>187</v>
      </c>
      <c r="AC1427" s="164" t="s">
        <v>187</v>
      </c>
      <c r="AD1427" s="165">
        <v>1</v>
      </c>
      <c r="AE1427" s="164" t="s">
        <v>187</v>
      </c>
      <c r="AF1427" s="165">
        <v>20.704516941303801</v>
      </c>
      <c r="AG1427" s="166">
        <v>102.676052033175</v>
      </c>
      <c r="AO1427" s="121"/>
      <c r="AT1427" s="111"/>
      <c r="AX1427" s="121"/>
    </row>
    <row r="1428" spans="1:50" s="110" customFormat="1" ht="20" customHeight="1">
      <c r="A1428" s="125" t="s">
        <v>471</v>
      </c>
      <c r="B1428" s="126" t="s">
        <v>65</v>
      </c>
      <c r="C1428" s="127">
        <v>19592</v>
      </c>
      <c r="D1428" s="163">
        <v>115456</v>
      </c>
      <c r="E1428" s="164" t="s">
        <v>1699</v>
      </c>
      <c r="F1428" s="164" t="s">
        <v>1699</v>
      </c>
      <c r="G1428" s="165">
        <v>200</v>
      </c>
      <c r="H1428" s="165">
        <v>1</v>
      </c>
      <c r="I1428" s="164" t="s">
        <v>187</v>
      </c>
      <c r="J1428" s="164" t="s">
        <v>1700</v>
      </c>
      <c r="K1428" s="164" t="s">
        <v>1701</v>
      </c>
      <c r="L1428" s="165">
        <v>1</v>
      </c>
      <c r="M1428" s="165">
        <v>4</v>
      </c>
      <c r="N1428" s="164" t="s">
        <v>1548</v>
      </c>
      <c r="O1428" s="165">
        <v>0</v>
      </c>
      <c r="P1428" s="165">
        <v>0</v>
      </c>
      <c r="Q1428" s="165">
        <v>20</v>
      </c>
      <c r="R1428" s="164" t="s">
        <v>574</v>
      </c>
      <c r="S1428" s="164" t="s">
        <v>575</v>
      </c>
      <c r="T1428" s="165">
        <v>295</v>
      </c>
      <c r="U1428" s="164" t="s">
        <v>1702</v>
      </c>
      <c r="V1428" s="164" t="s">
        <v>1703</v>
      </c>
      <c r="W1428" s="165">
        <v>1</v>
      </c>
      <c r="X1428" s="165">
        <v>2</v>
      </c>
      <c r="Y1428" s="164" t="s">
        <v>194</v>
      </c>
      <c r="Z1428" s="164" t="s">
        <v>195</v>
      </c>
      <c r="AA1428" s="164" t="s">
        <v>196</v>
      </c>
      <c r="AB1428" s="164" t="s">
        <v>187</v>
      </c>
      <c r="AC1428" s="164" t="s">
        <v>187</v>
      </c>
      <c r="AD1428" s="165">
        <v>1</v>
      </c>
      <c r="AE1428" s="164" t="s">
        <v>187</v>
      </c>
      <c r="AF1428" s="165">
        <v>18.663219999999999</v>
      </c>
      <c r="AG1428" s="166">
        <v>104.36545</v>
      </c>
      <c r="AO1428" s="121"/>
      <c r="AT1428" s="111"/>
      <c r="AX1428" s="121"/>
    </row>
    <row r="1429" spans="1:50" s="110" customFormat="1" ht="20" customHeight="1">
      <c r="A1429" s="125" t="s">
        <v>471</v>
      </c>
      <c r="B1429" s="126" t="s">
        <v>65</v>
      </c>
      <c r="C1429" s="127">
        <v>16062</v>
      </c>
      <c r="D1429" s="145">
        <v>111101</v>
      </c>
      <c r="E1429" s="146" t="s">
        <v>3456</v>
      </c>
      <c r="F1429" s="146" t="s">
        <v>3456</v>
      </c>
      <c r="G1429" s="147">
        <v>12000</v>
      </c>
      <c r="H1429" s="147">
        <v>4</v>
      </c>
      <c r="I1429" s="146" t="s">
        <v>209</v>
      </c>
      <c r="J1429" s="146" t="s">
        <v>3457</v>
      </c>
      <c r="K1429" s="146" t="s">
        <v>3456</v>
      </c>
      <c r="L1429" s="147">
        <v>1</v>
      </c>
      <c r="M1429" s="147">
        <v>4</v>
      </c>
      <c r="N1429" s="146" t="s">
        <v>1548</v>
      </c>
      <c r="O1429" s="147">
        <v>2.5</v>
      </c>
      <c r="P1429" s="147">
        <v>2.1</v>
      </c>
      <c r="Q1429" s="147">
        <v>20</v>
      </c>
      <c r="R1429" s="146" t="s">
        <v>574</v>
      </c>
      <c r="S1429" s="146" t="s">
        <v>575</v>
      </c>
      <c r="T1429" s="147">
        <v>295</v>
      </c>
      <c r="U1429" s="146" t="s">
        <v>1702</v>
      </c>
      <c r="V1429" s="146" t="s">
        <v>1703</v>
      </c>
      <c r="W1429" s="147">
        <v>2</v>
      </c>
      <c r="X1429" s="147">
        <v>2</v>
      </c>
      <c r="Y1429" s="146" t="s">
        <v>194</v>
      </c>
      <c r="Z1429" s="146" t="s">
        <v>195</v>
      </c>
      <c r="AA1429" s="146" t="s">
        <v>196</v>
      </c>
      <c r="AB1429" s="146" t="s">
        <v>187</v>
      </c>
      <c r="AC1429" s="146" t="s">
        <v>187</v>
      </c>
      <c r="AD1429" s="148"/>
      <c r="AE1429" s="146" t="s">
        <v>209</v>
      </c>
      <c r="AF1429" s="147">
        <v>17.537649999999999</v>
      </c>
      <c r="AG1429" s="149">
        <v>105.59668000000001</v>
      </c>
      <c r="AO1429" s="121"/>
      <c r="AT1429" s="111"/>
      <c r="AX1429" s="121"/>
    </row>
    <row r="1430" spans="1:50" s="110" customFormat="1" ht="20" customHeight="1">
      <c r="A1430" s="125" t="s">
        <v>478</v>
      </c>
      <c r="B1430" s="126" t="s">
        <v>56</v>
      </c>
      <c r="C1430" s="127">
        <v>15187</v>
      </c>
      <c r="D1430" s="163">
        <v>109709</v>
      </c>
      <c r="E1430" s="164" t="s">
        <v>2236</v>
      </c>
      <c r="F1430" s="164" t="s">
        <v>2236</v>
      </c>
      <c r="G1430" s="165">
        <v>800</v>
      </c>
      <c r="H1430" s="165">
        <v>1</v>
      </c>
      <c r="I1430" s="164" t="s">
        <v>187</v>
      </c>
      <c r="J1430" s="164" t="s">
        <v>2237</v>
      </c>
      <c r="K1430" s="164" t="s">
        <v>2236</v>
      </c>
      <c r="L1430" s="165">
        <v>4</v>
      </c>
      <c r="M1430" s="165">
        <v>4</v>
      </c>
      <c r="N1430" s="164" t="s">
        <v>1548</v>
      </c>
      <c r="O1430" s="165">
        <v>3</v>
      </c>
      <c r="P1430" s="165">
        <v>0.89900000000000002</v>
      </c>
      <c r="Q1430" s="165">
        <v>20</v>
      </c>
      <c r="R1430" s="164" t="s">
        <v>574</v>
      </c>
      <c r="S1430" s="164" t="s">
        <v>575</v>
      </c>
      <c r="T1430" s="165">
        <v>295</v>
      </c>
      <c r="U1430" s="164" t="s">
        <v>1702</v>
      </c>
      <c r="V1430" s="164" t="s">
        <v>1703</v>
      </c>
      <c r="W1430" s="165">
        <v>6</v>
      </c>
      <c r="X1430" s="165">
        <v>2</v>
      </c>
      <c r="Y1430" s="164" t="s">
        <v>194</v>
      </c>
      <c r="Z1430" s="164" t="s">
        <v>195</v>
      </c>
      <c r="AA1430" s="164" t="s">
        <v>196</v>
      </c>
      <c r="AB1430" s="164" t="s">
        <v>187</v>
      </c>
      <c r="AC1430" s="164" t="s">
        <v>209</v>
      </c>
      <c r="AD1430" s="165">
        <v>1</v>
      </c>
      <c r="AE1430" s="164" t="s">
        <v>209</v>
      </c>
      <c r="AF1430" s="165">
        <v>13.01385</v>
      </c>
      <c r="AG1430" s="166">
        <v>101.75575000000001</v>
      </c>
      <c r="AO1430" s="121"/>
      <c r="AT1430" s="111"/>
      <c r="AX1430" s="121"/>
    </row>
    <row r="1431" spans="1:50" s="110" customFormat="1" ht="20" customHeight="1">
      <c r="A1431" s="125" t="s">
        <v>480</v>
      </c>
      <c r="B1431" s="126" t="s">
        <v>63</v>
      </c>
      <c r="C1431" s="127">
        <v>15187</v>
      </c>
      <c r="D1431" s="163">
        <v>109709</v>
      </c>
      <c r="E1431" s="164" t="s">
        <v>2236</v>
      </c>
      <c r="F1431" s="164" t="s">
        <v>2236</v>
      </c>
      <c r="G1431" s="165">
        <v>827000</v>
      </c>
      <c r="H1431" s="165">
        <v>1</v>
      </c>
      <c r="I1431" s="164" t="s">
        <v>187</v>
      </c>
      <c r="J1431" s="164" t="s">
        <v>2237</v>
      </c>
      <c r="K1431" s="164" t="s">
        <v>2236</v>
      </c>
      <c r="L1431" s="165">
        <v>4</v>
      </c>
      <c r="M1431" s="165">
        <v>4</v>
      </c>
      <c r="N1431" s="164" t="s">
        <v>1548</v>
      </c>
      <c r="O1431" s="165">
        <v>1.4</v>
      </c>
      <c r="P1431" s="165">
        <v>0.06</v>
      </c>
      <c r="Q1431" s="165">
        <v>20</v>
      </c>
      <c r="R1431" s="164" t="s">
        <v>574</v>
      </c>
      <c r="S1431" s="164" t="s">
        <v>575</v>
      </c>
      <c r="T1431" s="165">
        <v>295</v>
      </c>
      <c r="U1431" s="164" t="s">
        <v>1702</v>
      </c>
      <c r="V1431" s="164" t="s">
        <v>1703</v>
      </c>
      <c r="W1431" s="165">
        <v>6</v>
      </c>
      <c r="X1431" s="165">
        <v>2</v>
      </c>
      <c r="Y1431" s="164" t="s">
        <v>194</v>
      </c>
      <c r="Z1431" s="164" t="s">
        <v>195</v>
      </c>
      <c r="AA1431" s="164" t="s">
        <v>196</v>
      </c>
      <c r="AB1431" s="164" t="s">
        <v>187</v>
      </c>
      <c r="AC1431" s="164" t="s">
        <v>187</v>
      </c>
      <c r="AD1431" s="165">
        <v>17</v>
      </c>
      <c r="AE1431" s="164" t="s">
        <v>209</v>
      </c>
      <c r="AF1431" s="165">
        <v>21.40015</v>
      </c>
      <c r="AG1431" s="166">
        <v>103.8009</v>
      </c>
      <c r="AO1431" s="121"/>
      <c r="AT1431" s="111"/>
      <c r="AX1431" s="121"/>
    </row>
    <row r="1432" spans="1:50" s="110" customFormat="1" ht="20" customHeight="1">
      <c r="A1432" s="125" t="s">
        <v>480</v>
      </c>
      <c r="B1432" s="126" t="s">
        <v>63</v>
      </c>
      <c r="C1432" s="127">
        <v>18689</v>
      </c>
      <c r="D1432" s="163">
        <v>109710</v>
      </c>
      <c r="E1432" s="164" t="s">
        <v>4607</v>
      </c>
      <c r="F1432" s="164" t="s">
        <v>4607</v>
      </c>
      <c r="G1432" s="165">
        <v>331000</v>
      </c>
      <c r="H1432" s="165">
        <v>1</v>
      </c>
      <c r="I1432" s="164" t="s">
        <v>187</v>
      </c>
      <c r="J1432" s="164" t="s">
        <v>4609</v>
      </c>
      <c r="K1432" s="164" t="s">
        <v>4610</v>
      </c>
      <c r="L1432" s="165">
        <v>3</v>
      </c>
      <c r="M1432" s="165">
        <v>4</v>
      </c>
      <c r="N1432" s="164" t="s">
        <v>1548</v>
      </c>
      <c r="O1432" s="165">
        <v>1</v>
      </c>
      <c r="P1432" s="165">
        <v>0.25</v>
      </c>
      <c r="Q1432" s="165">
        <v>20</v>
      </c>
      <c r="R1432" s="164" t="s">
        <v>574</v>
      </c>
      <c r="S1432" s="164" t="s">
        <v>575</v>
      </c>
      <c r="T1432" s="165">
        <v>295</v>
      </c>
      <c r="U1432" s="164" t="s">
        <v>1702</v>
      </c>
      <c r="V1432" s="164" t="s">
        <v>1703</v>
      </c>
      <c r="W1432" s="165">
        <v>4</v>
      </c>
      <c r="X1432" s="165">
        <v>2</v>
      </c>
      <c r="Y1432" s="164" t="s">
        <v>194</v>
      </c>
      <c r="Z1432" s="164" t="s">
        <v>195</v>
      </c>
      <c r="AA1432" s="164" t="s">
        <v>196</v>
      </c>
      <c r="AB1432" s="164" t="s">
        <v>187</v>
      </c>
      <c r="AC1432" s="164" t="s">
        <v>187</v>
      </c>
      <c r="AD1432" s="165">
        <v>7</v>
      </c>
      <c r="AE1432" s="164" t="s">
        <v>209</v>
      </c>
      <c r="AF1432" s="165">
        <v>22.210940000000001</v>
      </c>
      <c r="AG1432" s="166">
        <v>103.0865</v>
      </c>
      <c r="AO1432" s="121"/>
      <c r="AT1432" s="111"/>
      <c r="AX1432" s="121"/>
    </row>
    <row r="1433" spans="1:50" s="110" customFormat="1" ht="20" customHeight="1">
      <c r="A1433" s="125" t="s">
        <v>480</v>
      </c>
      <c r="B1433" s="126" t="s">
        <v>63</v>
      </c>
      <c r="C1433" s="127">
        <v>15186</v>
      </c>
      <c r="D1433" s="163">
        <v>109708</v>
      </c>
      <c r="E1433" s="164" t="s">
        <v>4150</v>
      </c>
      <c r="F1433" s="164" t="s">
        <v>4150</v>
      </c>
      <c r="G1433" s="165">
        <v>166000</v>
      </c>
      <c r="H1433" s="165">
        <v>1</v>
      </c>
      <c r="I1433" s="164" t="s">
        <v>187</v>
      </c>
      <c r="J1433" s="164" t="s">
        <v>4151</v>
      </c>
      <c r="K1433" s="164" t="s">
        <v>4150</v>
      </c>
      <c r="L1433" s="165">
        <v>1</v>
      </c>
      <c r="M1433" s="165">
        <v>4</v>
      </c>
      <c r="N1433" s="164" t="s">
        <v>1548</v>
      </c>
      <c r="O1433" s="165">
        <v>1.5</v>
      </c>
      <c r="P1433" s="165">
        <v>0.34899999999999998</v>
      </c>
      <c r="Q1433" s="165">
        <v>20</v>
      </c>
      <c r="R1433" s="164" t="s">
        <v>574</v>
      </c>
      <c r="S1433" s="164" t="s">
        <v>575</v>
      </c>
      <c r="T1433" s="165">
        <v>295</v>
      </c>
      <c r="U1433" s="164" t="s">
        <v>1702</v>
      </c>
      <c r="V1433" s="164" t="s">
        <v>1703</v>
      </c>
      <c r="W1433" s="165">
        <v>2</v>
      </c>
      <c r="X1433" s="165">
        <v>2</v>
      </c>
      <c r="Y1433" s="164" t="s">
        <v>194</v>
      </c>
      <c r="Z1433" s="164" t="s">
        <v>195</v>
      </c>
      <c r="AA1433" s="164" t="s">
        <v>196</v>
      </c>
      <c r="AB1433" s="164" t="s">
        <v>187</v>
      </c>
      <c r="AC1433" s="164" t="s">
        <v>187</v>
      </c>
      <c r="AD1433" s="165">
        <v>3</v>
      </c>
      <c r="AE1433" s="164" t="s">
        <v>209</v>
      </c>
      <c r="AF1433" s="165">
        <v>20.859480000000001</v>
      </c>
      <c r="AG1433" s="166">
        <v>104.72409</v>
      </c>
      <c r="AO1433" s="121"/>
      <c r="AT1433" s="111"/>
      <c r="AX1433" s="121"/>
    </row>
    <row r="1434" spans="1:50" s="110" customFormat="1" ht="20" customHeight="1">
      <c r="A1434" s="125" t="s">
        <v>480</v>
      </c>
      <c r="B1434" s="126" t="s">
        <v>63</v>
      </c>
      <c r="C1434" s="127">
        <v>15192</v>
      </c>
      <c r="D1434" s="163">
        <v>109719</v>
      </c>
      <c r="E1434" s="164" t="s">
        <v>4133</v>
      </c>
      <c r="F1434" s="164" t="s">
        <v>4133</v>
      </c>
      <c r="G1434" s="165">
        <v>24000</v>
      </c>
      <c r="H1434" s="165">
        <v>1</v>
      </c>
      <c r="I1434" s="164" t="s">
        <v>187</v>
      </c>
      <c r="J1434" s="164" t="s">
        <v>4134</v>
      </c>
      <c r="K1434" s="164" t="s">
        <v>4133</v>
      </c>
      <c r="L1434" s="165">
        <v>1</v>
      </c>
      <c r="M1434" s="165">
        <v>4</v>
      </c>
      <c r="N1434" s="164" t="s">
        <v>1548</v>
      </c>
      <c r="O1434" s="165">
        <v>1</v>
      </c>
      <c r="P1434" s="165">
        <v>0.1</v>
      </c>
      <c r="Q1434" s="165">
        <v>20</v>
      </c>
      <c r="R1434" s="164" t="s">
        <v>574</v>
      </c>
      <c r="S1434" s="164" t="s">
        <v>575</v>
      </c>
      <c r="T1434" s="165">
        <v>295</v>
      </c>
      <c r="U1434" s="164" t="s">
        <v>1702</v>
      </c>
      <c r="V1434" s="164" t="s">
        <v>1703</v>
      </c>
      <c r="W1434" s="165">
        <v>1</v>
      </c>
      <c r="X1434" s="165">
        <v>2</v>
      </c>
      <c r="Y1434" s="164" t="s">
        <v>194</v>
      </c>
      <c r="Z1434" s="164" t="s">
        <v>195</v>
      </c>
      <c r="AA1434" s="164" t="s">
        <v>196</v>
      </c>
      <c r="AB1434" s="164" t="s">
        <v>187</v>
      </c>
      <c r="AC1434" s="164" t="s">
        <v>187</v>
      </c>
      <c r="AD1434" s="165">
        <v>1</v>
      </c>
      <c r="AE1434" s="164" t="s">
        <v>209</v>
      </c>
      <c r="AF1434" s="165">
        <v>19.812830000000002</v>
      </c>
      <c r="AG1434" s="166">
        <v>104.97911000000001</v>
      </c>
      <c r="AO1434" s="121"/>
      <c r="AT1434" s="111"/>
      <c r="AX1434" s="121"/>
    </row>
    <row r="1435" spans="1:50" s="110" customFormat="1" ht="20" customHeight="1">
      <c r="A1435" s="125" t="s">
        <v>480</v>
      </c>
      <c r="B1435" s="126" t="s">
        <v>63</v>
      </c>
      <c r="C1435" s="127">
        <v>18542</v>
      </c>
      <c r="D1435" s="163">
        <v>114159</v>
      </c>
      <c r="E1435" s="164" t="s">
        <v>3551</v>
      </c>
      <c r="F1435" s="164" t="s">
        <v>3551</v>
      </c>
      <c r="G1435" s="165">
        <v>8900</v>
      </c>
      <c r="H1435" s="165">
        <v>1</v>
      </c>
      <c r="I1435" s="164" t="s">
        <v>187</v>
      </c>
      <c r="J1435" s="164" t="s">
        <v>3552</v>
      </c>
      <c r="K1435" s="164" t="s">
        <v>3551</v>
      </c>
      <c r="L1435" s="165">
        <v>1</v>
      </c>
      <c r="M1435" s="165">
        <v>4</v>
      </c>
      <c r="N1435" s="164" t="s">
        <v>1548</v>
      </c>
      <c r="O1435" s="165">
        <v>0</v>
      </c>
      <c r="P1435" s="165">
        <v>0</v>
      </c>
      <c r="Q1435" s="165">
        <v>20</v>
      </c>
      <c r="R1435" s="164" t="s">
        <v>574</v>
      </c>
      <c r="S1435" s="164" t="s">
        <v>575</v>
      </c>
      <c r="T1435" s="165">
        <v>295</v>
      </c>
      <c r="U1435" s="164" t="s">
        <v>1702</v>
      </c>
      <c r="V1435" s="164" t="s">
        <v>1703</v>
      </c>
      <c r="W1435" s="165">
        <v>2</v>
      </c>
      <c r="X1435" s="165">
        <v>2</v>
      </c>
      <c r="Y1435" s="164" t="s">
        <v>194</v>
      </c>
      <c r="Z1435" s="164" t="s">
        <v>195</v>
      </c>
      <c r="AA1435" s="164" t="s">
        <v>196</v>
      </c>
      <c r="AB1435" s="164" t="s">
        <v>187</v>
      </c>
      <c r="AC1435" s="164" t="s">
        <v>187</v>
      </c>
      <c r="AD1435" s="165">
        <v>1</v>
      </c>
      <c r="AE1435" s="164" t="s">
        <v>187</v>
      </c>
      <c r="AF1435" s="165">
        <v>22.799530000000001</v>
      </c>
      <c r="AG1435" s="166">
        <v>104.84904</v>
      </c>
      <c r="AO1435" s="121"/>
      <c r="AT1435" s="111"/>
      <c r="AX1435" s="121"/>
    </row>
    <row r="1436" spans="1:50" s="110" customFormat="1" ht="20" customHeight="1">
      <c r="A1436" s="125" t="s">
        <v>480</v>
      </c>
      <c r="B1436" s="126" t="s">
        <v>63</v>
      </c>
      <c r="C1436" s="127">
        <v>18937</v>
      </c>
      <c r="D1436" s="163">
        <v>105666</v>
      </c>
      <c r="E1436" s="164" t="s">
        <v>2789</v>
      </c>
      <c r="F1436" s="164" t="s">
        <v>2789</v>
      </c>
      <c r="G1436" s="165">
        <v>2300</v>
      </c>
      <c r="H1436" s="165">
        <v>1</v>
      </c>
      <c r="I1436" s="164" t="s">
        <v>187</v>
      </c>
      <c r="J1436" s="164" t="s">
        <v>2790</v>
      </c>
      <c r="K1436" s="164" t="s">
        <v>2789</v>
      </c>
      <c r="L1436" s="165">
        <v>0</v>
      </c>
      <c r="M1436" s="165">
        <v>4</v>
      </c>
      <c r="N1436" s="164" t="s">
        <v>1548</v>
      </c>
      <c r="O1436" s="165">
        <v>0.5</v>
      </c>
      <c r="P1436" s="165">
        <v>0</v>
      </c>
      <c r="Q1436" s="165">
        <v>20</v>
      </c>
      <c r="R1436" s="164" t="s">
        <v>574</v>
      </c>
      <c r="S1436" s="164" t="s">
        <v>575</v>
      </c>
      <c r="T1436" s="165">
        <v>295</v>
      </c>
      <c r="U1436" s="164" t="s">
        <v>1702</v>
      </c>
      <c r="V1436" s="164" t="s">
        <v>1703</v>
      </c>
      <c r="W1436" s="165">
        <v>1</v>
      </c>
      <c r="X1436" s="165">
        <v>2</v>
      </c>
      <c r="Y1436" s="164" t="s">
        <v>194</v>
      </c>
      <c r="Z1436" s="164" t="s">
        <v>195</v>
      </c>
      <c r="AA1436" s="164" t="s">
        <v>196</v>
      </c>
      <c r="AB1436" s="164" t="s">
        <v>187</v>
      </c>
      <c r="AC1436" s="164" t="s">
        <v>187</v>
      </c>
      <c r="AD1436" s="165">
        <v>1</v>
      </c>
      <c r="AE1436" s="164" t="s">
        <v>209</v>
      </c>
      <c r="AF1436" s="165">
        <v>22.715540000000001</v>
      </c>
      <c r="AG1436" s="166">
        <v>104.67628999999999</v>
      </c>
      <c r="AO1436" s="121"/>
      <c r="AT1436" s="111"/>
      <c r="AX1436" s="121"/>
    </row>
    <row r="1437" spans="1:50" s="110" customFormat="1" ht="20" customHeight="1">
      <c r="A1437" s="125" t="s">
        <v>480</v>
      </c>
      <c r="B1437" s="126" t="s">
        <v>63</v>
      </c>
      <c r="C1437" s="127">
        <v>12993</v>
      </c>
      <c r="D1437" s="163">
        <v>105647</v>
      </c>
      <c r="E1437" s="164" t="s">
        <v>2238</v>
      </c>
      <c r="F1437" s="164" t="s">
        <v>2239</v>
      </c>
      <c r="G1437" s="165">
        <v>800</v>
      </c>
      <c r="H1437" s="165">
        <v>1</v>
      </c>
      <c r="I1437" s="164" t="s">
        <v>187</v>
      </c>
      <c r="J1437" s="164" t="s">
        <v>2240</v>
      </c>
      <c r="K1437" s="164" t="s">
        <v>2239</v>
      </c>
      <c r="L1437" s="165">
        <v>1</v>
      </c>
      <c r="M1437" s="165">
        <v>4</v>
      </c>
      <c r="N1437" s="164" t="s">
        <v>1548</v>
      </c>
      <c r="O1437" s="165">
        <v>0.5</v>
      </c>
      <c r="P1437" s="165">
        <v>0</v>
      </c>
      <c r="Q1437" s="165">
        <v>20</v>
      </c>
      <c r="R1437" s="164" t="s">
        <v>574</v>
      </c>
      <c r="S1437" s="164" t="s">
        <v>575</v>
      </c>
      <c r="T1437" s="165">
        <v>295</v>
      </c>
      <c r="U1437" s="164" t="s">
        <v>1702</v>
      </c>
      <c r="V1437" s="164" t="s">
        <v>1703</v>
      </c>
      <c r="W1437" s="165">
        <v>2</v>
      </c>
      <c r="X1437" s="165">
        <v>2</v>
      </c>
      <c r="Y1437" s="164" t="s">
        <v>194</v>
      </c>
      <c r="Z1437" s="164" t="s">
        <v>195</v>
      </c>
      <c r="AA1437" s="164" t="s">
        <v>196</v>
      </c>
      <c r="AB1437" s="164" t="s">
        <v>187</v>
      </c>
      <c r="AC1437" s="164" t="s">
        <v>187</v>
      </c>
      <c r="AD1437" s="165">
        <v>1</v>
      </c>
      <c r="AE1437" s="164" t="s">
        <v>209</v>
      </c>
      <c r="AF1437" s="165">
        <v>22.991630000000001</v>
      </c>
      <c r="AG1437" s="166">
        <v>104.88987</v>
      </c>
      <c r="AO1437" s="121"/>
      <c r="AT1437" s="111"/>
      <c r="AX1437" s="121"/>
    </row>
    <row r="1438" spans="1:50" s="110" customFormat="1" ht="20" customHeight="1">
      <c r="A1438" s="125" t="s">
        <v>480</v>
      </c>
      <c r="B1438" s="126" t="s">
        <v>63</v>
      </c>
      <c r="C1438" s="127">
        <v>15306</v>
      </c>
      <c r="D1438" s="163">
        <v>109905</v>
      </c>
      <c r="E1438" s="164" t="s">
        <v>1910</v>
      </c>
      <c r="F1438" s="164" t="s">
        <v>1910</v>
      </c>
      <c r="G1438" s="165">
        <v>400</v>
      </c>
      <c r="H1438" s="165">
        <v>1</v>
      </c>
      <c r="I1438" s="164" t="s">
        <v>187</v>
      </c>
      <c r="J1438" s="164" t="s">
        <v>1911</v>
      </c>
      <c r="K1438" s="164" t="s">
        <v>1912</v>
      </c>
      <c r="L1438" s="165">
        <v>1</v>
      </c>
      <c r="M1438" s="165">
        <v>4</v>
      </c>
      <c r="N1438" s="164" t="s">
        <v>1548</v>
      </c>
      <c r="O1438" s="165">
        <v>0</v>
      </c>
      <c r="P1438" s="165">
        <v>0</v>
      </c>
      <c r="Q1438" s="165">
        <v>20</v>
      </c>
      <c r="R1438" s="164" t="s">
        <v>574</v>
      </c>
      <c r="S1438" s="164" t="s">
        <v>575</v>
      </c>
      <c r="T1438" s="165">
        <v>295</v>
      </c>
      <c r="U1438" s="164" t="s">
        <v>1702</v>
      </c>
      <c r="V1438" s="164" t="s">
        <v>1703</v>
      </c>
      <c r="W1438" s="165">
        <v>2</v>
      </c>
      <c r="X1438" s="165">
        <v>2</v>
      </c>
      <c r="Y1438" s="164" t="s">
        <v>194</v>
      </c>
      <c r="Z1438" s="164" t="s">
        <v>195</v>
      </c>
      <c r="AA1438" s="164" t="s">
        <v>196</v>
      </c>
      <c r="AB1438" s="164" t="s">
        <v>187</v>
      </c>
      <c r="AC1438" s="164" t="s">
        <v>187</v>
      </c>
      <c r="AD1438" s="165">
        <v>1</v>
      </c>
      <c r="AE1438" s="164" t="s">
        <v>187</v>
      </c>
      <c r="AF1438" s="165">
        <v>19.183779999999999</v>
      </c>
      <c r="AG1438" s="166">
        <v>105.01908</v>
      </c>
      <c r="AO1438" s="121"/>
      <c r="AT1438" s="111"/>
      <c r="AX1438" s="121"/>
    </row>
    <row r="1439" spans="1:50" s="110" customFormat="1" ht="20" customHeight="1">
      <c r="A1439" s="125" t="s">
        <v>480</v>
      </c>
      <c r="B1439" s="126" t="s">
        <v>63</v>
      </c>
      <c r="C1439" s="127">
        <v>19579</v>
      </c>
      <c r="D1439" s="163">
        <v>115091</v>
      </c>
      <c r="E1439" s="164" t="s">
        <v>1736</v>
      </c>
      <c r="F1439" s="164" t="s">
        <v>1736</v>
      </c>
      <c r="G1439" s="165">
        <v>200</v>
      </c>
      <c r="H1439" s="165">
        <v>1</v>
      </c>
      <c r="I1439" s="164" t="s">
        <v>187</v>
      </c>
      <c r="J1439" s="164" t="s">
        <v>1737</v>
      </c>
      <c r="K1439" s="164" t="s">
        <v>1736</v>
      </c>
      <c r="L1439" s="165">
        <v>1</v>
      </c>
      <c r="M1439" s="165">
        <v>4</v>
      </c>
      <c r="N1439" s="164" t="s">
        <v>1548</v>
      </c>
      <c r="O1439" s="165">
        <v>4</v>
      </c>
      <c r="P1439" s="165">
        <v>1</v>
      </c>
      <c r="Q1439" s="165">
        <v>20</v>
      </c>
      <c r="R1439" s="164" t="s">
        <v>574</v>
      </c>
      <c r="S1439" s="164" t="s">
        <v>575</v>
      </c>
      <c r="T1439" s="165">
        <v>295</v>
      </c>
      <c r="U1439" s="164" t="s">
        <v>1702</v>
      </c>
      <c r="V1439" s="164" t="s">
        <v>1703</v>
      </c>
      <c r="W1439" s="165">
        <v>1</v>
      </c>
      <c r="X1439" s="165">
        <v>2</v>
      </c>
      <c r="Y1439" s="164" t="s">
        <v>194</v>
      </c>
      <c r="Z1439" s="164" t="s">
        <v>195</v>
      </c>
      <c r="AA1439" s="164" t="s">
        <v>196</v>
      </c>
      <c r="AB1439" s="164" t="s">
        <v>187</v>
      </c>
      <c r="AC1439" s="164" t="s">
        <v>187</v>
      </c>
      <c r="AD1439" s="165">
        <v>1</v>
      </c>
      <c r="AE1439" s="164" t="s">
        <v>209</v>
      </c>
      <c r="AF1439" s="165">
        <v>22.83897</v>
      </c>
      <c r="AG1439" s="166">
        <v>106.16669</v>
      </c>
      <c r="AO1439" s="121"/>
      <c r="AT1439" s="111"/>
      <c r="AX1439" s="121"/>
    </row>
    <row r="1440" spans="1:50" s="110" customFormat="1" ht="20" customHeight="1">
      <c r="A1440" s="125" t="s">
        <v>480</v>
      </c>
      <c r="B1440" s="126" t="s">
        <v>63</v>
      </c>
      <c r="C1440" s="127">
        <v>13474</v>
      </c>
      <c r="D1440" s="145">
        <v>106205</v>
      </c>
      <c r="E1440" s="146" t="s">
        <v>4722</v>
      </c>
      <c r="F1440" s="146" t="s">
        <v>4722</v>
      </c>
      <c r="G1440" s="147">
        <v>189000</v>
      </c>
      <c r="H1440" s="147">
        <v>4</v>
      </c>
      <c r="I1440" s="146" t="s">
        <v>209</v>
      </c>
      <c r="J1440" s="146" t="s">
        <v>4723</v>
      </c>
      <c r="K1440" s="146" t="s">
        <v>4724</v>
      </c>
      <c r="L1440" s="147">
        <v>0</v>
      </c>
      <c r="M1440" s="147">
        <v>4</v>
      </c>
      <c r="N1440" s="146" t="s">
        <v>1548</v>
      </c>
      <c r="O1440" s="147">
        <v>10</v>
      </c>
      <c r="P1440" s="147">
        <v>6.36</v>
      </c>
      <c r="Q1440" s="147">
        <v>20</v>
      </c>
      <c r="R1440" s="146" t="s">
        <v>574</v>
      </c>
      <c r="S1440" s="146" t="s">
        <v>575</v>
      </c>
      <c r="T1440" s="147">
        <v>295</v>
      </c>
      <c r="U1440" s="146" t="s">
        <v>1702</v>
      </c>
      <c r="V1440" s="146" t="s">
        <v>1703</v>
      </c>
      <c r="W1440" s="147">
        <v>2</v>
      </c>
      <c r="X1440" s="147">
        <v>2</v>
      </c>
      <c r="Y1440" s="146" t="s">
        <v>194</v>
      </c>
      <c r="Z1440" s="146" t="s">
        <v>195</v>
      </c>
      <c r="AA1440" s="146" t="s">
        <v>196</v>
      </c>
      <c r="AB1440" s="146" t="s">
        <v>187</v>
      </c>
      <c r="AC1440" s="146" t="s">
        <v>187</v>
      </c>
      <c r="AD1440" s="148"/>
      <c r="AE1440" s="146" t="s">
        <v>209</v>
      </c>
      <c r="AF1440" s="147">
        <v>22.216660000000001</v>
      </c>
      <c r="AG1440" s="149">
        <v>106.18094000000001</v>
      </c>
      <c r="AO1440" s="121"/>
      <c r="AT1440" s="111"/>
      <c r="AX1440" s="121"/>
    </row>
    <row r="1441" spans="1:50" s="110" customFormat="1" ht="20" customHeight="1">
      <c r="A1441" s="125" t="s">
        <v>480</v>
      </c>
      <c r="B1441" s="126" t="s">
        <v>63</v>
      </c>
      <c r="C1441" s="127">
        <v>15599</v>
      </c>
      <c r="D1441" s="163">
        <v>110223</v>
      </c>
      <c r="E1441" s="164" t="s">
        <v>3871</v>
      </c>
      <c r="F1441" s="164" t="s">
        <v>3871</v>
      </c>
      <c r="G1441" s="165">
        <v>14000</v>
      </c>
      <c r="H1441" s="165">
        <v>1</v>
      </c>
      <c r="I1441" s="164" t="s">
        <v>187</v>
      </c>
      <c r="J1441" s="164" t="s">
        <v>3872</v>
      </c>
      <c r="K1441" s="164" t="s">
        <v>3873</v>
      </c>
      <c r="L1441" s="165">
        <v>1</v>
      </c>
      <c r="M1441" s="165">
        <v>4</v>
      </c>
      <c r="N1441" s="164" t="s">
        <v>1548</v>
      </c>
      <c r="O1441" s="165">
        <v>1</v>
      </c>
      <c r="P1441" s="165">
        <v>8.1000000000000003E-2</v>
      </c>
      <c r="Q1441" s="165">
        <v>20</v>
      </c>
      <c r="R1441" s="164" t="s">
        <v>574</v>
      </c>
      <c r="S1441" s="164" t="s">
        <v>575</v>
      </c>
      <c r="T1441" s="165">
        <v>303</v>
      </c>
      <c r="U1441" s="164" t="s">
        <v>1444</v>
      </c>
      <c r="V1441" s="164" t="s">
        <v>1443</v>
      </c>
      <c r="W1441" s="165">
        <v>1</v>
      </c>
      <c r="X1441" s="165">
        <v>2</v>
      </c>
      <c r="Y1441" s="164" t="s">
        <v>194</v>
      </c>
      <c r="Z1441" s="164" t="s">
        <v>195</v>
      </c>
      <c r="AA1441" s="164" t="s">
        <v>196</v>
      </c>
      <c r="AB1441" s="164" t="s">
        <v>187</v>
      </c>
      <c r="AC1441" s="164" t="s">
        <v>187</v>
      </c>
      <c r="AD1441" s="165">
        <v>1</v>
      </c>
      <c r="AE1441" s="164" t="s">
        <v>209</v>
      </c>
      <c r="AF1441" s="165">
        <v>21.416930000000001</v>
      </c>
      <c r="AG1441" s="166">
        <v>102.93161000000001</v>
      </c>
      <c r="AO1441" s="121"/>
      <c r="AT1441" s="111"/>
      <c r="AX1441" s="121"/>
    </row>
    <row r="1442" spans="1:50" s="110" customFormat="1" ht="20" customHeight="1">
      <c r="A1442" s="125" t="s">
        <v>471</v>
      </c>
      <c r="B1442" s="126" t="s">
        <v>65</v>
      </c>
      <c r="C1442" s="127">
        <v>14382</v>
      </c>
      <c r="D1442" s="163">
        <v>108015</v>
      </c>
      <c r="E1442" s="164" t="s">
        <v>4365</v>
      </c>
      <c r="F1442" s="164" t="s">
        <v>4366</v>
      </c>
      <c r="G1442" s="165">
        <v>40000</v>
      </c>
      <c r="H1442" s="165">
        <v>1</v>
      </c>
      <c r="I1442" s="164" t="s">
        <v>187</v>
      </c>
      <c r="J1442" s="164" t="s">
        <v>4367</v>
      </c>
      <c r="K1442" s="164" t="s">
        <v>4366</v>
      </c>
      <c r="L1442" s="165">
        <v>1</v>
      </c>
      <c r="M1442" s="165">
        <v>4</v>
      </c>
      <c r="N1442" s="164" t="s">
        <v>1548</v>
      </c>
      <c r="O1442" s="165">
        <v>0</v>
      </c>
      <c r="P1442" s="165">
        <v>0</v>
      </c>
      <c r="Q1442" s="165">
        <v>23</v>
      </c>
      <c r="R1442" s="164" t="s">
        <v>1623</v>
      </c>
      <c r="S1442" s="164" t="s">
        <v>1624</v>
      </c>
      <c r="T1442" s="165">
        <v>317</v>
      </c>
      <c r="U1442" s="164" t="s">
        <v>1713</v>
      </c>
      <c r="V1442" s="164" t="s">
        <v>1714</v>
      </c>
      <c r="W1442" s="165">
        <v>1</v>
      </c>
      <c r="X1442" s="165">
        <v>2</v>
      </c>
      <c r="Y1442" s="164" t="s">
        <v>194</v>
      </c>
      <c r="Z1442" s="164" t="s">
        <v>195</v>
      </c>
      <c r="AA1442" s="164" t="s">
        <v>196</v>
      </c>
      <c r="AB1442" s="164" t="s">
        <v>187</v>
      </c>
      <c r="AC1442" s="164" t="s">
        <v>187</v>
      </c>
      <c r="AD1442" s="165">
        <v>1</v>
      </c>
      <c r="AE1442" s="164" t="s">
        <v>187</v>
      </c>
      <c r="AF1442" s="165">
        <v>21.6647300002892</v>
      </c>
      <c r="AG1442" s="166">
        <v>102.157639999886</v>
      </c>
      <c r="AO1442" s="121"/>
      <c r="AT1442" s="111"/>
      <c r="AX1442" s="121"/>
    </row>
    <row r="1443" spans="1:50" s="110" customFormat="1" ht="20" customHeight="1">
      <c r="A1443" s="125" t="s">
        <v>471</v>
      </c>
      <c r="B1443" s="126" t="s">
        <v>65</v>
      </c>
      <c r="C1443" s="127">
        <v>18886</v>
      </c>
      <c r="D1443" s="163">
        <v>114830</v>
      </c>
      <c r="E1443" s="164" t="s">
        <v>3018</v>
      </c>
      <c r="F1443" s="164" t="s">
        <v>3018</v>
      </c>
      <c r="G1443" s="165">
        <v>7100</v>
      </c>
      <c r="H1443" s="165">
        <v>1</v>
      </c>
      <c r="I1443" s="164" t="s">
        <v>187</v>
      </c>
      <c r="J1443" s="164" t="s">
        <v>3019</v>
      </c>
      <c r="K1443" s="164" t="s">
        <v>3020</v>
      </c>
      <c r="L1443" s="165">
        <v>4</v>
      </c>
      <c r="M1443" s="165">
        <v>4</v>
      </c>
      <c r="N1443" s="164" t="s">
        <v>1548</v>
      </c>
      <c r="O1443" s="165">
        <v>0</v>
      </c>
      <c r="P1443" s="165">
        <v>0</v>
      </c>
      <c r="Q1443" s="165">
        <v>23</v>
      </c>
      <c r="R1443" s="164" t="s">
        <v>1623</v>
      </c>
      <c r="S1443" s="164" t="s">
        <v>1624</v>
      </c>
      <c r="T1443" s="165">
        <v>317</v>
      </c>
      <c r="U1443" s="164" t="s">
        <v>1713</v>
      </c>
      <c r="V1443" s="164" t="s">
        <v>1714</v>
      </c>
      <c r="W1443" s="165">
        <v>3</v>
      </c>
      <c r="X1443" s="165">
        <v>2</v>
      </c>
      <c r="Y1443" s="164" t="s">
        <v>194</v>
      </c>
      <c r="Z1443" s="164" t="s">
        <v>195</v>
      </c>
      <c r="AA1443" s="164" t="s">
        <v>196</v>
      </c>
      <c r="AB1443" s="164" t="s">
        <v>187</v>
      </c>
      <c r="AC1443" s="164" t="s">
        <v>209</v>
      </c>
      <c r="AD1443" s="165">
        <v>1</v>
      </c>
      <c r="AE1443" s="164" t="s">
        <v>187</v>
      </c>
      <c r="AF1443" s="165">
        <v>22.2550262980252</v>
      </c>
      <c r="AG1443" s="166">
        <v>101.67858643531601</v>
      </c>
      <c r="AO1443" s="121"/>
      <c r="AT1443" s="111"/>
      <c r="AX1443" s="121"/>
    </row>
    <row r="1444" spans="1:50" s="110" customFormat="1" ht="20" customHeight="1">
      <c r="A1444" s="125" t="s">
        <v>471</v>
      </c>
      <c r="B1444" s="126" t="s">
        <v>65</v>
      </c>
      <c r="C1444" s="127">
        <v>10770</v>
      </c>
      <c r="D1444" s="163">
        <v>115323</v>
      </c>
      <c r="E1444" s="164" t="s">
        <v>3273</v>
      </c>
      <c r="F1444" s="164" t="s">
        <v>3273</v>
      </c>
      <c r="G1444" s="165">
        <v>5600</v>
      </c>
      <c r="H1444" s="165">
        <v>1</v>
      </c>
      <c r="I1444" s="164" t="s">
        <v>187</v>
      </c>
      <c r="J1444" s="164" t="s">
        <v>3274</v>
      </c>
      <c r="K1444" s="164" t="s">
        <v>3275</v>
      </c>
      <c r="L1444" s="165">
        <v>5</v>
      </c>
      <c r="M1444" s="165">
        <v>4</v>
      </c>
      <c r="N1444" s="164" t="s">
        <v>1548</v>
      </c>
      <c r="O1444" s="165">
        <v>0</v>
      </c>
      <c r="P1444" s="165">
        <v>0</v>
      </c>
      <c r="Q1444" s="165">
        <v>23</v>
      </c>
      <c r="R1444" s="164" t="s">
        <v>1623</v>
      </c>
      <c r="S1444" s="164" t="s">
        <v>1624</v>
      </c>
      <c r="T1444" s="165">
        <v>317</v>
      </c>
      <c r="U1444" s="164" t="s">
        <v>1713</v>
      </c>
      <c r="V1444" s="164" t="s">
        <v>1714</v>
      </c>
      <c r="W1444" s="165">
        <v>1</v>
      </c>
      <c r="X1444" s="165">
        <v>2</v>
      </c>
      <c r="Y1444" s="164" t="s">
        <v>194</v>
      </c>
      <c r="Z1444" s="164" t="s">
        <v>195</v>
      </c>
      <c r="AA1444" s="164" t="s">
        <v>196</v>
      </c>
      <c r="AB1444" s="164" t="s">
        <v>187</v>
      </c>
      <c r="AC1444" s="164" t="s">
        <v>187</v>
      </c>
      <c r="AD1444" s="165">
        <v>1</v>
      </c>
      <c r="AE1444" s="164" t="s">
        <v>187</v>
      </c>
      <c r="AF1444" s="165">
        <v>21.286962294274399</v>
      </c>
      <c r="AG1444" s="166">
        <v>102.254563513395</v>
      </c>
      <c r="AO1444" s="121"/>
      <c r="AT1444" s="111"/>
      <c r="AX1444" s="121"/>
    </row>
    <row r="1445" spans="1:50" s="110" customFormat="1" ht="20" customHeight="1">
      <c r="A1445" s="125" t="s">
        <v>471</v>
      </c>
      <c r="B1445" s="126" t="s">
        <v>65</v>
      </c>
      <c r="C1445" s="127">
        <v>14174</v>
      </c>
      <c r="D1445" s="163">
        <v>109001</v>
      </c>
      <c r="E1445" s="164" t="s">
        <v>2241</v>
      </c>
      <c r="F1445" s="164" t="s">
        <v>2241</v>
      </c>
      <c r="G1445" s="165">
        <v>3200</v>
      </c>
      <c r="H1445" s="165">
        <v>1</v>
      </c>
      <c r="I1445" s="164" t="s">
        <v>187</v>
      </c>
      <c r="J1445" s="164" t="s">
        <v>2242</v>
      </c>
      <c r="K1445" s="164" t="s">
        <v>2241</v>
      </c>
      <c r="L1445" s="165">
        <v>1</v>
      </c>
      <c r="M1445" s="165">
        <v>4</v>
      </c>
      <c r="N1445" s="164" t="s">
        <v>1548</v>
      </c>
      <c r="O1445" s="165">
        <v>0</v>
      </c>
      <c r="P1445" s="165">
        <v>0</v>
      </c>
      <c r="Q1445" s="165">
        <v>23</v>
      </c>
      <c r="R1445" s="164" t="s">
        <v>1623</v>
      </c>
      <c r="S1445" s="164" t="s">
        <v>1624</v>
      </c>
      <c r="T1445" s="165">
        <v>317</v>
      </c>
      <c r="U1445" s="164" t="s">
        <v>1713</v>
      </c>
      <c r="V1445" s="164" t="s">
        <v>1714</v>
      </c>
      <c r="W1445" s="165">
        <v>2</v>
      </c>
      <c r="X1445" s="165">
        <v>2</v>
      </c>
      <c r="Y1445" s="164" t="s">
        <v>194</v>
      </c>
      <c r="Z1445" s="164" t="s">
        <v>195</v>
      </c>
      <c r="AA1445" s="164" t="s">
        <v>196</v>
      </c>
      <c r="AB1445" s="164" t="s">
        <v>187</v>
      </c>
      <c r="AC1445" s="164" t="s">
        <v>187</v>
      </c>
      <c r="AD1445" s="165">
        <v>1</v>
      </c>
      <c r="AE1445" s="164" t="s">
        <v>187</v>
      </c>
      <c r="AF1445" s="165">
        <v>21.14085</v>
      </c>
      <c r="AG1445" s="166">
        <v>101.81608</v>
      </c>
      <c r="AO1445" s="121"/>
      <c r="AT1445" s="111"/>
      <c r="AX1445" s="121"/>
    </row>
    <row r="1446" spans="1:50" s="110" customFormat="1" ht="20" customHeight="1">
      <c r="A1446" s="125" t="s">
        <v>471</v>
      </c>
      <c r="B1446" s="126" t="s">
        <v>65</v>
      </c>
      <c r="C1446" s="127">
        <v>18899</v>
      </c>
      <c r="D1446" s="163">
        <v>114852</v>
      </c>
      <c r="E1446" s="164" t="s">
        <v>1896</v>
      </c>
      <c r="F1446" s="164" t="s">
        <v>1896</v>
      </c>
      <c r="G1446" s="165">
        <v>3100</v>
      </c>
      <c r="H1446" s="165">
        <v>1</v>
      </c>
      <c r="I1446" s="164" t="s">
        <v>187</v>
      </c>
      <c r="J1446" s="164" t="s">
        <v>1897</v>
      </c>
      <c r="K1446" s="164" t="s">
        <v>1896</v>
      </c>
      <c r="L1446" s="165">
        <v>4</v>
      </c>
      <c r="M1446" s="165">
        <v>4</v>
      </c>
      <c r="N1446" s="164" t="s">
        <v>1548</v>
      </c>
      <c r="O1446" s="165">
        <v>0.09</v>
      </c>
      <c r="P1446" s="165">
        <v>0.05</v>
      </c>
      <c r="Q1446" s="165">
        <v>23</v>
      </c>
      <c r="R1446" s="164" t="s">
        <v>1623</v>
      </c>
      <c r="S1446" s="164" t="s">
        <v>1624</v>
      </c>
      <c r="T1446" s="165">
        <v>317</v>
      </c>
      <c r="U1446" s="164" t="s">
        <v>1713</v>
      </c>
      <c r="V1446" s="164" t="s">
        <v>1714</v>
      </c>
      <c r="W1446" s="165">
        <v>4</v>
      </c>
      <c r="X1446" s="165">
        <v>2</v>
      </c>
      <c r="Y1446" s="164" t="s">
        <v>194</v>
      </c>
      <c r="Z1446" s="164" t="s">
        <v>195</v>
      </c>
      <c r="AA1446" s="164" t="s">
        <v>196</v>
      </c>
      <c r="AB1446" s="164" t="s">
        <v>187</v>
      </c>
      <c r="AC1446" s="164" t="s">
        <v>209</v>
      </c>
      <c r="AD1446" s="165">
        <v>1</v>
      </c>
      <c r="AE1446" s="164" t="s">
        <v>187</v>
      </c>
      <c r="AF1446" s="165">
        <v>22.4383825067472</v>
      </c>
      <c r="AG1446" s="166">
        <v>101.746319592875</v>
      </c>
      <c r="AO1446" s="121"/>
      <c r="AT1446" s="111"/>
      <c r="AX1446" s="121"/>
    </row>
    <row r="1447" spans="1:50" s="110" customFormat="1" ht="20" customHeight="1">
      <c r="A1447" s="125" t="s">
        <v>471</v>
      </c>
      <c r="B1447" s="126" t="s">
        <v>65</v>
      </c>
      <c r="C1447" s="127">
        <v>16143</v>
      </c>
      <c r="D1447" s="145">
        <v>111239</v>
      </c>
      <c r="E1447" s="146" t="s">
        <v>3572</v>
      </c>
      <c r="F1447" s="146" t="s">
        <v>3572</v>
      </c>
      <c r="G1447" s="147">
        <v>9200</v>
      </c>
      <c r="H1447" s="147">
        <v>4</v>
      </c>
      <c r="I1447" s="146" t="s">
        <v>209</v>
      </c>
      <c r="J1447" s="146" t="s">
        <v>2933</v>
      </c>
      <c r="K1447" s="146" t="s">
        <v>2934</v>
      </c>
      <c r="L1447" s="147">
        <v>5</v>
      </c>
      <c r="M1447" s="147">
        <v>4</v>
      </c>
      <c r="N1447" s="146" t="s">
        <v>1548</v>
      </c>
      <c r="O1447" s="147">
        <v>8.5</v>
      </c>
      <c r="P1447" s="147">
        <v>7.9</v>
      </c>
      <c r="Q1447" s="147">
        <v>23</v>
      </c>
      <c r="R1447" s="146" t="s">
        <v>1623</v>
      </c>
      <c r="S1447" s="146" t="s">
        <v>1624</v>
      </c>
      <c r="T1447" s="147">
        <v>317</v>
      </c>
      <c r="U1447" s="146" t="s">
        <v>1713</v>
      </c>
      <c r="V1447" s="146" t="s">
        <v>1714</v>
      </c>
      <c r="W1447" s="147">
        <v>1</v>
      </c>
      <c r="X1447" s="147">
        <v>2</v>
      </c>
      <c r="Y1447" s="146" t="s">
        <v>194</v>
      </c>
      <c r="Z1447" s="146" t="s">
        <v>195</v>
      </c>
      <c r="AA1447" s="146" t="s">
        <v>196</v>
      </c>
      <c r="AB1447" s="146" t="s">
        <v>187</v>
      </c>
      <c r="AC1447" s="146" t="s">
        <v>187</v>
      </c>
      <c r="AD1447" s="148"/>
      <c r="AE1447" s="146" t="s">
        <v>209</v>
      </c>
      <c r="AF1447" s="147">
        <v>20.430466169977802</v>
      </c>
      <c r="AG1447" s="149">
        <v>100.371883737644</v>
      </c>
      <c r="AO1447" s="121"/>
      <c r="AT1447" s="111"/>
      <c r="AX1447" s="121"/>
    </row>
    <row r="1448" spans="1:50" s="110" customFormat="1" ht="20" customHeight="1">
      <c r="A1448" s="125" t="s">
        <v>471</v>
      </c>
      <c r="B1448" s="126" t="s">
        <v>65</v>
      </c>
      <c r="C1448" s="127">
        <v>16018</v>
      </c>
      <c r="D1448" s="145">
        <v>111024</v>
      </c>
      <c r="E1448" s="146" t="s">
        <v>2981</v>
      </c>
      <c r="F1448" s="146" t="s">
        <v>2981</v>
      </c>
      <c r="G1448" s="147">
        <v>3600</v>
      </c>
      <c r="H1448" s="147">
        <v>4</v>
      </c>
      <c r="I1448" s="146" t="s">
        <v>209</v>
      </c>
      <c r="J1448" s="146" t="s">
        <v>2982</v>
      </c>
      <c r="K1448" s="146" t="s">
        <v>2981</v>
      </c>
      <c r="L1448" s="147">
        <v>4</v>
      </c>
      <c r="M1448" s="147">
        <v>4</v>
      </c>
      <c r="N1448" s="146" t="s">
        <v>1548</v>
      </c>
      <c r="O1448" s="147">
        <v>12</v>
      </c>
      <c r="P1448" s="147">
        <v>10</v>
      </c>
      <c r="Q1448" s="147">
        <v>23</v>
      </c>
      <c r="R1448" s="146" t="s">
        <v>1623</v>
      </c>
      <c r="S1448" s="146" t="s">
        <v>1624</v>
      </c>
      <c r="T1448" s="147">
        <v>317</v>
      </c>
      <c r="U1448" s="146" t="s">
        <v>1713</v>
      </c>
      <c r="V1448" s="146" t="s">
        <v>1714</v>
      </c>
      <c r="W1448" s="147">
        <v>5</v>
      </c>
      <c r="X1448" s="147">
        <v>2</v>
      </c>
      <c r="Y1448" s="146" t="s">
        <v>194</v>
      </c>
      <c r="Z1448" s="146" t="s">
        <v>195</v>
      </c>
      <c r="AA1448" s="146" t="s">
        <v>196</v>
      </c>
      <c r="AB1448" s="146" t="s">
        <v>187</v>
      </c>
      <c r="AC1448" s="146" t="s">
        <v>187</v>
      </c>
      <c r="AD1448" s="148"/>
      <c r="AE1448" s="146" t="s">
        <v>209</v>
      </c>
      <c r="AF1448" s="147">
        <v>20.668289999999999</v>
      </c>
      <c r="AG1448" s="149">
        <v>100.6707</v>
      </c>
      <c r="AO1448" s="121"/>
      <c r="AT1448" s="111"/>
      <c r="AX1448" s="121"/>
    </row>
    <row r="1449" spans="1:50" s="110" customFormat="1" ht="20" customHeight="1">
      <c r="A1449" s="125" t="s">
        <v>471</v>
      </c>
      <c r="B1449" s="126" t="s">
        <v>65</v>
      </c>
      <c r="C1449" s="127">
        <v>12991</v>
      </c>
      <c r="D1449" s="128">
        <v>105645</v>
      </c>
      <c r="E1449" s="129" t="s">
        <v>3810</v>
      </c>
      <c r="F1449" s="129" t="s">
        <v>3810</v>
      </c>
      <c r="G1449" s="130">
        <v>13000</v>
      </c>
      <c r="H1449" s="130">
        <v>5</v>
      </c>
      <c r="I1449" s="129" t="s">
        <v>209</v>
      </c>
      <c r="J1449" s="129" t="s">
        <v>3811</v>
      </c>
      <c r="K1449" s="129" t="s">
        <v>3810</v>
      </c>
      <c r="L1449" s="130">
        <v>1</v>
      </c>
      <c r="M1449" s="130">
        <v>4</v>
      </c>
      <c r="N1449" s="129" t="s">
        <v>1548</v>
      </c>
      <c r="O1449" s="130">
        <v>14</v>
      </c>
      <c r="P1449" s="130">
        <v>11</v>
      </c>
      <c r="Q1449" s="130">
        <v>23</v>
      </c>
      <c r="R1449" s="129" t="s">
        <v>1623</v>
      </c>
      <c r="S1449" s="129" t="s">
        <v>1624</v>
      </c>
      <c r="T1449" s="130">
        <v>317</v>
      </c>
      <c r="U1449" s="129" t="s">
        <v>1713</v>
      </c>
      <c r="V1449" s="129" t="s">
        <v>1714</v>
      </c>
      <c r="W1449" s="130">
        <v>1</v>
      </c>
      <c r="X1449" s="130">
        <v>2</v>
      </c>
      <c r="Y1449" s="129" t="s">
        <v>194</v>
      </c>
      <c r="Z1449" s="129" t="s">
        <v>195</v>
      </c>
      <c r="AA1449" s="129" t="s">
        <v>196</v>
      </c>
      <c r="AB1449" s="129" t="s">
        <v>187</v>
      </c>
      <c r="AC1449" s="129" t="s">
        <v>187</v>
      </c>
      <c r="AD1449" s="131"/>
      <c r="AE1449" s="129" t="s">
        <v>209</v>
      </c>
      <c r="AF1449" s="130">
        <v>20.333614000000001</v>
      </c>
      <c r="AG1449" s="132">
        <v>100.463984</v>
      </c>
      <c r="AO1449" s="121"/>
      <c r="AT1449" s="111"/>
      <c r="AX1449" s="121"/>
    </row>
    <row r="1450" spans="1:50" s="110" customFormat="1" ht="20" customHeight="1">
      <c r="A1450" s="125" t="s">
        <v>471</v>
      </c>
      <c r="B1450" s="126" t="s">
        <v>65</v>
      </c>
      <c r="C1450" s="127">
        <v>12949</v>
      </c>
      <c r="D1450" s="128">
        <v>105576</v>
      </c>
      <c r="E1450" s="129" t="s">
        <v>2934</v>
      </c>
      <c r="F1450" s="129" t="s">
        <v>3004</v>
      </c>
      <c r="G1450" s="130">
        <v>3700</v>
      </c>
      <c r="H1450" s="130">
        <v>5</v>
      </c>
      <c r="I1450" s="129" t="s">
        <v>209</v>
      </c>
      <c r="J1450" s="129" t="s">
        <v>2933</v>
      </c>
      <c r="K1450" s="129" t="s">
        <v>2934</v>
      </c>
      <c r="L1450" s="130">
        <v>5</v>
      </c>
      <c r="M1450" s="130">
        <v>4</v>
      </c>
      <c r="N1450" s="129" t="s">
        <v>1548</v>
      </c>
      <c r="O1450" s="130">
        <v>15</v>
      </c>
      <c r="P1450" s="130">
        <v>11</v>
      </c>
      <c r="Q1450" s="130">
        <v>23</v>
      </c>
      <c r="R1450" s="129" t="s">
        <v>1623</v>
      </c>
      <c r="S1450" s="129" t="s">
        <v>1624</v>
      </c>
      <c r="T1450" s="130">
        <v>317</v>
      </c>
      <c r="U1450" s="129" t="s">
        <v>1713</v>
      </c>
      <c r="V1450" s="129" t="s">
        <v>1714</v>
      </c>
      <c r="W1450" s="130">
        <v>5</v>
      </c>
      <c r="X1450" s="130">
        <v>2</v>
      </c>
      <c r="Y1450" s="129" t="s">
        <v>194</v>
      </c>
      <c r="Z1450" s="129" t="s">
        <v>195</v>
      </c>
      <c r="AA1450" s="129" t="s">
        <v>196</v>
      </c>
      <c r="AB1450" s="129" t="s">
        <v>187</v>
      </c>
      <c r="AC1450" s="129" t="s">
        <v>209</v>
      </c>
      <c r="AD1450" s="131"/>
      <c r="AE1450" s="129" t="s">
        <v>209</v>
      </c>
      <c r="AF1450" s="130">
        <v>20.64481</v>
      </c>
      <c r="AG1450" s="132">
        <v>100.56294</v>
      </c>
      <c r="AO1450" s="121"/>
      <c r="AT1450" s="111"/>
      <c r="AX1450" s="121"/>
    </row>
    <row r="1451" spans="1:50" s="110" customFormat="1" ht="20" customHeight="1">
      <c r="A1451" s="125" t="s">
        <v>1620</v>
      </c>
      <c r="B1451" s="126" t="s">
        <v>61</v>
      </c>
      <c r="C1451" s="127">
        <v>14381</v>
      </c>
      <c r="D1451" s="163">
        <v>108014</v>
      </c>
      <c r="E1451" s="164" t="s">
        <v>2589</v>
      </c>
      <c r="F1451" s="164" t="s">
        <v>2590</v>
      </c>
      <c r="G1451" s="165">
        <v>1600</v>
      </c>
      <c r="H1451" s="165">
        <v>1</v>
      </c>
      <c r="I1451" s="164" t="s">
        <v>187</v>
      </c>
      <c r="J1451" s="164" t="s">
        <v>2043</v>
      </c>
      <c r="K1451" s="164" t="s">
        <v>1998</v>
      </c>
      <c r="L1451" s="165">
        <v>5</v>
      </c>
      <c r="M1451" s="165">
        <v>4</v>
      </c>
      <c r="N1451" s="164" t="s">
        <v>1548</v>
      </c>
      <c r="O1451" s="165">
        <v>1</v>
      </c>
      <c r="P1451" s="165">
        <v>0.4</v>
      </c>
      <c r="Q1451" s="165">
        <v>23</v>
      </c>
      <c r="R1451" s="164" t="s">
        <v>1623</v>
      </c>
      <c r="S1451" s="164" t="s">
        <v>1624</v>
      </c>
      <c r="T1451" s="165">
        <v>317</v>
      </c>
      <c r="U1451" s="164" t="s">
        <v>1713</v>
      </c>
      <c r="V1451" s="164" t="s">
        <v>1714</v>
      </c>
      <c r="W1451" s="165">
        <v>1</v>
      </c>
      <c r="X1451" s="165">
        <v>2</v>
      </c>
      <c r="Y1451" s="164" t="s">
        <v>194</v>
      </c>
      <c r="Z1451" s="164" t="s">
        <v>195</v>
      </c>
      <c r="AA1451" s="164" t="s">
        <v>196</v>
      </c>
      <c r="AB1451" s="164" t="s">
        <v>187</v>
      </c>
      <c r="AC1451" s="164" t="s">
        <v>187</v>
      </c>
      <c r="AD1451" s="165">
        <v>1</v>
      </c>
      <c r="AE1451" s="164" t="s">
        <v>209</v>
      </c>
      <c r="AF1451" s="165">
        <v>24.460640000335701</v>
      </c>
      <c r="AG1451" s="166">
        <v>97.114230000014501</v>
      </c>
      <c r="AO1451" s="121"/>
      <c r="AT1451" s="111"/>
      <c r="AX1451" s="121"/>
    </row>
    <row r="1452" spans="1:50" s="110" customFormat="1" ht="20" customHeight="1">
      <c r="A1452" s="125" t="s">
        <v>1620</v>
      </c>
      <c r="B1452" s="126" t="s">
        <v>61</v>
      </c>
      <c r="C1452" s="127">
        <v>13557</v>
      </c>
      <c r="D1452" s="145">
        <v>106361</v>
      </c>
      <c r="E1452" s="146" t="s">
        <v>4657</v>
      </c>
      <c r="F1452" s="146" t="s">
        <v>4658</v>
      </c>
      <c r="G1452" s="147">
        <v>121000</v>
      </c>
      <c r="H1452" s="147">
        <v>4</v>
      </c>
      <c r="I1452" s="146" t="s">
        <v>209</v>
      </c>
      <c r="J1452" s="146" t="s">
        <v>4659</v>
      </c>
      <c r="K1452" s="146" t="s">
        <v>4660</v>
      </c>
      <c r="L1452" s="147">
        <v>5</v>
      </c>
      <c r="M1452" s="147">
        <v>4</v>
      </c>
      <c r="N1452" s="146" t="s">
        <v>1548</v>
      </c>
      <c r="O1452" s="147">
        <v>9</v>
      </c>
      <c r="P1452" s="147">
        <v>7</v>
      </c>
      <c r="Q1452" s="147">
        <v>23</v>
      </c>
      <c r="R1452" s="146" t="s">
        <v>1623</v>
      </c>
      <c r="S1452" s="146" t="s">
        <v>1624</v>
      </c>
      <c r="T1452" s="147">
        <v>317</v>
      </c>
      <c r="U1452" s="146" t="s">
        <v>1713</v>
      </c>
      <c r="V1452" s="146" t="s">
        <v>1714</v>
      </c>
      <c r="W1452" s="147">
        <v>2</v>
      </c>
      <c r="X1452" s="147">
        <v>2</v>
      </c>
      <c r="Y1452" s="146" t="s">
        <v>194</v>
      </c>
      <c r="Z1452" s="146" t="s">
        <v>195</v>
      </c>
      <c r="AA1452" s="146" t="s">
        <v>196</v>
      </c>
      <c r="AB1452" s="146" t="s">
        <v>187</v>
      </c>
      <c r="AC1452" s="146" t="s">
        <v>187</v>
      </c>
      <c r="AD1452" s="148"/>
      <c r="AE1452" s="146" t="s">
        <v>209</v>
      </c>
      <c r="AF1452" s="147">
        <v>25.846819999643198</v>
      </c>
      <c r="AG1452" s="149">
        <v>98.347110000326197</v>
      </c>
      <c r="AO1452" s="121"/>
      <c r="AT1452" s="111"/>
      <c r="AX1452" s="121"/>
    </row>
    <row r="1453" spans="1:50" s="110" customFormat="1" ht="20" customHeight="1">
      <c r="A1453" s="125" t="s">
        <v>1620</v>
      </c>
      <c r="B1453" s="126" t="s">
        <v>61</v>
      </c>
      <c r="C1453" s="127">
        <v>10519</v>
      </c>
      <c r="D1453" s="145">
        <v>107509</v>
      </c>
      <c r="E1453" s="146" t="s">
        <v>3697</v>
      </c>
      <c r="F1453" s="146" t="s">
        <v>3697</v>
      </c>
      <c r="G1453" s="147">
        <v>11000</v>
      </c>
      <c r="H1453" s="147">
        <v>4</v>
      </c>
      <c r="I1453" s="146" t="s">
        <v>209</v>
      </c>
      <c r="J1453" s="146" t="s">
        <v>3698</v>
      </c>
      <c r="K1453" s="146" t="s">
        <v>3697</v>
      </c>
      <c r="L1453" s="147">
        <v>5</v>
      </c>
      <c r="M1453" s="147">
        <v>4</v>
      </c>
      <c r="N1453" s="146" t="s">
        <v>1548</v>
      </c>
      <c r="O1453" s="147">
        <v>40</v>
      </c>
      <c r="P1453" s="147">
        <v>4</v>
      </c>
      <c r="Q1453" s="147">
        <v>23</v>
      </c>
      <c r="R1453" s="146" t="s">
        <v>1623</v>
      </c>
      <c r="S1453" s="146" t="s">
        <v>1624</v>
      </c>
      <c r="T1453" s="147">
        <v>317</v>
      </c>
      <c r="U1453" s="146" t="s">
        <v>1713</v>
      </c>
      <c r="V1453" s="146" t="s">
        <v>1714</v>
      </c>
      <c r="W1453" s="147">
        <v>2</v>
      </c>
      <c r="X1453" s="147">
        <v>2</v>
      </c>
      <c r="Y1453" s="146" t="s">
        <v>194</v>
      </c>
      <c r="Z1453" s="146" t="s">
        <v>195</v>
      </c>
      <c r="AA1453" s="146" t="s">
        <v>196</v>
      </c>
      <c r="AB1453" s="146" t="s">
        <v>187</v>
      </c>
      <c r="AC1453" s="146" t="s">
        <v>187</v>
      </c>
      <c r="AD1453" s="148"/>
      <c r="AE1453" s="146" t="s">
        <v>209</v>
      </c>
      <c r="AF1453" s="147">
        <v>27.291</v>
      </c>
      <c r="AG1453" s="149">
        <v>98.680059999999997</v>
      </c>
      <c r="AO1453" s="121"/>
      <c r="AT1453" s="111"/>
      <c r="AX1453" s="121"/>
    </row>
    <row r="1454" spans="1:50" s="110" customFormat="1" ht="20" customHeight="1">
      <c r="A1454" s="125" t="s">
        <v>1620</v>
      </c>
      <c r="B1454" s="126" t="s">
        <v>61</v>
      </c>
      <c r="C1454" s="127">
        <v>18899</v>
      </c>
      <c r="D1454" s="145">
        <v>114852</v>
      </c>
      <c r="E1454" s="146" t="s">
        <v>1896</v>
      </c>
      <c r="F1454" s="146" t="s">
        <v>1896</v>
      </c>
      <c r="G1454" s="147">
        <v>1200</v>
      </c>
      <c r="H1454" s="147">
        <v>4</v>
      </c>
      <c r="I1454" s="146" t="s">
        <v>209</v>
      </c>
      <c r="J1454" s="146" t="s">
        <v>1897</v>
      </c>
      <c r="K1454" s="146" t="s">
        <v>1896</v>
      </c>
      <c r="L1454" s="147">
        <v>4</v>
      </c>
      <c r="M1454" s="147">
        <v>4</v>
      </c>
      <c r="N1454" s="146" t="s">
        <v>1548</v>
      </c>
      <c r="O1454" s="147">
        <v>4</v>
      </c>
      <c r="P1454" s="147">
        <v>3</v>
      </c>
      <c r="Q1454" s="147">
        <v>23</v>
      </c>
      <c r="R1454" s="146" t="s">
        <v>1623</v>
      </c>
      <c r="S1454" s="146" t="s">
        <v>1624</v>
      </c>
      <c r="T1454" s="147">
        <v>317</v>
      </c>
      <c r="U1454" s="146" t="s">
        <v>1713</v>
      </c>
      <c r="V1454" s="146" t="s">
        <v>1714</v>
      </c>
      <c r="W1454" s="147">
        <v>4</v>
      </c>
      <c r="X1454" s="147">
        <v>2</v>
      </c>
      <c r="Y1454" s="146" t="s">
        <v>194</v>
      </c>
      <c r="Z1454" s="146" t="s">
        <v>195</v>
      </c>
      <c r="AA1454" s="146" t="s">
        <v>196</v>
      </c>
      <c r="AB1454" s="146" t="s">
        <v>187</v>
      </c>
      <c r="AC1454" s="146" t="s">
        <v>209</v>
      </c>
      <c r="AD1454" s="148"/>
      <c r="AE1454" s="146" t="s">
        <v>209</v>
      </c>
      <c r="AF1454" s="147">
        <v>21.301030999999998</v>
      </c>
      <c r="AG1454" s="149">
        <v>99.612796000000003</v>
      </c>
      <c r="AO1454" s="121"/>
      <c r="AT1454" s="111"/>
      <c r="AX1454" s="121"/>
    </row>
    <row r="1455" spans="1:50" s="110" customFormat="1" ht="20" customHeight="1">
      <c r="A1455" s="125" t="s">
        <v>1620</v>
      </c>
      <c r="B1455" s="126" t="s">
        <v>61</v>
      </c>
      <c r="C1455" s="127">
        <v>10146</v>
      </c>
      <c r="D1455" s="128">
        <v>100038</v>
      </c>
      <c r="E1455" s="129" t="s">
        <v>4344</v>
      </c>
      <c r="F1455" s="129" t="s">
        <v>4345</v>
      </c>
      <c r="G1455" s="130">
        <v>38000</v>
      </c>
      <c r="H1455" s="130">
        <v>5</v>
      </c>
      <c r="I1455" s="129" t="s">
        <v>209</v>
      </c>
      <c r="J1455" s="129" t="s">
        <v>4346</v>
      </c>
      <c r="K1455" s="129" t="s">
        <v>4344</v>
      </c>
      <c r="L1455" s="130">
        <v>5</v>
      </c>
      <c r="M1455" s="130">
        <v>4</v>
      </c>
      <c r="N1455" s="129" t="s">
        <v>1548</v>
      </c>
      <c r="O1455" s="130">
        <v>24</v>
      </c>
      <c r="P1455" s="130">
        <v>20</v>
      </c>
      <c r="Q1455" s="130">
        <v>23</v>
      </c>
      <c r="R1455" s="129" t="s">
        <v>1623</v>
      </c>
      <c r="S1455" s="129" t="s">
        <v>1624</v>
      </c>
      <c r="T1455" s="130">
        <v>317</v>
      </c>
      <c r="U1455" s="129" t="s">
        <v>1713</v>
      </c>
      <c r="V1455" s="129" t="s">
        <v>1714</v>
      </c>
      <c r="W1455" s="130">
        <v>2</v>
      </c>
      <c r="X1455" s="130">
        <v>2</v>
      </c>
      <c r="Y1455" s="129" t="s">
        <v>194</v>
      </c>
      <c r="Z1455" s="129" t="s">
        <v>195</v>
      </c>
      <c r="AA1455" s="129" t="s">
        <v>196</v>
      </c>
      <c r="AB1455" s="129" t="s">
        <v>187</v>
      </c>
      <c r="AC1455" s="129" t="s">
        <v>187</v>
      </c>
      <c r="AD1455" s="131"/>
      <c r="AE1455" s="129" t="s">
        <v>209</v>
      </c>
      <c r="AF1455" s="130">
        <v>24.261399999810099</v>
      </c>
      <c r="AG1455" s="132">
        <v>97.669640000185794</v>
      </c>
      <c r="AO1455" s="121"/>
      <c r="AT1455" s="111"/>
      <c r="AX1455" s="121"/>
    </row>
    <row r="1456" spans="1:50" s="110" customFormat="1" ht="20" customHeight="1">
      <c r="A1456" s="125" t="s">
        <v>478</v>
      </c>
      <c r="B1456" s="126" t="s">
        <v>56</v>
      </c>
      <c r="C1456" s="127">
        <v>20733</v>
      </c>
      <c r="D1456" s="163">
        <v>105577</v>
      </c>
      <c r="E1456" s="164" t="s">
        <v>2932</v>
      </c>
      <c r="F1456" s="164" t="s">
        <v>2932</v>
      </c>
      <c r="G1456" s="165">
        <v>3200</v>
      </c>
      <c r="H1456" s="165">
        <v>1</v>
      </c>
      <c r="I1456" s="164" t="s">
        <v>187</v>
      </c>
      <c r="J1456" s="164" t="s">
        <v>2933</v>
      </c>
      <c r="K1456" s="164" t="s">
        <v>2934</v>
      </c>
      <c r="L1456" s="165">
        <v>5</v>
      </c>
      <c r="M1456" s="165">
        <v>4</v>
      </c>
      <c r="N1456" s="164" t="s">
        <v>1548</v>
      </c>
      <c r="O1456" s="165">
        <v>0.2</v>
      </c>
      <c r="P1456" s="165">
        <v>0.1</v>
      </c>
      <c r="Q1456" s="165">
        <v>23</v>
      </c>
      <c r="R1456" s="164" t="s">
        <v>1623</v>
      </c>
      <c r="S1456" s="164" t="s">
        <v>1624</v>
      </c>
      <c r="T1456" s="165">
        <v>317</v>
      </c>
      <c r="U1456" s="164" t="s">
        <v>1713</v>
      </c>
      <c r="V1456" s="164" t="s">
        <v>1714</v>
      </c>
      <c r="W1456" s="165">
        <v>1</v>
      </c>
      <c r="X1456" s="165">
        <v>2</v>
      </c>
      <c r="Y1456" s="164" t="s">
        <v>194</v>
      </c>
      <c r="Z1456" s="164" t="s">
        <v>195</v>
      </c>
      <c r="AA1456" s="164" t="s">
        <v>196</v>
      </c>
      <c r="AB1456" s="164" t="s">
        <v>187</v>
      </c>
      <c r="AC1456" s="164" t="s">
        <v>209</v>
      </c>
      <c r="AD1456" s="165">
        <v>1</v>
      </c>
      <c r="AE1456" s="164" t="s">
        <v>209</v>
      </c>
      <c r="AF1456" s="165">
        <v>18.786615000000001</v>
      </c>
      <c r="AG1456" s="166">
        <v>99.021052999999995</v>
      </c>
      <c r="AO1456" s="121"/>
      <c r="AT1456" s="111"/>
      <c r="AX1456" s="121"/>
    </row>
    <row r="1457" spans="1:50" s="110" customFormat="1" ht="20" customHeight="1">
      <c r="A1457" s="125" t="s">
        <v>478</v>
      </c>
      <c r="B1457" s="126" t="s">
        <v>56</v>
      </c>
      <c r="C1457" s="127">
        <v>12949</v>
      </c>
      <c r="D1457" s="145">
        <v>105576</v>
      </c>
      <c r="E1457" s="146" t="s">
        <v>2934</v>
      </c>
      <c r="F1457" s="146" t="s">
        <v>4257</v>
      </c>
      <c r="G1457" s="147">
        <v>32000</v>
      </c>
      <c r="H1457" s="147">
        <v>4</v>
      </c>
      <c r="I1457" s="146" t="s">
        <v>209</v>
      </c>
      <c r="J1457" s="146" t="s">
        <v>2933</v>
      </c>
      <c r="K1457" s="146" t="s">
        <v>2934</v>
      </c>
      <c r="L1457" s="147">
        <v>5</v>
      </c>
      <c r="M1457" s="147">
        <v>4</v>
      </c>
      <c r="N1457" s="146" t="s">
        <v>1548</v>
      </c>
      <c r="O1457" s="147">
        <v>30</v>
      </c>
      <c r="P1457" s="147">
        <v>7</v>
      </c>
      <c r="Q1457" s="147">
        <v>23</v>
      </c>
      <c r="R1457" s="146" t="s">
        <v>1623</v>
      </c>
      <c r="S1457" s="146" t="s">
        <v>1624</v>
      </c>
      <c r="T1457" s="147">
        <v>317</v>
      </c>
      <c r="U1457" s="146" t="s">
        <v>1713</v>
      </c>
      <c r="V1457" s="146" t="s">
        <v>1714</v>
      </c>
      <c r="W1457" s="147">
        <v>5</v>
      </c>
      <c r="X1457" s="147">
        <v>2</v>
      </c>
      <c r="Y1457" s="146" t="s">
        <v>194</v>
      </c>
      <c r="Z1457" s="146" t="s">
        <v>195</v>
      </c>
      <c r="AA1457" s="146" t="s">
        <v>196</v>
      </c>
      <c r="AB1457" s="146" t="s">
        <v>187</v>
      </c>
      <c r="AC1457" s="146" t="s">
        <v>209</v>
      </c>
      <c r="AD1457" s="148"/>
      <c r="AE1457" s="146" t="s">
        <v>209</v>
      </c>
      <c r="AF1457" s="147">
        <v>19.527740000000001</v>
      </c>
      <c r="AG1457" s="149">
        <v>98.473950000000002</v>
      </c>
      <c r="AO1457" s="121"/>
      <c r="AT1457" s="111"/>
      <c r="AX1457" s="121"/>
    </row>
    <row r="1458" spans="1:50" s="110" customFormat="1" ht="20" customHeight="1">
      <c r="A1458" s="125" t="s">
        <v>478</v>
      </c>
      <c r="B1458" s="126" t="s">
        <v>56</v>
      </c>
      <c r="C1458" s="127">
        <v>18899</v>
      </c>
      <c r="D1458" s="145">
        <v>114852</v>
      </c>
      <c r="E1458" s="146" t="s">
        <v>1896</v>
      </c>
      <c r="F1458" s="146" t="s">
        <v>1896</v>
      </c>
      <c r="G1458" s="147">
        <v>400</v>
      </c>
      <c r="H1458" s="147">
        <v>4</v>
      </c>
      <c r="I1458" s="146" t="s">
        <v>209</v>
      </c>
      <c r="J1458" s="146" t="s">
        <v>1897</v>
      </c>
      <c r="K1458" s="146" t="s">
        <v>1896</v>
      </c>
      <c r="L1458" s="147">
        <v>4</v>
      </c>
      <c r="M1458" s="147">
        <v>4</v>
      </c>
      <c r="N1458" s="146" t="s">
        <v>1548</v>
      </c>
      <c r="O1458" s="147">
        <v>8</v>
      </c>
      <c r="P1458" s="147">
        <v>3</v>
      </c>
      <c r="Q1458" s="147">
        <v>23</v>
      </c>
      <c r="R1458" s="146" t="s">
        <v>1623</v>
      </c>
      <c r="S1458" s="146" t="s">
        <v>1624</v>
      </c>
      <c r="T1458" s="147">
        <v>317</v>
      </c>
      <c r="U1458" s="146" t="s">
        <v>1713</v>
      </c>
      <c r="V1458" s="146" t="s">
        <v>1714</v>
      </c>
      <c r="W1458" s="147">
        <v>4</v>
      </c>
      <c r="X1458" s="147">
        <v>2</v>
      </c>
      <c r="Y1458" s="146" t="s">
        <v>194</v>
      </c>
      <c r="Z1458" s="146" t="s">
        <v>195</v>
      </c>
      <c r="AA1458" s="146" t="s">
        <v>196</v>
      </c>
      <c r="AB1458" s="146" t="s">
        <v>187</v>
      </c>
      <c r="AC1458" s="146" t="s">
        <v>209</v>
      </c>
      <c r="AD1458" s="148"/>
      <c r="AE1458" s="146" t="s">
        <v>209</v>
      </c>
      <c r="AF1458" s="147">
        <v>19.548552999999998</v>
      </c>
      <c r="AG1458" s="149">
        <v>99.492659000000003</v>
      </c>
      <c r="AO1458" s="121"/>
      <c r="AT1458" s="111"/>
      <c r="AX1458" s="121"/>
    </row>
    <row r="1459" spans="1:50" s="110" customFormat="1" ht="20" customHeight="1">
      <c r="A1459" s="125" t="s">
        <v>480</v>
      </c>
      <c r="B1459" s="126" t="s">
        <v>63</v>
      </c>
      <c r="C1459" s="127">
        <v>12949</v>
      </c>
      <c r="D1459" s="163">
        <v>105576</v>
      </c>
      <c r="E1459" s="164" t="s">
        <v>2934</v>
      </c>
      <c r="F1459" s="164" t="s">
        <v>2934</v>
      </c>
      <c r="G1459" s="165">
        <v>11000</v>
      </c>
      <c r="H1459" s="165">
        <v>1</v>
      </c>
      <c r="I1459" s="164" t="s">
        <v>187</v>
      </c>
      <c r="J1459" s="164" t="s">
        <v>2933</v>
      </c>
      <c r="K1459" s="164" t="s">
        <v>2934</v>
      </c>
      <c r="L1459" s="165">
        <v>5</v>
      </c>
      <c r="M1459" s="165">
        <v>4</v>
      </c>
      <c r="N1459" s="164" t="s">
        <v>1548</v>
      </c>
      <c r="O1459" s="165">
        <v>5</v>
      </c>
      <c r="P1459" s="165">
        <v>0.3</v>
      </c>
      <c r="Q1459" s="165">
        <v>23</v>
      </c>
      <c r="R1459" s="164" t="s">
        <v>1623</v>
      </c>
      <c r="S1459" s="164" t="s">
        <v>1624</v>
      </c>
      <c r="T1459" s="165">
        <v>317</v>
      </c>
      <c r="U1459" s="164" t="s">
        <v>1713</v>
      </c>
      <c r="V1459" s="164" t="s">
        <v>1714</v>
      </c>
      <c r="W1459" s="165">
        <v>5</v>
      </c>
      <c r="X1459" s="165">
        <v>2</v>
      </c>
      <c r="Y1459" s="164" t="s">
        <v>194</v>
      </c>
      <c r="Z1459" s="164" t="s">
        <v>195</v>
      </c>
      <c r="AA1459" s="164" t="s">
        <v>196</v>
      </c>
      <c r="AB1459" s="164" t="s">
        <v>187</v>
      </c>
      <c r="AC1459" s="164" t="s">
        <v>209</v>
      </c>
      <c r="AD1459" s="165">
        <v>1</v>
      </c>
      <c r="AE1459" s="164" t="s">
        <v>209</v>
      </c>
      <c r="AF1459" s="165">
        <v>22.555129999999998</v>
      </c>
      <c r="AG1459" s="166">
        <v>102.75809</v>
      </c>
      <c r="AO1459" s="121"/>
      <c r="AT1459" s="111"/>
      <c r="AX1459" s="121"/>
    </row>
    <row r="1460" spans="1:50" s="110" customFormat="1" ht="20" customHeight="1">
      <c r="A1460" s="125" t="s">
        <v>480</v>
      </c>
      <c r="B1460" s="126" t="s">
        <v>63</v>
      </c>
      <c r="C1460" s="127">
        <v>18886</v>
      </c>
      <c r="D1460" s="163">
        <v>114830</v>
      </c>
      <c r="E1460" s="164" t="s">
        <v>3018</v>
      </c>
      <c r="F1460" s="164" t="s">
        <v>3018</v>
      </c>
      <c r="G1460" s="165">
        <v>3800</v>
      </c>
      <c r="H1460" s="165">
        <v>1</v>
      </c>
      <c r="I1460" s="164" t="s">
        <v>187</v>
      </c>
      <c r="J1460" s="164" t="s">
        <v>3019</v>
      </c>
      <c r="K1460" s="164" t="s">
        <v>3020</v>
      </c>
      <c r="L1460" s="165">
        <v>4</v>
      </c>
      <c r="M1460" s="165">
        <v>4</v>
      </c>
      <c r="N1460" s="164" t="s">
        <v>1548</v>
      </c>
      <c r="O1460" s="165">
        <v>0.19</v>
      </c>
      <c r="P1460" s="165">
        <v>0</v>
      </c>
      <c r="Q1460" s="165">
        <v>23</v>
      </c>
      <c r="R1460" s="164" t="s">
        <v>1623</v>
      </c>
      <c r="S1460" s="164" t="s">
        <v>1624</v>
      </c>
      <c r="T1460" s="165">
        <v>317</v>
      </c>
      <c r="U1460" s="164" t="s">
        <v>1713</v>
      </c>
      <c r="V1460" s="164" t="s">
        <v>1714</v>
      </c>
      <c r="W1460" s="165">
        <v>3</v>
      </c>
      <c r="X1460" s="165">
        <v>2</v>
      </c>
      <c r="Y1460" s="164" t="s">
        <v>194</v>
      </c>
      <c r="Z1460" s="164" t="s">
        <v>195</v>
      </c>
      <c r="AA1460" s="164" t="s">
        <v>196</v>
      </c>
      <c r="AB1460" s="164" t="s">
        <v>187</v>
      </c>
      <c r="AC1460" s="164" t="s">
        <v>209</v>
      </c>
      <c r="AD1460" s="165">
        <v>1</v>
      </c>
      <c r="AE1460" s="164" t="s">
        <v>209</v>
      </c>
      <c r="AF1460" s="165">
        <v>21.012464999999999</v>
      </c>
      <c r="AG1460" s="166">
        <v>105.83617700000001</v>
      </c>
      <c r="AO1460" s="121"/>
      <c r="AT1460" s="111"/>
      <c r="AX1460" s="121"/>
    </row>
    <row r="1461" spans="1:50" s="110" customFormat="1" ht="20" customHeight="1">
      <c r="A1461" s="125" t="s">
        <v>480</v>
      </c>
      <c r="B1461" s="126" t="s">
        <v>63</v>
      </c>
      <c r="C1461" s="127">
        <v>19584</v>
      </c>
      <c r="D1461" s="163">
        <v>115071</v>
      </c>
      <c r="E1461" s="164" t="s">
        <v>2806</v>
      </c>
      <c r="F1461" s="164" t="s">
        <v>2806</v>
      </c>
      <c r="G1461" s="165">
        <v>2400</v>
      </c>
      <c r="H1461" s="165">
        <v>1</v>
      </c>
      <c r="I1461" s="164" t="s">
        <v>187</v>
      </c>
      <c r="J1461" s="164" t="s">
        <v>2807</v>
      </c>
      <c r="K1461" s="164" t="s">
        <v>2806</v>
      </c>
      <c r="L1461" s="165">
        <v>1</v>
      </c>
      <c r="M1461" s="165">
        <v>4</v>
      </c>
      <c r="N1461" s="164" t="s">
        <v>1548</v>
      </c>
      <c r="O1461" s="165">
        <v>0</v>
      </c>
      <c r="P1461" s="165">
        <v>0</v>
      </c>
      <c r="Q1461" s="165">
        <v>23</v>
      </c>
      <c r="R1461" s="164" t="s">
        <v>1623</v>
      </c>
      <c r="S1461" s="164" t="s">
        <v>1624</v>
      </c>
      <c r="T1461" s="165">
        <v>317</v>
      </c>
      <c r="U1461" s="164" t="s">
        <v>1713</v>
      </c>
      <c r="V1461" s="164" t="s">
        <v>1714</v>
      </c>
      <c r="W1461" s="165">
        <v>1</v>
      </c>
      <c r="X1461" s="165">
        <v>2</v>
      </c>
      <c r="Y1461" s="164" t="s">
        <v>194</v>
      </c>
      <c r="Z1461" s="164" t="s">
        <v>195</v>
      </c>
      <c r="AA1461" s="164" t="s">
        <v>196</v>
      </c>
      <c r="AB1461" s="164" t="s">
        <v>187</v>
      </c>
      <c r="AC1461" s="164" t="s">
        <v>187</v>
      </c>
      <c r="AD1461" s="165">
        <v>1</v>
      </c>
      <c r="AE1461" s="164" t="s">
        <v>187</v>
      </c>
      <c r="AF1461" s="165">
        <v>22.314319999999999</v>
      </c>
      <c r="AG1461" s="166">
        <v>102.78361</v>
      </c>
      <c r="AO1461" s="121"/>
      <c r="AT1461" s="111"/>
      <c r="AX1461" s="121"/>
    </row>
    <row r="1462" spans="1:50" s="110" customFormat="1" ht="20" customHeight="1">
      <c r="A1462" s="125" t="s">
        <v>480</v>
      </c>
      <c r="B1462" s="126" t="s">
        <v>63</v>
      </c>
      <c r="C1462" s="127">
        <v>19583</v>
      </c>
      <c r="D1462" s="163">
        <v>115547</v>
      </c>
      <c r="E1462" s="164" t="s">
        <v>2466</v>
      </c>
      <c r="F1462" s="164" t="s">
        <v>2466</v>
      </c>
      <c r="G1462" s="165">
        <v>1300</v>
      </c>
      <c r="H1462" s="165">
        <v>1</v>
      </c>
      <c r="I1462" s="164" t="s">
        <v>187</v>
      </c>
      <c r="J1462" s="164" t="s">
        <v>2467</v>
      </c>
      <c r="K1462" s="164" t="s">
        <v>2466</v>
      </c>
      <c r="L1462" s="165">
        <v>1</v>
      </c>
      <c r="M1462" s="165">
        <v>4</v>
      </c>
      <c r="N1462" s="164" t="s">
        <v>1548</v>
      </c>
      <c r="O1462" s="165">
        <v>4</v>
      </c>
      <c r="P1462" s="165">
        <v>1</v>
      </c>
      <c r="Q1462" s="165">
        <v>23</v>
      </c>
      <c r="R1462" s="164" t="s">
        <v>1623</v>
      </c>
      <c r="S1462" s="164" t="s">
        <v>1624</v>
      </c>
      <c r="T1462" s="165">
        <v>317</v>
      </c>
      <c r="U1462" s="164" t="s">
        <v>1713</v>
      </c>
      <c r="V1462" s="164" t="s">
        <v>1714</v>
      </c>
      <c r="W1462" s="165">
        <v>1</v>
      </c>
      <c r="X1462" s="165">
        <v>2</v>
      </c>
      <c r="Y1462" s="164" t="s">
        <v>194</v>
      </c>
      <c r="Z1462" s="164" t="s">
        <v>195</v>
      </c>
      <c r="AA1462" s="164" t="s">
        <v>196</v>
      </c>
      <c r="AB1462" s="164" t="s">
        <v>187</v>
      </c>
      <c r="AC1462" s="164" t="s">
        <v>187</v>
      </c>
      <c r="AD1462" s="165">
        <v>1</v>
      </c>
      <c r="AE1462" s="164" t="s">
        <v>209</v>
      </c>
      <c r="AF1462" s="165">
        <v>23.144850000000002</v>
      </c>
      <c r="AG1462" s="166">
        <v>105.38885999999999</v>
      </c>
      <c r="AO1462" s="121"/>
      <c r="AT1462" s="111"/>
      <c r="AX1462" s="121"/>
    </row>
    <row r="1463" spans="1:50" s="110" customFormat="1" ht="20" customHeight="1">
      <c r="A1463" s="125" t="s">
        <v>480</v>
      </c>
      <c r="B1463" s="126" t="s">
        <v>63</v>
      </c>
      <c r="C1463" s="127">
        <v>14174</v>
      </c>
      <c r="D1463" s="163">
        <v>109001</v>
      </c>
      <c r="E1463" s="164" t="s">
        <v>2241</v>
      </c>
      <c r="F1463" s="164" t="s">
        <v>2241</v>
      </c>
      <c r="G1463" s="165">
        <v>800</v>
      </c>
      <c r="H1463" s="165">
        <v>1</v>
      </c>
      <c r="I1463" s="164" t="s">
        <v>187</v>
      </c>
      <c r="J1463" s="164" t="s">
        <v>2242</v>
      </c>
      <c r="K1463" s="164" t="s">
        <v>2241</v>
      </c>
      <c r="L1463" s="165">
        <v>1</v>
      </c>
      <c r="M1463" s="165">
        <v>4</v>
      </c>
      <c r="N1463" s="164" t="s">
        <v>1548</v>
      </c>
      <c r="O1463" s="165">
        <v>1</v>
      </c>
      <c r="P1463" s="165">
        <v>0</v>
      </c>
      <c r="Q1463" s="165">
        <v>23</v>
      </c>
      <c r="R1463" s="164" t="s">
        <v>1623</v>
      </c>
      <c r="S1463" s="164" t="s">
        <v>1624</v>
      </c>
      <c r="T1463" s="165">
        <v>317</v>
      </c>
      <c r="U1463" s="164" t="s">
        <v>1713</v>
      </c>
      <c r="V1463" s="164" t="s">
        <v>1714</v>
      </c>
      <c r="W1463" s="165">
        <v>2</v>
      </c>
      <c r="X1463" s="165">
        <v>2</v>
      </c>
      <c r="Y1463" s="164" t="s">
        <v>194</v>
      </c>
      <c r="Z1463" s="164" t="s">
        <v>195</v>
      </c>
      <c r="AA1463" s="164" t="s">
        <v>196</v>
      </c>
      <c r="AB1463" s="164" t="s">
        <v>187</v>
      </c>
      <c r="AC1463" s="164" t="s">
        <v>187</v>
      </c>
      <c r="AD1463" s="165">
        <v>1</v>
      </c>
      <c r="AE1463" s="164" t="s">
        <v>209</v>
      </c>
      <c r="AF1463" s="165">
        <v>22.237310000000001</v>
      </c>
      <c r="AG1463" s="166">
        <v>102.45226</v>
      </c>
      <c r="AO1463" s="121"/>
      <c r="AT1463" s="111"/>
      <c r="AX1463" s="121"/>
    </row>
    <row r="1464" spans="1:50" s="110" customFormat="1" ht="20" customHeight="1">
      <c r="A1464" s="125" t="s">
        <v>480</v>
      </c>
      <c r="B1464" s="126" t="s">
        <v>63</v>
      </c>
      <c r="C1464" s="127">
        <v>12943</v>
      </c>
      <c r="D1464" s="163">
        <v>105565</v>
      </c>
      <c r="E1464" s="164" t="s">
        <v>1903</v>
      </c>
      <c r="F1464" s="164" t="s">
        <v>1903</v>
      </c>
      <c r="G1464" s="165">
        <v>400</v>
      </c>
      <c r="H1464" s="165">
        <v>1</v>
      </c>
      <c r="I1464" s="164" t="s">
        <v>187</v>
      </c>
      <c r="J1464" s="164" t="s">
        <v>1904</v>
      </c>
      <c r="K1464" s="164" t="s">
        <v>1903</v>
      </c>
      <c r="L1464" s="165">
        <v>1</v>
      </c>
      <c r="M1464" s="165">
        <v>4</v>
      </c>
      <c r="N1464" s="164" t="s">
        <v>1548</v>
      </c>
      <c r="O1464" s="165">
        <v>3</v>
      </c>
      <c r="P1464" s="165">
        <v>1</v>
      </c>
      <c r="Q1464" s="165">
        <v>23</v>
      </c>
      <c r="R1464" s="164" t="s">
        <v>1623</v>
      </c>
      <c r="S1464" s="164" t="s">
        <v>1624</v>
      </c>
      <c r="T1464" s="165">
        <v>317</v>
      </c>
      <c r="U1464" s="164" t="s">
        <v>1713</v>
      </c>
      <c r="V1464" s="164" t="s">
        <v>1714</v>
      </c>
      <c r="W1464" s="165">
        <v>1</v>
      </c>
      <c r="X1464" s="165">
        <v>2</v>
      </c>
      <c r="Y1464" s="164" t="s">
        <v>194</v>
      </c>
      <c r="Z1464" s="164" t="s">
        <v>195</v>
      </c>
      <c r="AA1464" s="164" t="s">
        <v>196</v>
      </c>
      <c r="AB1464" s="164" t="s">
        <v>187</v>
      </c>
      <c r="AC1464" s="164" t="s">
        <v>187</v>
      </c>
      <c r="AD1464" s="165">
        <v>1</v>
      </c>
      <c r="AE1464" s="164" t="s">
        <v>209</v>
      </c>
      <c r="AF1464" s="165">
        <v>22.235440000000001</v>
      </c>
      <c r="AG1464" s="166">
        <v>103.93067000000001</v>
      </c>
      <c r="AO1464" s="121"/>
      <c r="AT1464" s="111"/>
      <c r="AX1464" s="121"/>
    </row>
    <row r="1465" spans="1:50" s="110" customFormat="1" ht="20" customHeight="1">
      <c r="A1465" s="125" t="s">
        <v>185</v>
      </c>
      <c r="B1465" s="126" t="s">
        <v>59</v>
      </c>
      <c r="C1465" s="127">
        <v>11015</v>
      </c>
      <c r="D1465" s="163">
        <v>101744</v>
      </c>
      <c r="E1465" s="164" t="s">
        <v>4120</v>
      </c>
      <c r="F1465" s="164" t="s">
        <v>4121</v>
      </c>
      <c r="G1465" s="165">
        <v>24000</v>
      </c>
      <c r="H1465" s="165">
        <v>1</v>
      </c>
      <c r="I1465" s="164" t="s">
        <v>187</v>
      </c>
      <c r="J1465" s="164" t="s">
        <v>4122</v>
      </c>
      <c r="K1465" s="164" t="s">
        <v>4120</v>
      </c>
      <c r="L1465" s="165">
        <v>1</v>
      </c>
      <c r="M1465" s="165">
        <v>4</v>
      </c>
      <c r="N1465" s="164" t="s">
        <v>1548</v>
      </c>
      <c r="O1465" s="165">
        <v>5</v>
      </c>
      <c r="P1465" s="165">
        <v>0.5</v>
      </c>
      <c r="Q1465" s="165">
        <v>17</v>
      </c>
      <c r="R1465" s="164" t="s">
        <v>190</v>
      </c>
      <c r="S1465" s="164" t="s">
        <v>191</v>
      </c>
      <c r="T1465" s="165">
        <v>305</v>
      </c>
      <c r="U1465" s="164" t="s">
        <v>396</v>
      </c>
      <c r="V1465" s="164" t="s">
        <v>397</v>
      </c>
      <c r="W1465" s="165">
        <v>2</v>
      </c>
      <c r="X1465" s="165">
        <v>2</v>
      </c>
      <c r="Y1465" s="164" t="s">
        <v>194</v>
      </c>
      <c r="Z1465" s="164" t="s">
        <v>195</v>
      </c>
      <c r="AA1465" s="164" t="s">
        <v>196</v>
      </c>
      <c r="AB1465" s="164" t="s">
        <v>187</v>
      </c>
      <c r="AC1465" s="164" t="s">
        <v>187</v>
      </c>
      <c r="AD1465" s="165">
        <v>1</v>
      </c>
      <c r="AE1465" s="164" t="s">
        <v>209</v>
      </c>
      <c r="AF1465" s="165">
        <v>-9.1429100000000005</v>
      </c>
      <c r="AG1465" s="166">
        <v>125.14264</v>
      </c>
      <c r="AO1465" s="121"/>
      <c r="AT1465" s="111"/>
      <c r="AX1465" s="121"/>
    </row>
    <row r="1466" spans="1:50" s="110" customFormat="1" ht="20" customHeight="1">
      <c r="A1466" s="125" t="s">
        <v>185</v>
      </c>
      <c r="B1466" s="126" t="s">
        <v>59</v>
      </c>
      <c r="C1466" s="127">
        <v>19647</v>
      </c>
      <c r="D1466" s="145">
        <v>103166</v>
      </c>
      <c r="E1466" s="146" t="s">
        <v>3877</v>
      </c>
      <c r="F1466" s="146" t="s">
        <v>3877</v>
      </c>
      <c r="G1466" s="147">
        <v>15000</v>
      </c>
      <c r="H1466" s="147">
        <v>4</v>
      </c>
      <c r="I1466" s="146" t="s">
        <v>209</v>
      </c>
      <c r="J1466" s="146" t="s">
        <v>1689</v>
      </c>
      <c r="K1466" s="146" t="s">
        <v>1690</v>
      </c>
      <c r="L1466" s="147">
        <v>1</v>
      </c>
      <c r="M1466" s="147">
        <v>4</v>
      </c>
      <c r="N1466" s="146" t="s">
        <v>1548</v>
      </c>
      <c r="O1466" s="147">
        <v>14</v>
      </c>
      <c r="P1466" s="147">
        <v>5</v>
      </c>
      <c r="Q1466" s="147">
        <v>17</v>
      </c>
      <c r="R1466" s="146" t="s">
        <v>190</v>
      </c>
      <c r="S1466" s="146" t="s">
        <v>191</v>
      </c>
      <c r="T1466" s="147">
        <v>305</v>
      </c>
      <c r="U1466" s="146" t="s">
        <v>396</v>
      </c>
      <c r="V1466" s="146" t="s">
        <v>397</v>
      </c>
      <c r="W1466" s="147">
        <v>2</v>
      </c>
      <c r="X1466" s="147">
        <v>2</v>
      </c>
      <c r="Y1466" s="146" t="s">
        <v>194</v>
      </c>
      <c r="Z1466" s="146" t="s">
        <v>195</v>
      </c>
      <c r="AA1466" s="146" t="s">
        <v>196</v>
      </c>
      <c r="AB1466" s="146" t="s">
        <v>187</v>
      </c>
      <c r="AC1466" s="146" t="s">
        <v>187</v>
      </c>
      <c r="AD1466" s="148"/>
      <c r="AE1466" s="146" t="s">
        <v>209</v>
      </c>
      <c r="AF1466" s="147">
        <v>-7.9004000000000003</v>
      </c>
      <c r="AG1466" s="149">
        <v>126.37036999999999</v>
      </c>
      <c r="AO1466" s="121"/>
      <c r="AT1466" s="111"/>
      <c r="AX1466" s="121"/>
    </row>
    <row r="1467" spans="1:50" s="110" customFormat="1" ht="20" customHeight="1">
      <c r="A1467" s="125" t="s">
        <v>185</v>
      </c>
      <c r="B1467" s="126" t="s">
        <v>59</v>
      </c>
      <c r="C1467" s="127">
        <v>20996</v>
      </c>
      <c r="D1467" s="145">
        <v>117714</v>
      </c>
      <c r="E1467" s="146" t="s">
        <v>3276</v>
      </c>
      <c r="F1467" s="146" t="s">
        <v>3276</v>
      </c>
      <c r="G1467" s="147">
        <v>5700</v>
      </c>
      <c r="H1467" s="147">
        <v>4</v>
      </c>
      <c r="I1467" s="146" t="s">
        <v>209</v>
      </c>
      <c r="J1467" s="146" t="s">
        <v>3277</v>
      </c>
      <c r="K1467" s="146" t="s">
        <v>3276</v>
      </c>
      <c r="L1467" s="147">
        <v>1</v>
      </c>
      <c r="M1467" s="147">
        <v>4</v>
      </c>
      <c r="N1467" s="146" t="s">
        <v>1548</v>
      </c>
      <c r="O1467" s="147">
        <v>40</v>
      </c>
      <c r="P1467" s="147">
        <v>7</v>
      </c>
      <c r="Q1467" s="147">
        <v>17</v>
      </c>
      <c r="R1467" s="146" t="s">
        <v>190</v>
      </c>
      <c r="S1467" s="146" t="s">
        <v>191</v>
      </c>
      <c r="T1467" s="147">
        <v>305</v>
      </c>
      <c r="U1467" s="146" t="s">
        <v>396</v>
      </c>
      <c r="V1467" s="146" t="s">
        <v>397</v>
      </c>
      <c r="W1467" s="147">
        <v>1</v>
      </c>
      <c r="X1467" s="147">
        <v>2</v>
      </c>
      <c r="Y1467" s="146" t="s">
        <v>194</v>
      </c>
      <c r="Z1467" s="146" t="s">
        <v>195</v>
      </c>
      <c r="AA1467" s="146" t="s">
        <v>196</v>
      </c>
      <c r="AB1467" s="146" t="s">
        <v>187</v>
      </c>
      <c r="AC1467" s="146" t="s">
        <v>187</v>
      </c>
      <c r="AD1467" s="148"/>
      <c r="AE1467" s="146" t="s">
        <v>209</v>
      </c>
      <c r="AF1467" s="147">
        <v>-8.3229209999999991</v>
      </c>
      <c r="AG1467" s="149">
        <v>124.3</v>
      </c>
      <c r="AO1467" s="121"/>
      <c r="AT1467" s="111"/>
      <c r="AX1467" s="121"/>
    </row>
    <row r="1468" spans="1:50" s="110" customFormat="1" ht="20" customHeight="1">
      <c r="A1468" s="125" t="s">
        <v>1549</v>
      </c>
      <c r="B1468" s="126" t="s">
        <v>62</v>
      </c>
      <c r="C1468" s="127">
        <v>13428</v>
      </c>
      <c r="D1468" s="157">
        <v>106099</v>
      </c>
      <c r="E1468" s="158" t="s">
        <v>1550</v>
      </c>
      <c r="F1468" s="158" t="s">
        <v>1550</v>
      </c>
      <c r="G1468" s="159">
        <v>60</v>
      </c>
      <c r="H1468" s="159">
        <v>2</v>
      </c>
      <c r="I1468" s="158" t="s">
        <v>209</v>
      </c>
      <c r="J1468" s="158" t="s">
        <v>1551</v>
      </c>
      <c r="K1468" s="158" t="s">
        <v>1552</v>
      </c>
      <c r="L1468" s="159">
        <v>3</v>
      </c>
      <c r="M1468" s="159">
        <v>4</v>
      </c>
      <c r="N1468" s="158" t="s">
        <v>1548</v>
      </c>
      <c r="O1468" s="159">
        <v>23</v>
      </c>
      <c r="P1468" s="159">
        <v>2</v>
      </c>
      <c r="Q1468" s="159">
        <v>17</v>
      </c>
      <c r="R1468" s="158" t="s">
        <v>190</v>
      </c>
      <c r="S1468" s="158" t="s">
        <v>191</v>
      </c>
      <c r="T1468" s="159">
        <v>305</v>
      </c>
      <c r="U1468" s="158" t="s">
        <v>396</v>
      </c>
      <c r="V1468" s="158" t="s">
        <v>397</v>
      </c>
      <c r="W1468" s="159">
        <v>1</v>
      </c>
      <c r="X1468" s="159">
        <v>2</v>
      </c>
      <c r="Y1468" s="158" t="s">
        <v>194</v>
      </c>
      <c r="Z1468" s="158" t="s">
        <v>195</v>
      </c>
      <c r="AA1468" s="158" t="s">
        <v>196</v>
      </c>
      <c r="AB1468" s="158" t="s">
        <v>187</v>
      </c>
      <c r="AC1468" s="158" t="s">
        <v>187</v>
      </c>
      <c r="AD1468" s="160"/>
      <c r="AE1468" s="158" t="s">
        <v>209</v>
      </c>
      <c r="AF1468" s="159">
        <v>-8.3931400000000007</v>
      </c>
      <c r="AG1468" s="161">
        <v>127.22821</v>
      </c>
      <c r="AO1468" s="121"/>
      <c r="AT1468" s="111"/>
      <c r="AX1468" s="121"/>
    </row>
    <row r="1469" spans="1:50" s="110" customFormat="1" ht="20" customHeight="1">
      <c r="A1469" s="125" t="s">
        <v>1549</v>
      </c>
      <c r="B1469" s="126" t="s">
        <v>62</v>
      </c>
      <c r="C1469" s="127">
        <v>11015</v>
      </c>
      <c r="D1469" s="145">
        <v>101744</v>
      </c>
      <c r="E1469" s="146" t="s">
        <v>4120</v>
      </c>
      <c r="F1469" s="146" t="s">
        <v>4120</v>
      </c>
      <c r="G1469" s="147">
        <v>64000</v>
      </c>
      <c r="H1469" s="147">
        <v>4</v>
      </c>
      <c r="I1469" s="146" t="s">
        <v>209</v>
      </c>
      <c r="J1469" s="146" t="s">
        <v>4122</v>
      </c>
      <c r="K1469" s="146" t="s">
        <v>4120</v>
      </c>
      <c r="L1469" s="147">
        <v>1</v>
      </c>
      <c r="M1469" s="147">
        <v>4</v>
      </c>
      <c r="N1469" s="146" t="s">
        <v>1548</v>
      </c>
      <c r="O1469" s="147">
        <v>23</v>
      </c>
      <c r="P1469" s="147">
        <v>3</v>
      </c>
      <c r="Q1469" s="147">
        <v>17</v>
      </c>
      <c r="R1469" s="146" t="s">
        <v>190</v>
      </c>
      <c r="S1469" s="146" t="s">
        <v>191</v>
      </c>
      <c r="T1469" s="147">
        <v>305</v>
      </c>
      <c r="U1469" s="146" t="s">
        <v>396</v>
      </c>
      <c r="V1469" s="146" t="s">
        <v>397</v>
      </c>
      <c r="W1469" s="147">
        <v>2</v>
      </c>
      <c r="X1469" s="147">
        <v>2</v>
      </c>
      <c r="Y1469" s="146" t="s">
        <v>194</v>
      </c>
      <c r="Z1469" s="146" t="s">
        <v>195</v>
      </c>
      <c r="AA1469" s="146" t="s">
        <v>196</v>
      </c>
      <c r="AB1469" s="146" t="s">
        <v>187</v>
      </c>
      <c r="AC1469" s="146" t="s">
        <v>187</v>
      </c>
      <c r="AD1469" s="148"/>
      <c r="AE1469" s="146" t="s">
        <v>209</v>
      </c>
      <c r="AF1469" s="147">
        <v>-9.1661599999999996</v>
      </c>
      <c r="AG1469" s="149">
        <v>125.28771999999999</v>
      </c>
      <c r="AO1469" s="121"/>
      <c r="AT1469" s="111"/>
      <c r="AX1469" s="121"/>
    </row>
    <row r="1470" spans="1:50" s="110" customFormat="1" ht="20" customHeight="1">
      <c r="A1470" s="125" t="s">
        <v>185</v>
      </c>
      <c r="B1470" s="126" t="s">
        <v>59</v>
      </c>
      <c r="C1470" s="127">
        <v>13952</v>
      </c>
      <c r="D1470" s="145">
        <v>107083</v>
      </c>
      <c r="E1470" s="146" t="s">
        <v>3503</v>
      </c>
      <c r="F1470" s="146" t="s">
        <v>3503</v>
      </c>
      <c r="G1470" s="147">
        <v>8300</v>
      </c>
      <c r="H1470" s="147">
        <v>4</v>
      </c>
      <c r="I1470" s="146" t="s">
        <v>209</v>
      </c>
      <c r="J1470" s="146" t="s">
        <v>3504</v>
      </c>
      <c r="K1470" s="146" t="s">
        <v>3503</v>
      </c>
      <c r="L1470" s="147">
        <v>4</v>
      </c>
      <c r="M1470" s="147">
        <v>4</v>
      </c>
      <c r="N1470" s="146" t="s">
        <v>1548</v>
      </c>
      <c r="O1470" s="147">
        <v>42</v>
      </c>
      <c r="P1470" s="147">
        <v>3</v>
      </c>
      <c r="Q1470" s="147">
        <v>17</v>
      </c>
      <c r="R1470" s="146" t="s">
        <v>190</v>
      </c>
      <c r="S1470" s="146" t="s">
        <v>191</v>
      </c>
      <c r="T1470" s="147">
        <v>306</v>
      </c>
      <c r="U1470" s="146" t="s">
        <v>400</v>
      </c>
      <c r="V1470" s="146" t="s">
        <v>401</v>
      </c>
      <c r="W1470" s="147">
        <v>1</v>
      </c>
      <c r="X1470" s="147">
        <v>2</v>
      </c>
      <c r="Y1470" s="146" t="s">
        <v>194</v>
      </c>
      <c r="Z1470" s="146" t="s">
        <v>195</v>
      </c>
      <c r="AA1470" s="146" t="s">
        <v>196</v>
      </c>
      <c r="AB1470" s="146" t="s">
        <v>187</v>
      </c>
      <c r="AC1470" s="146" t="s">
        <v>187</v>
      </c>
      <c r="AD1470" s="148"/>
      <c r="AE1470" s="146" t="s">
        <v>209</v>
      </c>
      <c r="AF1470" s="147">
        <v>-1.2984</v>
      </c>
      <c r="AG1470" s="149">
        <v>120.34268</v>
      </c>
      <c r="AO1470" s="121"/>
      <c r="AT1470" s="111"/>
      <c r="AX1470" s="121"/>
    </row>
    <row r="1471" spans="1:50" s="110" customFormat="1" ht="20" customHeight="1">
      <c r="A1471" s="125" t="s">
        <v>237</v>
      </c>
      <c r="B1471" s="126" t="s">
        <v>60</v>
      </c>
      <c r="C1471" s="127">
        <v>12313</v>
      </c>
      <c r="D1471" s="163">
        <v>104156</v>
      </c>
      <c r="E1471" s="164" t="s">
        <v>4241</v>
      </c>
      <c r="F1471" s="164" t="s">
        <v>4242</v>
      </c>
      <c r="G1471" s="165">
        <v>31000</v>
      </c>
      <c r="H1471" s="165">
        <v>1</v>
      </c>
      <c r="I1471" s="164" t="s">
        <v>187</v>
      </c>
      <c r="J1471" s="164" t="s">
        <v>4243</v>
      </c>
      <c r="K1471" s="164" t="s">
        <v>4241</v>
      </c>
      <c r="L1471" s="165">
        <v>0</v>
      </c>
      <c r="M1471" s="165">
        <v>4</v>
      </c>
      <c r="N1471" s="164" t="s">
        <v>1548</v>
      </c>
      <c r="O1471" s="165">
        <v>0</v>
      </c>
      <c r="P1471" s="165">
        <v>0</v>
      </c>
      <c r="Q1471" s="165">
        <v>17</v>
      </c>
      <c r="R1471" s="164" t="s">
        <v>190</v>
      </c>
      <c r="S1471" s="164" t="s">
        <v>191</v>
      </c>
      <c r="T1471" s="165">
        <v>318</v>
      </c>
      <c r="U1471" s="164" t="s">
        <v>1613</v>
      </c>
      <c r="V1471" s="164" t="s">
        <v>1614</v>
      </c>
      <c r="W1471" s="165">
        <v>1</v>
      </c>
      <c r="X1471" s="165">
        <v>2</v>
      </c>
      <c r="Y1471" s="164" t="s">
        <v>194</v>
      </c>
      <c r="Z1471" s="164" t="s">
        <v>195</v>
      </c>
      <c r="AA1471" s="164" t="s">
        <v>196</v>
      </c>
      <c r="AB1471" s="164" t="s">
        <v>187</v>
      </c>
      <c r="AC1471" s="164" t="s">
        <v>187</v>
      </c>
      <c r="AD1471" s="165">
        <v>1</v>
      </c>
      <c r="AE1471" s="164" t="s">
        <v>187</v>
      </c>
      <c r="AF1471" s="165">
        <v>2.6021299999999998</v>
      </c>
      <c r="AG1471" s="166">
        <v>103.39373000000001</v>
      </c>
      <c r="AO1471" s="121"/>
      <c r="AT1471" s="111"/>
      <c r="AX1471" s="121"/>
    </row>
    <row r="1472" spans="1:50" s="110" customFormat="1" ht="20" customHeight="1">
      <c r="A1472" s="125" t="s">
        <v>237</v>
      </c>
      <c r="B1472" s="126" t="s">
        <v>60</v>
      </c>
      <c r="C1472" s="127">
        <v>14842</v>
      </c>
      <c r="D1472" s="163">
        <v>108824</v>
      </c>
      <c r="E1472" s="164" t="s">
        <v>3429</v>
      </c>
      <c r="F1472" s="164" t="s">
        <v>3429</v>
      </c>
      <c r="G1472" s="165">
        <v>7300</v>
      </c>
      <c r="H1472" s="165">
        <v>1</v>
      </c>
      <c r="I1472" s="164" t="s">
        <v>187</v>
      </c>
      <c r="J1472" s="164" t="s">
        <v>3430</v>
      </c>
      <c r="K1472" s="164" t="s">
        <v>3429</v>
      </c>
      <c r="L1472" s="165">
        <v>0</v>
      </c>
      <c r="M1472" s="165">
        <v>4</v>
      </c>
      <c r="N1472" s="164" t="s">
        <v>1548</v>
      </c>
      <c r="O1472" s="165">
        <v>5</v>
      </c>
      <c r="P1472" s="165">
        <v>0.1</v>
      </c>
      <c r="Q1472" s="165">
        <v>17</v>
      </c>
      <c r="R1472" s="164" t="s">
        <v>190</v>
      </c>
      <c r="S1472" s="164" t="s">
        <v>191</v>
      </c>
      <c r="T1472" s="165">
        <v>318</v>
      </c>
      <c r="U1472" s="164" t="s">
        <v>1613</v>
      </c>
      <c r="V1472" s="164" t="s">
        <v>1614</v>
      </c>
      <c r="W1472" s="165">
        <v>1</v>
      </c>
      <c r="X1472" s="165">
        <v>2</v>
      </c>
      <c r="Y1472" s="164" t="s">
        <v>194</v>
      </c>
      <c r="Z1472" s="164" t="s">
        <v>195</v>
      </c>
      <c r="AA1472" s="164" t="s">
        <v>196</v>
      </c>
      <c r="AB1472" s="164" t="s">
        <v>187</v>
      </c>
      <c r="AC1472" s="164" t="s">
        <v>187</v>
      </c>
      <c r="AD1472" s="165">
        <v>1</v>
      </c>
      <c r="AE1472" s="164" t="s">
        <v>209</v>
      </c>
      <c r="AF1472" s="165">
        <v>2.8800300000000001</v>
      </c>
      <c r="AG1472" s="166">
        <v>102.77409</v>
      </c>
      <c r="AO1472" s="121"/>
      <c r="AT1472" s="111"/>
      <c r="AX1472" s="121"/>
    </row>
    <row r="1473" spans="1:50" s="110" customFormat="1" ht="20" customHeight="1">
      <c r="A1473" s="125" t="s">
        <v>237</v>
      </c>
      <c r="B1473" s="126" t="s">
        <v>60</v>
      </c>
      <c r="C1473" s="127">
        <v>12308</v>
      </c>
      <c r="D1473" s="163">
        <v>104149</v>
      </c>
      <c r="E1473" s="164" t="s">
        <v>3102</v>
      </c>
      <c r="F1473" s="164" t="s">
        <v>3103</v>
      </c>
      <c r="G1473" s="165">
        <v>4500</v>
      </c>
      <c r="H1473" s="165">
        <v>1</v>
      </c>
      <c r="I1473" s="164" t="s">
        <v>187</v>
      </c>
      <c r="J1473" s="164" t="s">
        <v>3104</v>
      </c>
      <c r="K1473" s="164" t="s">
        <v>3102</v>
      </c>
      <c r="L1473" s="165">
        <v>3</v>
      </c>
      <c r="M1473" s="165">
        <v>4</v>
      </c>
      <c r="N1473" s="164" t="s">
        <v>1548</v>
      </c>
      <c r="O1473" s="165">
        <v>2</v>
      </c>
      <c r="P1473" s="165">
        <v>0.1</v>
      </c>
      <c r="Q1473" s="165">
        <v>17</v>
      </c>
      <c r="R1473" s="164" t="s">
        <v>190</v>
      </c>
      <c r="S1473" s="164" t="s">
        <v>191</v>
      </c>
      <c r="T1473" s="165">
        <v>318</v>
      </c>
      <c r="U1473" s="164" t="s">
        <v>1613</v>
      </c>
      <c r="V1473" s="164" t="s">
        <v>1614</v>
      </c>
      <c r="W1473" s="165">
        <v>1</v>
      </c>
      <c r="X1473" s="165">
        <v>2</v>
      </c>
      <c r="Y1473" s="164" t="s">
        <v>194</v>
      </c>
      <c r="Z1473" s="164" t="s">
        <v>195</v>
      </c>
      <c r="AA1473" s="164" t="s">
        <v>196</v>
      </c>
      <c r="AB1473" s="164" t="s">
        <v>187</v>
      </c>
      <c r="AC1473" s="164" t="s">
        <v>187</v>
      </c>
      <c r="AD1473" s="165">
        <v>1</v>
      </c>
      <c r="AE1473" s="164" t="s">
        <v>209</v>
      </c>
      <c r="AF1473" s="165">
        <v>3.7238799999999999</v>
      </c>
      <c r="AG1473" s="166">
        <v>102.29022000000001</v>
      </c>
      <c r="AO1473" s="121"/>
      <c r="AT1473" s="111"/>
      <c r="AX1473" s="121"/>
    </row>
    <row r="1474" spans="1:50" s="110" customFormat="1" ht="20" customHeight="1">
      <c r="A1474" s="125" t="s">
        <v>237</v>
      </c>
      <c r="B1474" s="126" t="s">
        <v>60</v>
      </c>
      <c r="C1474" s="127">
        <v>13213</v>
      </c>
      <c r="D1474" s="163">
        <v>106021</v>
      </c>
      <c r="E1474" s="164" t="s">
        <v>3035</v>
      </c>
      <c r="F1474" s="164" t="s">
        <v>3035</v>
      </c>
      <c r="G1474" s="165">
        <v>4000</v>
      </c>
      <c r="H1474" s="165">
        <v>1</v>
      </c>
      <c r="I1474" s="164" t="s">
        <v>187</v>
      </c>
      <c r="J1474" s="164" t="s">
        <v>3036</v>
      </c>
      <c r="K1474" s="164" t="s">
        <v>3037</v>
      </c>
      <c r="L1474" s="165">
        <v>1</v>
      </c>
      <c r="M1474" s="165">
        <v>4</v>
      </c>
      <c r="N1474" s="164" t="s">
        <v>1548</v>
      </c>
      <c r="O1474" s="165">
        <v>1</v>
      </c>
      <c r="P1474" s="165">
        <v>0.9</v>
      </c>
      <c r="Q1474" s="165">
        <v>17</v>
      </c>
      <c r="R1474" s="164" t="s">
        <v>190</v>
      </c>
      <c r="S1474" s="164" t="s">
        <v>191</v>
      </c>
      <c r="T1474" s="165">
        <v>318</v>
      </c>
      <c r="U1474" s="164" t="s">
        <v>1613</v>
      </c>
      <c r="V1474" s="164" t="s">
        <v>1614</v>
      </c>
      <c r="W1474" s="165">
        <v>1</v>
      </c>
      <c r="X1474" s="165">
        <v>2</v>
      </c>
      <c r="Y1474" s="164" t="s">
        <v>194</v>
      </c>
      <c r="Z1474" s="164" t="s">
        <v>195</v>
      </c>
      <c r="AA1474" s="164" t="s">
        <v>196</v>
      </c>
      <c r="AB1474" s="164" t="s">
        <v>187</v>
      </c>
      <c r="AC1474" s="164" t="s">
        <v>187</v>
      </c>
      <c r="AD1474" s="165">
        <v>1</v>
      </c>
      <c r="AE1474" s="164" t="s">
        <v>209</v>
      </c>
      <c r="AF1474" s="165">
        <v>2.8854600000000001</v>
      </c>
      <c r="AG1474" s="166">
        <v>101.48681999999999</v>
      </c>
      <c r="AO1474" s="121"/>
      <c r="AT1474" s="111"/>
      <c r="AX1474" s="121"/>
    </row>
    <row r="1475" spans="1:50" s="110" customFormat="1" ht="20" customHeight="1">
      <c r="A1475" s="125" t="s">
        <v>237</v>
      </c>
      <c r="B1475" s="126" t="s">
        <v>60</v>
      </c>
      <c r="C1475" s="127">
        <v>14840</v>
      </c>
      <c r="D1475" s="163">
        <v>108822</v>
      </c>
      <c r="E1475" s="164" t="s">
        <v>2776</v>
      </c>
      <c r="F1475" s="164" t="s">
        <v>2776</v>
      </c>
      <c r="G1475" s="165">
        <v>2300</v>
      </c>
      <c r="H1475" s="165">
        <v>1</v>
      </c>
      <c r="I1475" s="164" t="s">
        <v>187</v>
      </c>
      <c r="J1475" s="164" t="s">
        <v>2777</v>
      </c>
      <c r="K1475" s="164" t="s">
        <v>2778</v>
      </c>
      <c r="L1475" s="165">
        <v>1</v>
      </c>
      <c r="M1475" s="165">
        <v>4</v>
      </c>
      <c r="N1475" s="164" t="s">
        <v>1548</v>
      </c>
      <c r="O1475" s="165">
        <v>3</v>
      </c>
      <c r="P1475" s="165">
        <v>0.3</v>
      </c>
      <c r="Q1475" s="165">
        <v>17</v>
      </c>
      <c r="R1475" s="164" t="s">
        <v>190</v>
      </c>
      <c r="S1475" s="164" t="s">
        <v>191</v>
      </c>
      <c r="T1475" s="165">
        <v>318</v>
      </c>
      <c r="U1475" s="164" t="s">
        <v>1613</v>
      </c>
      <c r="V1475" s="164" t="s">
        <v>1614</v>
      </c>
      <c r="W1475" s="165">
        <v>1</v>
      </c>
      <c r="X1475" s="165">
        <v>2</v>
      </c>
      <c r="Y1475" s="164" t="s">
        <v>194</v>
      </c>
      <c r="Z1475" s="164" t="s">
        <v>195</v>
      </c>
      <c r="AA1475" s="164" t="s">
        <v>196</v>
      </c>
      <c r="AB1475" s="164" t="s">
        <v>187</v>
      </c>
      <c r="AC1475" s="164" t="s">
        <v>187</v>
      </c>
      <c r="AD1475" s="165">
        <v>1</v>
      </c>
      <c r="AE1475" s="164" t="s">
        <v>209</v>
      </c>
      <c r="AF1475" s="165">
        <v>4.1078299999999999</v>
      </c>
      <c r="AG1475" s="166">
        <v>102.80401999999999</v>
      </c>
      <c r="AO1475" s="121"/>
      <c r="AT1475" s="111"/>
      <c r="AX1475" s="121"/>
    </row>
    <row r="1476" spans="1:50" s="110" customFormat="1" ht="20" customHeight="1">
      <c r="A1476" s="125" t="s">
        <v>237</v>
      </c>
      <c r="B1476" s="126" t="s">
        <v>60</v>
      </c>
      <c r="C1476" s="127">
        <v>10725</v>
      </c>
      <c r="D1476" s="163">
        <v>101131</v>
      </c>
      <c r="E1476" s="164" t="s">
        <v>2422</v>
      </c>
      <c r="F1476" s="164" t="s">
        <v>2422</v>
      </c>
      <c r="G1476" s="165">
        <v>1200</v>
      </c>
      <c r="H1476" s="165">
        <v>1</v>
      </c>
      <c r="I1476" s="164" t="s">
        <v>187</v>
      </c>
      <c r="J1476" s="164" t="s">
        <v>2423</v>
      </c>
      <c r="K1476" s="164" t="s">
        <v>2424</v>
      </c>
      <c r="L1476" s="165">
        <v>1</v>
      </c>
      <c r="M1476" s="165">
        <v>4</v>
      </c>
      <c r="N1476" s="164" t="s">
        <v>1548</v>
      </c>
      <c r="O1476" s="165">
        <v>3</v>
      </c>
      <c r="P1476" s="165">
        <v>0.5</v>
      </c>
      <c r="Q1476" s="165">
        <v>17</v>
      </c>
      <c r="R1476" s="164" t="s">
        <v>190</v>
      </c>
      <c r="S1476" s="164" t="s">
        <v>191</v>
      </c>
      <c r="T1476" s="165">
        <v>318</v>
      </c>
      <c r="U1476" s="164" t="s">
        <v>1613</v>
      </c>
      <c r="V1476" s="164" t="s">
        <v>1614</v>
      </c>
      <c r="W1476" s="165">
        <v>1</v>
      </c>
      <c r="X1476" s="165">
        <v>2</v>
      </c>
      <c r="Y1476" s="164" t="s">
        <v>194</v>
      </c>
      <c r="Z1476" s="164" t="s">
        <v>195</v>
      </c>
      <c r="AA1476" s="164" t="s">
        <v>196</v>
      </c>
      <c r="AB1476" s="164" t="s">
        <v>187</v>
      </c>
      <c r="AC1476" s="164" t="s">
        <v>187</v>
      </c>
      <c r="AD1476" s="165">
        <v>1</v>
      </c>
      <c r="AE1476" s="164" t="s">
        <v>209</v>
      </c>
      <c r="AF1476" s="165">
        <v>4.8232499999999998</v>
      </c>
      <c r="AG1476" s="166">
        <v>102.39022</v>
      </c>
      <c r="AO1476" s="121"/>
      <c r="AT1476" s="111"/>
      <c r="AX1476" s="121"/>
    </row>
    <row r="1477" spans="1:50" s="110" customFormat="1" ht="20" customHeight="1">
      <c r="A1477" s="125" t="s">
        <v>237</v>
      </c>
      <c r="B1477" s="126" t="s">
        <v>60</v>
      </c>
      <c r="C1477" s="127">
        <v>14626</v>
      </c>
      <c r="D1477" s="163">
        <v>108494</v>
      </c>
      <c r="E1477" s="164" t="s">
        <v>2433</v>
      </c>
      <c r="F1477" s="164" t="s">
        <v>2433</v>
      </c>
      <c r="G1477" s="165">
        <v>1200</v>
      </c>
      <c r="H1477" s="165">
        <v>1</v>
      </c>
      <c r="I1477" s="164" t="s">
        <v>187</v>
      </c>
      <c r="J1477" s="164" t="s">
        <v>254</v>
      </c>
      <c r="K1477" s="164" t="s">
        <v>255</v>
      </c>
      <c r="L1477" s="165">
        <v>3</v>
      </c>
      <c r="M1477" s="165">
        <v>4</v>
      </c>
      <c r="N1477" s="164" t="s">
        <v>1548</v>
      </c>
      <c r="O1477" s="165">
        <v>0.6</v>
      </c>
      <c r="P1477" s="165">
        <v>0.56100000000000005</v>
      </c>
      <c r="Q1477" s="165">
        <v>17</v>
      </c>
      <c r="R1477" s="164" t="s">
        <v>190</v>
      </c>
      <c r="S1477" s="164" t="s">
        <v>191</v>
      </c>
      <c r="T1477" s="165">
        <v>318</v>
      </c>
      <c r="U1477" s="164" t="s">
        <v>1613</v>
      </c>
      <c r="V1477" s="164" t="s">
        <v>1614</v>
      </c>
      <c r="W1477" s="165">
        <v>1</v>
      </c>
      <c r="X1477" s="165">
        <v>2</v>
      </c>
      <c r="Y1477" s="164" t="s">
        <v>194</v>
      </c>
      <c r="Z1477" s="164" t="s">
        <v>195</v>
      </c>
      <c r="AA1477" s="164" t="s">
        <v>196</v>
      </c>
      <c r="AB1477" s="164" t="s">
        <v>187</v>
      </c>
      <c r="AC1477" s="164" t="s">
        <v>187</v>
      </c>
      <c r="AD1477" s="165">
        <v>1</v>
      </c>
      <c r="AE1477" s="164" t="s">
        <v>209</v>
      </c>
      <c r="AF1477" s="165">
        <v>5.3436199999999996</v>
      </c>
      <c r="AG1477" s="166">
        <v>101.06231</v>
      </c>
      <c r="AO1477" s="121"/>
      <c r="AT1477" s="111"/>
      <c r="AX1477" s="121"/>
    </row>
    <row r="1478" spans="1:50" s="110" customFormat="1" ht="20" customHeight="1">
      <c r="A1478" s="125" t="s">
        <v>237</v>
      </c>
      <c r="B1478" s="126" t="s">
        <v>60</v>
      </c>
      <c r="C1478" s="127">
        <v>14845</v>
      </c>
      <c r="D1478" s="163">
        <v>108828</v>
      </c>
      <c r="E1478" s="164" t="s">
        <v>2329</v>
      </c>
      <c r="F1478" s="164" t="s">
        <v>2329</v>
      </c>
      <c r="G1478" s="165">
        <v>1000</v>
      </c>
      <c r="H1478" s="165">
        <v>1</v>
      </c>
      <c r="I1478" s="164" t="s">
        <v>187</v>
      </c>
      <c r="J1478" s="164" t="s">
        <v>2330</v>
      </c>
      <c r="K1478" s="164" t="s">
        <v>2329</v>
      </c>
      <c r="L1478" s="165">
        <v>1</v>
      </c>
      <c r="M1478" s="165">
        <v>4</v>
      </c>
      <c r="N1478" s="164" t="s">
        <v>1548</v>
      </c>
      <c r="O1478" s="165">
        <v>0</v>
      </c>
      <c r="P1478" s="165">
        <v>0</v>
      </c>
      <c r="Q1478" s="165">
        <v>17</v>
      </c>
      <c r="R1478" s="164" t="s">
        <v>190</v>
      </c>
      <c r="S1478" s="164" t="s">
        <v>191</v>
      </c>
      <c r="T1478" s="165">
        <v>318</v>
      </c>
      <c r="U1478" s="164" t="s">
        <v>1613</v>
      </c>
      <c r="V1478" s="164" t="s">
        <v>1614</v>
      </c>
      <c r="W1478" s="165">
        <v>1</v>
      </c>
      <c r="X1478" s="165">
        <v>2</v>
      </c>
      <c r="Y1478" s="164" t="s">
        <v>194</v>
      </c>
      <c r="Z1478" s="164" t="s">
        <v>195</v>
      </c>
      <c r="AA1478" s="164" t="s">
        <v>196</v>
      </c>
      <c r="AB1478" s="164" t="s">
        <v>187</v>
      </c>
      <c r="AC1478" s="164" t="s">
        <v>187</v>
      </c>
      <c r="AD1478" s="165">
        <v>1</v>
      </c>
      <c r="AE1478" s="164" t="s">
        <v>187</v>
      </c>
      <c r="AF1478" s="165">
        <v>5.2758200000000004</v>
      </c>
      <c r="AG1478" s="166">
        <v>101.0587</v>
      </c>
      <c r="AO1478" s="121"/>
      <c r="AT1478" s="111"/>
      <c r="AX1478" s="121"/>
    </row>
    <row r="1479" spans="1:50" s="110" customFormat="1" ht="20" customHeight="1">
      <c r="A1479" s="125" t="s">
        <v>237</v>
      </c>
      <c r="B1479" s="126" t="s">
        <v>60</v>
      </c>
      <c r="C1479" s="127">
        <v>15335</v>
      </c>
      <c r="D1479" s="163">
        <v>109941</v>
      </c>
      <c r="E1479" s="164" t="s">
        <v>2212</v>
      </c>
      <c r="F1479" s="164" t="s">
        <v>2212</v>
      </c>
      <c r="G1479" s="165">
        <v>800</v>
      </c>
      <c r="H1479" s="165">
        <v>1</v>
      </c>
      <c r="I1479" s="164" t="s">
        <v>187</v>
      </c>
      <c r="J1479" s="164" t="s">
        <v>210</v>
      </c>
      <c r="K1479" s="164" t="s">
        <v>211</v>
      </c>
      <c r="L1479" s="165">
        <v>5</v>
      </c>
      <c r="M1479" s="165">
        <v>4</v>
      </c>
      <c r="N1479" s="164" t="s">
        <v>1548</v>
      </c>
      <c r="O1479" s="165">
        <v>1</v>
      </c>
      <c r="P1479" s="165">
        <v>0</v>
      </c>
      <c r="Q1479" s="165">
        <v>17</v>
      </c>
      <c r="R1479" s="164" t="s">
        <v>190</v>
      </c>
      <c r="S1479" s="164" t="s">
        <v>191</v>
      </c>
      <c r="T1479" s="165">
        <v>318</v>
      </c>
      <c r="U1479" s="164" t="s">
        <v>1613</v>
      </c>
      <c r="V1479" s="164" t="s">
        <v>1614</v>
      </c>
      <c r="W1479" s="165">
        <v>1</v>
      </c>
      <c r="X1479" s="165">
        <v>2</v>
      </c>
      <c r="Y1479" s="164" t="s">
        <v>194</v>
      </c>
      <c r="Z1479" s="164" t="s">
        <v>195</v>
      </c>
      <c r="AA1479" s="164" t="s">
        <v>196</v>
      </c>
      <c r="AB1479" s="164" t="s">
        <v>187</v>
      </c>
      <c r="AC1479" s="164" t="s">
        <v>187</v>
      </c>
      <c r="AD1479" s="165">
        <v>1</v>
      </c>
      <c r="AE1479" s="164" t="s">
        <v>209</v>
      </c>
      <c r="AF1479" s="165">
        <v>3.1321699999999999</v>
      </c>
      <c r="AG1479" s="166">
        <v>102.96691</v>
      </c>
      <c r="AO1479" s="121"/>
      <c r="AT1479" s="111"/>
      <c r="AX1479" s="121"/>
    </row>
    <row r="1480" spans="1:50" s="110" customFormat="1" ht="20" customHeight="1">
      <c r="A1480" s="125" t="s">
        <v>237</v>
      </c>
      <c r="B1480" s="126" t="s">
        <v>60</v>
      </c>
      <c r="C1480" s="127">
        <v>11325</v>
      </c>
      <c r="D1480" s="163">
        <v>102082</v>
      </c>
      <c r="E1480" s="164" t="s">
        <v>1957</v>
      </c>
      <c r="F1480" s="164" t="s">
        <v>1958</v>
      </c>
      <c r="G1480" s="165">
        <v>500</v>
      </c>
      <c r="H1480" s="165">
        <v>1</v>
      </c>
      <c r="I1480" s="164" t="s">
        <v>187</v>
      </c>
      <c r="J1480" s="164" t="s">
        <v>1959</v>
      </c>
      <c r="K1480" s="164" t="s">
        <v>1960</v>
      </c>
      <c r="L1480" s="165">
        <v>1</v>
      </c>
      <c r="M1480" s="165">
        <v>4</v>
      </c>
      <c r="N1480" s="164" t="s">
        <v>1548</v>
      </c>
      <c r="O1480" s="165">
        <v>0.5</v>
      </c>
      <c r="P1480" s="165">
        <v>0.49</v>
      </c>
      <c r="Q1480" s="165">
        <v>17</v>
      </c>
      <c r="R1480" s="164" t="s">
        <v>190</v>
      </c>
      <c r="S1480" s="164" t="s">
        <v>191</v>
      </c>
      <c r="T1480" s="165">
        <v>318</v>
      </c>
      <c r="U1480" s="164" t="s">
        <v>1613</v>
      </c>
      <c r="V1480" s="164" t="s">
        <v>1614</v>
      </c>
      <c r="W1480" s="165">
        <v>1</v>
      </c>
      <c r="X1480" s="165">
        <v>2</v>
      </c>
      <c r="Y1480" s="164" t="s">
        <v>194</v>
      </c>
      <c r="Z1480" s="164" t="s">
        <v>195</v>
      </c>
      <c r="AA1480" s="164" t="s">
        <v>196</v>
      </c>
      <c r="AB1480" s="164" t="s">
        <v>187</v>
      </c>
      <c r="AC1480" s="164" t="s">
        <v>187</v>
      </c>
      <c r="AD1480" s="165">
        <v>1</v>
      </c>
      <c r="AE1480" s="164" t="s">
        <v>209</v>
      </c>
      <c r="AF1480" s="165">
        <v>3.7828300000000001</v>
      </c>
      <c r="AG1480" s="166">
        <v>102.09421</v>
      </c>
      <c r="AO1480" s="121"/>
      <c r="AT1480" s="111"/>
      <c r="AX1480" s="121"/>
    </row>
    <row r="1481" spans="1:50" s="110" customFormat="1" ht="20" customHeight="1">
      <c r="A1481" s="125" t="s">
        <v>237</v>
      </c>
      <c r="B1481" s="126" t="s">
        <v>60</v>
      </c>
      <c r="C1481" s="127">
        <v>12987</v>
      </c>
      <c r="D1481" s="163">
        <v>105641</v>
      </c>
      <c r="E1481" s="164" t="s">
        <v>1893</v>
      </c>
      <c r="F1481" s="164" t="s">
        <v>1893</v>
      </c>
      <c r="G1481" s="165">
        <v>400</v>
      </c>
      <c r="H1481" s="165">
        <v>1</v>
      </c>
      <c r="I1481" s="164" t="s">
        <v>187</v>
      </c>
      <c r="J1481" s="164" t="s">
        <v>1894</v>
      </c>
      <c r="K1481" s="164" t="s">
        <v>1893</v>
      </c>
      <c r="L1481" s="165">
        <v>1</v>
      </c>
      <c r="M1481" s="165">
        <v>4</v>
      </c>
      <c r="N1481" s="164" t="s">
        <v>1548</v>
      </c>
      <c r="O1481" s="165">
        <v>1</v>
      </c>
      <c r="P1481" s="165">
        <v>0</v>
      </c>
      <c r="Q1481" s="165">
        <v>17</v>
      </c>
      <c r="R1481" s="164" t="s">
        <v>190</v>
      </c>
      <c r="S1481" s="164" t="s">
        <v>191</v>
      </c>
      <c r="T1481" s="165">
        <v>318</v>
      </c>
      <c r="U1481" s="164" t="s">
        <v>1613</v>
      </c>
      <c r="V1481" s="164" t="s">
        <v>1614</v>
      </c>
      <c r="W1481" s="165">
        <v>1</v>
      </c>
      <c r="X1481" s="165">
        <v>2</v>
      </c>
      <c r="Y1481" s="164" t="s">
        <v>194</v>
      </c>
      <c r="Z1481" s="164" t="s">
        <v>195</v>
      </c>
      <c r="AA1481" s="164" t="s">
        <v>196</v>
      </c>
      <c r="AB1481" s="164" t="s">
        <v>187</v>
      </c>
      <c r="AC1481" s="164" t="s">
        <v>187</v>
      </c>
      <c r="AD1481" s="165">
        <v>1</v>
      </c>
      <c r="AE1481" s="164" t="s">
        <v>209</v>
      </c>
      <c r="AF1481" s="165">
        <v>5.0331599999999996</v>
      </c>
      <c r="AG1481" s="166">
        <v>100.95573</v>
      </c>
      <c r="AO1481" s="121"/>
      <c r="AT1481" s="111"/>
      <c r="AX1481" s="121"/>
    </row>
    <row r="1482" spans="1:50" s="110" customFormat="1" ht="20" customHeight="1">
      <c r="A1482" s="125" t="s">
        <v>237</v>
      </c>
      <c r="B1482" s="126" t="s">
        <v>60</v>
      </c>
      <c r="C1482" s="127">
        <v>14839</v>
      </c>
      <c r="D1482" s="163">
        <v>108820</v>
      </c>
      <c r="E1482" s="164" t="s">
        <v>1804</v>
      </c>
      <c r="F1482" s="164" t="s">
        <v>1804</v>
      </c>
      <c r="G1482" s="165">
        <v>300</v>
      </c>
      <c r="H1482" s="165">
        <v>1</v>
      </c>
      <c r="I1482" s="164" t="s">
        <v>187</v>
      </c>
      <c r="J1482" s="164" t="s">
        <v>1805</v>
      </c>
      <c r="K1482" s="164" t="s">
        <v>1804</v>
      </c>
      <c r="L1482" s="165">
        <v>3</v>
      </c>
      <c r="M1482" s="165">
        <v>4</v>
      </c>
      <c r="N1482" s="164" t="s">
        <v>1548</v>
      </c>
      <c r="O1482" s="165">
        <v>1.3</v>
      </c>
      <c r="P1482" s="165">
        <v>0</v>
      </c>
      <c r="Q1482" s="165">
        <v>17</v>
      </c>
      <c r="R1482" s="164" t="s">
        <v>190</v>
      </c>
      <c r="S1482" s="164" t="s">
        <v>191</v>
      </c>
      <c r="T1482" s="165">
        <v>318</v>
      </c>
      <c r="U1482" s="164" t="s">
        <v>1613</v>
      </c>
      <c r="V1482" s="164" t="s">
        <v>1614</v>
      </c>
      <c r="W1482" s="165">
        <v>2</v>
      </c>
      <c r="X1482" s="165">
        <v>2</v>
      </c>
      <c r="Y1482" s="164" t="s">
        <v>194</v>
      </c>
      <c r="Z1482" s="164" t="s">
        <v>195</v>
      </c>
      <c r="AA1482" s="164" t="s">
        <v>196</v>
      </c>
      <c r="AB1482" s="164" t="s">
        <v>187</v>
      </c>
      <c r="AC1482" s="164" t="s">
        <v>187</v>
      </c>
      <c r="AD1482" s="165">
        <v>1</v>
      </c>
      <c r="AE1482" s="164" t="s">
        <v>209</v>
      </c>
      <c r="AF1482" s="165">
        <v>5.9280999999999997</v>
      </c>
      <c r="AG1482" s="166">
        <v>100.89014</v>
      </c>
      <c r="AO1482" s="121"/>
      <c r="AT1482" s="111"/>
      <c r="AX1482" s="121"/>
    </row>
    <row r="1483" spans="1:50" s="110" customFormat="1" ht="20" customHeight="1">
      <c r="A1483" s="125" t="s">
        <v>237</v>
      </c>
      <c r="B1483" s="126" t="s">
        <v>60</v>
      </c>
      <c r="C1483" s="127">
        <v>13670</v>
      </c>
      <c r="D1483" s="163">
        <v>106538</v>
      </c>
      <c r="E1483" s="164" t="s">
        <v>1704</v>
      </c>
      <c r="F1483" s="164" t="s">
        <v>1704</v>
      </c>
      <c r="G1483" s="165">
        <v>200</v>
      </c>
      <c r="H1483" s="165">
        <v>1</v>
      </c>
      <c r="I1483" s="164" t="s">
        <v>187</v>
      </c>
      <c r="J1483" s="164" t="s">
        <v>1705</v>
      </c>
      <c r="K1483" s="164" t="s">
        <v>1706</v>
      </c>
      <c r="L1483" s="165">
        <v>1</v>
      </c>
      <c r="M1483" s="165">
        <v>4</v>
      </c>
      <c r="N1483" s="164" t="s">
        <v>1548</v>
      </c>
      <c r="O1483" s="165">
        <v>2</v>
      </c>
      <c r="P1483" s="165">
        <v>1</v>
      </c>
      <c r="Q1483" s="165">
        <v>17</v>
      </c>
      <c r="R1483" s="164" t="s">
        <v>190</v>
      </c>
      <c r="S1483" s="164" t="s">
        <v>191</v>
      </c>
      <c r="T1483" s="165">
        <v>318</v>
      </c>
      <c r="U1483" s="164" t="s">
        <v>1613</v>
      </c>
      <c r="V1483" s="164" t="s">
        <v>1614</v>
      </c>
      <c r="W1483" s="165">
        <v>1</v>
      </c>
      <c r="X1483" s="165">
        <v>2</v>
      </c>
      <c r="Y1483" s="164" t="s">
        <v>194</v>
      </c>
      <c r="Z1483" s="164" t="s">
        <v>195</v>
      </c>
      <c r="AA1483" s="164" t="s">
        <v>196</v>
      </c>
      <c r="AB1483" s="164" t="s">
        <v>187</v>
      </c>
      <c r="AC1483" s="164" t="s">
        <v>187</v>
      </c>
      <c r="AD1483" s="165">
        <v>1</v>
      </c>
      <c r="AE1483" s="164" t="s">
        <v>209</v>
      </c>
      <c r="AF1483" s="165">
        <v>5.10778</v>
      </c>
      <c r="AG1483" s="166">
        <v>102.02556</v>
      </c>
      <c r="AO1483" s="121"/>
      <c r="AT1483" s="111"/>
      <c r="AX1483" s="121"/>
    </row>
    <row r="1484" spans="1:50" s="110" customFormat="1" ht="20" customHeight="1">
      <c r="A1484" s="125" t="s">
        <v>237</v>
      </c>
      <c r="B1484" s="126" t="s">
        <v>60</v>
      </c>
      <c r="C1484" s="127">
        <v>13731</v>
      </c>
      <c r="D1484" s="163">
        <v>106654</v>
      </c>
      <c r="E1484" s="164" t="s">
        <v>1707</v>
      </c>
      <c r="F1484" s="164" t="s">
        <v>1707</v>
      </c>
      <c r="G1484" s="165">
        <v>200</v>
      </c>
      <c r="H1484" s="165">
        <v>1</v>
      </c>
      <c r="I1484" s="164" t="s">
        <v>187</v>
      </c>
      <c r="J1484" s="164" t="s">
        <v>1708</v>
      </c>
      <c r="K1484" s="164" t="s">
        <v>1707</v>
      </c>
      <c r="L1484" s="165">
        <v>0</v>
      </c>
      <c r="M1484" s="165">
        <v>4</v>
      </c>
      <c r="N1484" s="164" t="s">
        <v>1548</v>
      </c>
      <c r="O1484" s="165">
        <v>0</v>
      </c>
      <c r="P1484" s="165">
        <v>0</v>
      </c>
      <c r="Q1484" s="165">
        <v>17</v>
      </c>
      <c r="R1484" s="164" t="s">
        <v>190</v>
      </c>
      <c r="S1484" s="164" t="s">
        <v>191</v>
      </c>
      <c r="T1484" s="165">
        <v>318</v>
      </c>
      <c r="U1484" s="164" t="s">
        <v>1613</v>
      </c>
      <c r="V1484" s="164" t="s">
        <v>1614</v>
      </c>
      <c r="W1484" s="165">
        <v>1</v>
      </c>
      <c r="X1484" s="165">
        <v>2</v>
      </c>
      <c r="Y1484" s="164" t="s">
        <v>194</v>
      </c>
      <c r="Z1484" s="164" t="s">
        <v>195</v>
      </c>
      <c r="AA1484" s="164" t="s">
        <v>196</v>
      </c>
      <c r="AB1484" s="164" t="s">
        <v>187</v>
      </c>
      <c r="AC1484" s="164" t="s">
        <v>187</v>
      </c>
      <c r="AD1484" s="165">
        <v>1</v>
      </c>
      <c r="AE1484" s="164" t="s">
        <v>187</v>
      </c>
      <c r="AF1484" s="165">
        <v>4.5740600000000002</v>
      </c>
      <c r="AG1484" s="166">
        <v>101.98096</v>
      </c>
      <c r="AO1484" s="121"/>
      <c r="AT1484" s="111"/>
      <c r="AX1484" s="121"/>
    </row>
    <row r="1485" spans="1:50" s="110" customFormat="1" ht="20" customHeight="1">
      <c r="A1485" s="125" t="s">
        <v>237</v>
      </c>
      <c r="B1485" s="126" t="s">
        <v>60</v>
      </c>
      <c r="C1485" s="127">
        <v>14207</v>
      </c>
      <c r="D1485" s="163">
        <v>107668</v>
      </c>
      <c r="E1485" s="164" t="s">
        <v>1709</v>
      </c>
      <c r="F1485" s="164" t="s">
        <v>1709</v>
      </c>
      <c r="G1485" s="165">
        <v>200</v>
      </c>
      <c r="H1485" s="165">
        <v>1</v>
      </c>
      <c r="I1485" s="164" t="s">
        <v>187</v>
      </c>
      <c r="J1485" s="164" t="s">
        <v>210</v>
      </c>
      <c r="K1485" s="164" t="s">
        <v>211</v>
      </c>
      <c r="L1485" s="165">
        <v>5</v>
      </c>
      <c r="M1485" s="165">
        <v>4</v>
      </c>
      <c r="N1485" s="164" t="s">
        <v>1548</v>
      </c>
      <c r="O1485" s="165">
        <v>4</v>
      </c>
      <c r="P1485" s="165">
        <v>0</v>
      </c>
      <c r="Q1485" s="165">
        <v>17</v>
      </c>
      <c r="R1485" s="164" t="s">
        <v>190</v>
      </c>
      <c r="S1485" s="164" t="s">
        <v>191</v>
      </c>
      <c r="T1485" s="165">
        <v>318</v>
      </c>
      <c r="U1485" s="164" t="s">
        <v>1613</v>
      </c>
      <c r="V1485" s="164" t="s">
        <v>1614</v>
      </c>
      <c r="W1485" s="165">
        <v>1</v>
      </c>
      <c r="X1485" s="165">
        <v>2</v>
      </c>
      <c r="Y1485" s="164" t="s">
        <v>194</v>
      </c>
      <c r="Z1485" s="164" t="s">
        <v>195</v>
      </c>
      <c r="AA1485" s="164" t="s">
        <v>196</v>
      </c>
      <c r="AB1485" s="164" t="s">
        <v>187</v>
      </c>
      <c r="AC1485" s="164" t="s">
        <v>187</v>
      </c>
      <c r="AD1485" s="165">
        <v>1</v>
      </c>
      <c r="AE1485" s="164" t="s">
        <v>209</v>
      </c>
      <c r="AF1485" s="165">
        <v>1.90479</v>
      </c>
      <c r="AG1485" s="166">
        <v>103.97873</v>
      </c>
      <c r="AO1485" s="121"/>
      <c r="AT1485" s="111"/>
      <c r="AX1485" s="121"/>
    </row>
    <row r="1486" spans="1:50" s="110" customFormat="1" ht="20" customHeight="1">
      <c r="A1486" s="125" t="s">
        <v>237</v>
      </c>
      <c r="B1486" s="126" t="s">
        <v>60</v>
      </c>
      <c r="C1486" s="127">
        <v>12701</v>
      </c>
      <c r="D1486" s="163">
        <v>105020</v>
      </c>
      <c r="E1486" s="164" t="s">
        <v>1611</v>
      </c>
      <c r="F1486" s="164" t="s">
        <v>1611</v>
      </c>
      <c r="G1486" s="165">
        <v>100</v>
      </c>
      <c r="H1486" s="165">
        <v>1</v>
      </c>
      <c r="I1486" s="164" t="s">
        <v>187</v>
      </c>
      <c r="J1486" s="164" t="s">
        <v>1612</v>
      </c>
      <c r="K1486" s="164" t="s">
        <v>1611</v>
      </c>
      <c r="L1486" s="165">
        <v>1</v>
      </c>
      <c r="M1486" s="165">
        <v>4</v>
      </c>
      <c r="N1486" s="164" t="s">
        <v>1548</v>
      </c>
      <c r="O1486" s="165">
        <v>1.2</v>
      </c>
      <c r="P1486" s="165">
        <v>1</v>
      </c>
      <c r="Q1486" s="165">
        <v>17</v>
      </c>
      <c r="R1486" s="164" t="s">
        <v>190</v>
      </c>
      <c r="S1486" s="164" t="s">
        <v>191</v>
      </c>
      <c r="T1486" s="165">
        <v>318</v>
      </c>
      <c r="U1486" s="164" t="s">
        <v>1613</v>
      </c>
      <c r="V1486" s="164" t="s">
        <v>1614</v>
      </c>
      <c r="W1486" s="165">
        <v>2</v>
      </c>
      <c r="X1486" s="165">
        <v>2</v>
      </c>
      <c r="Y1486" s="164" t="s">
        <v>194</v>
      </c>
      <c r="Z1486" s="164" t="s">
        <v>195</v>
      </c>
      <c r="AA1486" s="164" t="s">
        <v>196</v>
      </c>
      <c r="AB1486" s="164" t="s">
        <v>187</v>
      </c>
      <c r="AC1486" s="164" t="s">
        <v>187</v>
      </c>
      <c r="AD1486" s="165">
        <v>1</v>
      </c>
      <c r="AE1486" s="164" t="s">
        <v>209</v>
      </c>
      <c r="AF1486" s="165">
        <v>5.6299900000000003</v>
      </c>
      <c r="AG1486" s="166">
        <v>101.11711</v>
      </c>
      <c r="AO1486" s="121"/>
      <c r="AT1486" s="111"/>
      <c r="AX1486" s="121"/>
    </row>
    <row r="1487" spans="1:50" s="110" customFormat="1" ht="20" customHeight="1">
      <c r="A1487" s="125" t="s">
        <v>237</v>
      </c>
      <c r="B1487" s="126" t="s">
        <v>60</v>
      </c>
      <c r="C1487" s="127">
        <v>14030</v>
      </c>
      <c r="D1487" s="157">
        <v>107459</v>
      </c>
      <c r="E1487" s="158" t="s">
        <v>4205</v>
      </c>
      <c r="F1487" s="158" t="s">
        <v>4205</v>
      </c>
      <c r="G1487" s="159">
        <v>29000</v>
      </c>
      <c r="H1487" s="159">
        <v>2</v>
      </c>
      <c r="I1487" s="158" t="s">
        <v>209</v>
      </c>
      <c r="J1487" s="158" t="s">
        <v>4206</v>
      </c>
      <c r="K1487" s="158" t="s">
        <v>4205</v>
      </c>
      <c r="L1487" s="159">
        <v>0</v>
      </c>
      <c r="M1487" s="159">
        <v>4</v>
      </c>
      <c r="N1487" s="158" t="s">
        <v>1548</v>
      </c>
      <c r="O1487" s="159">
        <v>7</v>
      </c>
      <c r="P1487" s="159">
        <v>0.6</v>
      </c>
      <c r="Q1487" s="159">
        <v>17</v>
      </c>
      <c r="R1487" s="158" t="s">
        <v>190</v>
      </c>
      <c r="S1487" s="158" t="s">
        <v>191</v>
      </c>
      <c r="T1487" s="159">
        <v>318</v>
      </c>
      <c r="U1487" s="158" t="s">
        <v>1613</v>
      </c>
      <c r="V1487" s="158" t="s">
        <v>1614</v>
      </c>
      <c r="W1487" s="159">
        <v>1</v>
      </c>
      <c r="X1487" s="159">
        <v>2</v>
      </c>
      <c r="Y1487" s="158" t="s">
        <v>194</v>
      </c>
      <c r="Z1487" s="158" t="s">
        <v>195</v>
      </c>
      <c r="AA1487" s="158" t="s">
        <v>196</v>
      </c>
      <c r="AB1487" s="158" t="s">
        <v>187</v>
      </c>
      <c r="AC1487" s="158" t="s">
        <v>187</v>
      </c>
      <c r="AD1487" s="160"/>
      <c r="AE1487" s="158" t="s">
        <v>209</v>
      </c>
      <c r="AF1487" s="159">
        <v>4.9434699999999996</v>
      </c>
      <c r="AG1487" s="161">
        <v>101.43565</v>
      </c>
      <c r="AO1487" s="121"/>
      <c r="AT1487" s="111"/>
      <c r="AX1487" s="121"/>
    </row>
    <row r="1488" spans="1:50" s="110" customFormat="1" ht="20" customHeight="1">
      <c r="A1488" s="125" t="s">
        <v>237</v>
      </c>
      <c r="B1488" s="126" t="s">
        <v>60</v>
      </c>
      <c r="C1488" s="127">
        <v>10730</v>
      </c>
      <c r="D1488" s="157">
        <v>101143</v>
      </c>
      <c r="E1488" s="158" t="s">
        <v>2425</v>
      </c>
      <c r="F1488" s="158" t="s">
        <v>2425</v>
      </c>
      <c r="G1488" s="159">
        <v>1200</v>
      </c>
      <c r="H1488" s="159">
        <v>2</v>
      </c>
      <c r="I1488" s="158" t="s">
        <v>209</v>
      </c>
      <c r="J1488" s="158" t="s">
        <v>210</v>
      </c>
      <c r="K1488" s="158" t="s">
        <v>211</v>
      </c>
      <c r="L1488" s="159">
        <v>5</v>
      </c>
      <c r="M1488" s="159">
        <v>4</v>
      </c>
      <c r="N1488" s="158" t="s">
        <v>1548</v>
      </c>
      <c r="O1488" s="159">
        <v>6</v>
      </c>
      <c r="P1488" s="159">
        <v>1</v>
      </c>
      <c r="Q1488" s="159">
        <v>17</v>
      </c>
      <c r="R1488" s="158" t="s">
        <v>190</v>
      </c>
      <c r="S1488" s="158" t="s">
        <v>191</v>
      </c>
      <c r="T1488" s="159">
        <v>318</v>
      </c>
      <c r="U1488" s="158" t="s">
        <v>1613</v>
      </c>
      <c r="V1488" s="158" t="s">
        <v>1614</v>
      </c>
      <c r="W1488" s="159">
        <v>1</v>
      </c>
      <c r="X1488" s="159">
        <v>2</v>
      </c>
      <c r="Y1488" s="158" t="s">
        <v>194</v>
      </c>
      <c r="Z1488" s="158" t="s">
        <v>195</v>
      </c>
      <c r="AA1488" s="158" t="s">
        <v>196</v>
      </c>
      <c r="AB1488" s="158" t="s">
        <v>187</v>
      </c>
      <c r="AC1488" s="158" t="s">
        <v>187</v>
      </c>
      <c r="AD1488" s="160"/>
      <c r="AE1488" s="158" t="s">
        <v>209</v>
      </c>
      <c r="AF1488" s="159">
        <v>2.3289300000000002</v>
      </c>
      <c r="AG1488" s="161">
        <v>114.6742</v>
      </c>
      <c r="AO1488" s="121"/>
      <c r="AT1488" s="111"/>
      <c r="AX1488" s="121"/>
    </row>
    <row r="1489" spans="1:50" s="110" customFormat="1" ht="20" customHeight="1">
      <c r="A1489" s="125" t="s">
        <v>237</v>
      </c>
      <c r="B1489" s="126" t="s">
        <v>60</v>
      </c>
      <c r="C1489" s="127">
        <v>14837</v>
      </c>
      <c r="D1489" s="145">
        <v>108818</v>
      </c>
      <c r="E1489" s="146" t="s">
        <v>4454</v>
      </c>
      <c r="F1489" s="146" t="s">
        <v>4455</v>
      </c>
      <c r="G1489" s="147">
        <v>58000</v>
      </c>
      <c r="H1489" s="147">
        <v>4</v>
      </c>
      <c r="I1489" s="146" t="s">
        <v>209</v>
      </c>
      <c r="J1489" s="146" t="s">
        <v>4456</v>
      </c>
      <c r="K1489" s="146" t="s">
        <v>4454</v>
      </c>
      <c r="L1489" s="147">
        <v>0</v>
      </c>
      <c r="M1489" s="147">
        <v>4</v>
      </c>
      <c r="N1489" s="146" t="s">
        <v>1548</v>
      </c>
      <c r="O1489" s="147">
        <v>6</v>
      </c>
      <c r="P1489" s="147">
        <v>3.3330000000000002</v>
      </c>
      <c r="Q1489" s="147">
        <v>17</v>
      </c>
      <c r="R1489" s="146" t="s">
        <v>190</v>
      </c>
      <c r="S1489" s="146" t="s">
        <v>191</v>
      </c>
      <c r="T1489" s="147">
        <v>318</v>
      </c>
      <c r="U1489" s="146" t="s">
        <v>1613</v>
      </c>
      <c r="V1489" s="146" t="s">
        <v>1614</v>
      </c>
      <c r="W1489" s="147">
        <v>1</v>
      </c>
      <c r="X1489" s="147">
        <v>2</v>
      </c>
      <c r="Y1489" s="146" t="s">
        <v>194</v>
      </c>
      <c r="Z1489" s="146" t="s">
        <v>195</v>
      </c>
      <c r="AA1489" s="146" t="s">
        <v>196</v>
      </c>
      <c r="AB1489" s="146" t="s">
        <v>187</v>
      </c>
      <c r="AC1489" s="146" t="s">
        <v>187</v>
      </c>
      <c r="AD1489" s="148"/>
      <c r="AE1489" s="146" t="s">
        <v>209</v>
      </c>
      <c r="AF1489" s="147">
        <v>4.1676000000000002</v>
      </c>
      <c r="AG1489" s="149">
        <v>101.46464</v>
      </c>
      <c r="AO1489" s="121"/>
      <c r="AT1489" s="111"/>
      <c r="AX1489" s="121"/>
    </row>
    <row r="1490" spans="1:50" s="110" customFormat="1" ht="20" customHeight="1">
      <c r="A1490" s="125" t="s">
        <v>237</v>
      </c>
      <c r="B1490" s="126" t="s">
        <v>60</v>
      </c>
      <c r="C1490" s="127">
        <v>15336</v>
      </c>
      <c r="D1490" s="145">
        <v>109943</v>
      </c>
      <c r="E1490" s="146" t="s">
        <v>4207</v>
      </c>
      <c r="F1490" s="146" t="s">
        <v>4208</v>
      </c>
      <c r="G1490" s="147">
        <v>29000</v>
      </c>
      <c r="H1490" s="147">
        <v>4</v>
      </c>
      <c r="I1490" s="146" t="s">
        <v>209</v>
      </c>
      <c r="J1490" s="146" t="s">
        <v>4209</v>
      </c>
      <c r="K1490" s="146" t="s">
        <v>4207</v>
      </c>
      <c r="L1490" s="147">
        <v>0</v>
      </c>
      <c r="M1490" s="147">
        <v>4</v>
      </c>
      <c r="N1490" s="146" t="s">
        <v>1548</v>
      </c>
      <c r="O1490" s="147">
        <v>5.8</v>
      </c>
      <c r="P1490" s="147">
        <v>5.2</v>
      </c>
      <c r="Q1490" s="147">
        <v>17</v>
      </c>
      <c r="R1490" s="146" t="s">
        <v>190</v>
      </c>
      <c r="S1490" s="146" t="s">
        <v>191</v>
      </c>
      <c r="T1490" s="147">
        <v>318</v>
      </c>
      <c r="U1490" s="146" t="s">
        <v>1613</v>
      </c>
      <c r="V1490" s="146" t="s">
        <v>1614</v>
      </c>
      <c r="W1490" s="147">
        <v>1</v>
      </c>
      <c r="X1490" s="147">
        <v>2</v>
      </c>
      <c r="Y1490" s="146" t="s">
        <v>194</v>
      </c>
      <c r="Z1490" s="146" t="s">
        <v>195</v>
      </c>
      <c r="AA1490" s="146" t="s">
        <v>196</v>
      </c>
      <c r="AB1490" s="146" t="s">
        <v>187</v>
      </c>
      <c r="AC1490" s="146" t="s">
        <v>187</v>
      </c>
      <c r="AD1490" s="148"/>
      <c r="AE1490" s="146" t="s">
        <v>209</v>
      </c>
      <c r="AF1490" s="147">
        <v>2.87079</v>
      </c>
      <c r="AG1490" s="149">
        <v>101.88122</v>
      </c>
      <c r="AO1490" s="121"/>
      <c r="AT1490" s="111"/>
      <c r="AX1490" s="121"/>
    </row>
    <row r="1491" spans="1:50" s="110" customFormat="1" ht="20" customHeight="1">
      <c r="A1491" s="125" t="s">
        <v>237</v>
      </c>
      <c r="B1491" s="126" t="s">
        <v>60</v>
      </c>
      <c r="C1491" s="127">
        <v>14209</v>
      </c>
      <c r="D1491" s="145">
        <v>107671</v>
      </c>
      <c r="E1491" s="146" t="s">
        <v>2440</v>
      </c>
      <c r="F1491" s="146" t="s">
        <v>2440</v>
      </c>
      <c r="G1491" s="147">
        <v>1900</v>
      </c>
      <c r="H1491" s="147">
        <v>4</v>
      </c>
      <c r="I1491" s="146" t="s">
        <v>209</v>
      </c>
      <c r="J1491" s="146" t="s">
        <v>2441</v>
      </c>
      <c r="K1491" s="146" t="s">
        <v>2440</v>
      </c>
      <c r="L1491" s="147">
        <v>1</v>
      </c>
      <c r="M1491" s="147">
        <v>4</v>
      </c>
      <c r="N1491" s="146" t="s">
        <v>1548</v>
      </c>
      <c r="O1491" s="147">
        <v>5</v>
      </c>
      <c r="P1491" s="147">
        <v>3</v>
      </c>
      <c r="Q1491" s="147">
        <v>17</v>
      </c>
      <c r="R1491" s="146" t="s">
        <v>190</v>
      </c>
      <c r="S1491" s="146" t="s">
        <v>191</v>
      </c>
      <c r="T1491" s="147">
        <v>318</v>
      </c>
      <c r="U1491" s="146" t="s">
        <v>1613</v>
      </c>
      <c r="V1491" s="146" t="s">
        <v>1614</v>
      </c>
      <c r="W1491" s="147">
        <v>2</v>
      </c>
      <c r="X1491" s="147">
        <v>2</v>
      </c>
      <c r="Y1491" s="146" t="s">
        <v>194</v>
      </c>
      <c r="Z1491" s="146" t="s">
        <v>195</v>
      </c>
      <c r="AA1491" s="146" t="s">
        <v>196</v>
      </c>
      <c r="AB1491" s="146" t="s">
        <v>187</v>
      </c>
      <c r="AC1491" s="146" t="s">
        <v>187</v>
      </c>
      <c r="AD1491" s="148"/>
      <c r="AE1491" s="146" t="s">
        <v>209</v>
      </c>
      <c r="AF1491" s="147">
        <v>1.58012</v>
      </c>
      <c r="AG1491" s="149">
        <v>104.15004999999999</v>
      </c>
      <c r="AO1491" s="121"/>
      <c r="AT1491" s="111"/>
      <c r="AX1491" s="121"/>
    </row>
    <row r="1492" spans="1:50" s="110" customFormat="1" ht="20" customHeight="1">
      <c r="A1492" s="125" t="s">
        <v>237</v>
      </c>
      <c r="B1492" s="126" t="s">
        <v>60</v>
      </c>
      <c r="C1492" s="127">
        <v>12309</v>
      </c>
      <c r="D1492" s="128">
        <v>104150</v>
      </c>
      <c r="E1492" s="129" t="s">
        <v>1726</v>
      </c>
      <c r="F1492" s="129" t="s">
        <v>1726</v>
      </c>
      <c r="G1492" s="130">
        <v>1500</v>
      </c>
      <c r="H1492" s="130">
        <v>5</v>
      </c>
      <c r="I1492" s="129" t="s">
        <v>209</v>
      </c>
      <c r="J1492" s="129" t="s">
        <v>1727</v>
      </c>
      <c r="K1492" s="129" t="s">
        <v>1726</v>
      </c>
      <c r="L1492" s="130">
        <v>2</v>
      </c>
      <c r="M1492" s="130">
        <v>4</v>
      </c>
      <c r="N1492" s="129" t="s">
        <v>1548</v>
      </c>
      <c r="O1492" s="130">
        <v>33</v>
      </c>
      <c r="P1492" s="130">
        <v>20</v>
      </c>
      <c r="Q1492" s="130">
        <v>17</v>
      </c>
      <c r="R1492" s="129" t="s">
        <v>190</v>
      </c>
      <c r="S1492" s="129" t="s">
        <v>191</v>
      </c>
      <c r="T1492" s="130">
        <v>318</v>
      </c>
      <c r="U1492" s="129" t="s">
        <v>1613</v>
      </c>
      <c r="V1492" s="129" t="s">
        <v>1614</v>
      </c>
      <c r="W1492" s="130">
        <v>2</v>
      </c>
      <c r="X1492" s="130">
        <v>2</v>
      </c>
      <c r="Y1492" s="129" t="s">
        <v>194</v>
      </c>
      <c r="Z1492" s="129" t="s">
        <v>195</v>
      </c>
      <c r="AA1492" s="129" t="s">
        <v>196</v>
      </c>
      <c r="AB1492" s="129" t="s">
        <v>187</v>
      </c>
      <c r="AC1492" s="129" t="s">
        <v>187</v>
      </c>
      <c r="AD1492" s="131"/>
      <c r="AE1492" s="129" t="s">
        <v>209</v>
      </c>
      <c r="AF1492" s="130">
        <v>5.6011600000000001</v>
      </c>
      <c r="AG1492" s="132">
        <v>101.52772</v>
      </c>
      <c r="AO1492" s="121"/>
      <c r="AT1492" s="111"/>
      <c r="AX1492" s="121"/>
    </row>
    <row r="1493" spans="1:50" s="110" customFormat="1" ht="20" customHeight="1">
      <c r="A1493" s="125" t="s">
        <v>408</v>
      </c>
      <c r="B1493" s="126" t="s">
        <v>64</v>
      </c>
      <c r="C1493" s="127">
        <v>14209</v>
      </c>
      <c r="D1493" s="145">
        <v>107671</v>
      </c>
      <c r="E1493" s="146" t="s">
        <v>2440</v>
      </c>
      <c r="F1493" s="146" t="s">
        <v>2440</v>
      </c>
      <c r="G1493" s="147">
        <v>1200</v>
      </c>
      <c r="H1493" s="147">
        <v>4</v>
      </c>
      <c r="I1493" s="146" t="s">
        <v>209</v>
      </c>
      <c r="J1493" s="146" t="s">
        <v>2441</v>
      </c>
      <c r="K1493" s="146" t="s">
        <v>2440</v>
      </c>
      <c r="L1493" s="147">
        <v>1</v>
      </c>
      <c r="M1493" s="147">
        <v>4</v>
      </c>
      <c r="N1493" s="146" t="s">
        <v>1548</v>
      </c>
      <c r="O1493" s="147">
        <v>6</v>
      </c>
      <c r="P1493" s="147">
        <v>3</v>
      </c>
      <c r="Q1493" s="147">
        <v>17</v>
      </c>
      <c r="R1493" s="146" t="s">
        <v>190</v>
      </c>
      <c r="S1493" s="146" t="s">
        <v>191</v>
      </c>
      <c r="T1493" s="147">
        <v>318</v>
      </c>
      <c r="U1493" s="146" t="s">
        <v>1613</v>
      </c>
      <c r="V1493" s="146" t="s">
        <v>1614</v>
      </c>
      <c r="W1493" s="147">
        <v>2</v>
      </c>
      <c r="X1493" s="147">
        <v>2</v>
      </c>
      <c r="Y1493" s="146" t="s">
        <v>194</v>
      </c>
      <c r="Z1493" s="146" t="s">
        <v>195</v>
      </c>
      <c r="AA1493" s="146" t="s">
        <v>196</v>
      </c>
      <c r="AB1493" s="146" t="s">
        <v>209</v>
      </c>
      <c r="AC1493" s="146" t="s">
        <v>187</v>
      </c>
      <c r="AD1493" s="148"/>
      <c r="AE1493" s="146" t="s">
        <v>209</v>
      </c>
      <c r="AF1493" s="147">
        <v>1.4459200000000001</v>
      </c>
      <c r="AG1493" s="149">
        <v>103.81582</v>
      </c>
      <c r="AO1493" s="121"/>
      <c r="AT1493" s="111"/>
      <c r="AX1493" s="121"/>
    </row>
    <row r="1494" spans="1:50" s="110" customFormat="1" ht="20" customHeight="1">
      <c r="A1494" s="125" t="s">
        <v>478</v>
      </c>
      <c r="B1494" s="126" t="s">
        <v>56</v>
      </c>
      <c r="C1494" s="127">
        <v>15722</v>
      </c>
      <c r="D1494" s="163">
        <v>110417</v>
      </c>
      <c r="E1494" s="164" t="s">
        <v>2915</v>
      </c>
      <c r="F1494" s="164" t="s">
        <v>2915</v>
      </c>
      <c r="G1494" s="165">
        <v>3100</v>
      </c>
      <c r="H1494" s="165">
        <v>1</v>
      </c>
      <c r="I1494" s="164" t="s">
        <v>187</v>
      </c>
      <c r="J1494" s="164" t="s">
        <v>2916</v>
      </c>
      <c r="K1494" s="164" t="s">
        <v>2917</v>
      </c>
      <c r="L1494" s="165">
        <v>4</v>
      </c>
      <c r="M1494" s="165">
        <v>4</v>
      </c>
      <c r="N1494" s="164" t="s">
        <v>1548</v>
      </c>
      <c r="O1494" s="165">
        <v>2</v>
      </c>
      <c r="P1494" s="165">
        <v>1</v>
      </c>
      <c r="Q1494" s="165">
        <v>17</v>
      </c>
      <c r="R1494" s="164" t="s">
        <v>190</v>
      </c>
      <c r="S1494" s="164" t="s">
        <v>191</v>
      </c>
      <c r="T1494" s="165">
        <v>318</v>
      </c>
      <c r="U1494" s="164" t="s">
        <v>1613</v>
      </c>
      <c r="V1494" s="164" t="s">
        <v>1614</v>
      </c>
      <c r="W1494" s="165">
        <v>1</v>
      </c>
      <c r="X1494" s="165">
        <v>2</v>
      </c>
      <c r="Y1494" s="164" t="s">
        <v>194</v>
      </c>
      <c r="Z1494" s="164" t="s">
        <v>195</v>
      </c>
      <c r="AA1494" s="164" t="s">
        <v>196</v>
      </c>
      <c r="AB1494" s="164" t="s">
        <v>187</v>
      </c>
      <c r="AC1494" s="164" t="s">
        <v>187</v>
      </c>
      <c r="AD1494" s="165">
        <v>1</v>
      </c>
      <c r="AE1494" s="164" t="s">
        <v>209</v>
      </c>
      <c r="AF1494" s="165">
        <v>7.5258000003697099</v>
      </c>
      <c r="AG1494" s="166">
        <v>99.076820000242805</v>
      </c>
      <c r="AO1494" s="121"/>
      <c r="AT1494" s="111"/>
      <c r="AX1494" s="121"/>
    </row>
    <row r="1495" spans="1:50" s="110" customFormat="1" ht="20" customHeight="1">
      <c r="A1495" s="125" t="s">
        <v>478</v>
      </c>
      <c r="B1495" s="126" t="s">
        <v>56</v>
      </c>
      <c r="C1495" s="127">
        <v>14839</v>
      </c>
      <c r="D1495" s="163">
        <v>108820</v>
      </c>
      <c r="E1495" s="164" t="s">
        <v>1804</v>
      </c>
      <c r="F1495" s="164" t="s">
        <v>1804</v>
      </c>
      <c r="G1495" s="165">
        <v>300</v>
      </c>
      <c r="H1495" s="165">
        <v>1</v>
      </c>
      <c r="I1495" s="164" t="s">
        <v>187</v>
      </c>
      <c r="J1495" s="164" t="s">
        <v>1805</v>
      </c>
      <c r="K1495" s="164" t="s">
        <v>1804</v>
      </c>
      <c r="L1495" s="165">
        <v>3</v>
      </c>
      <c r="M1495" s="165">
        <v>4</v>
      </c>
      <c r="N1495" s="164" t="s">
        <v>1548</v>
      </c>
      <c r="O1495" s="165">
        <v>4</v>
      </c>
      <c r="P1495" s="165">
        <v>0</v>
      </c>
      <c r="Q1495" s="165">
        <v>17</v>
      </c>
      <c r="R1495" s="164" t="s">
        <v>190</v>
      </c>
      <c r="S1495" s="164" t="s">
        <v>191</v>
      </c>
      <c r="T1495" s="165">
        <v>318</v>
      </c>
      <c r="U1495" s="164" t="s">
        <v>1613</v>
      </c>
      <c r="V1495" s="164" t="s">
        <v>1614</v>
      </c>
      <c r="W1495" s="165">
        <v>2</v>
      </c>
      <c r="X1495" s="165">
        <v>2</v>
      </c>
      <c r="Y1495" s="164" t="s">
        <v>194</v>
      </c>
      <c r="Z1495" s="164" t="s">
        <v>195</v>
      </c>
      <c r="AA1495" s="164" t="s">
        <v>196</v>
      </c>
      <c r="AB1495" s="164" t="s">
        <v>187</v>
      </c>
      <c r="AC1495" s="164" t="s">
        <v>187</v>
      </c>
      <c r="AD1495" s="165">
        <v>1</v>
      </c>
      <c r="AE1495" s="164" t="s">
        <v>209</v>
      </c>
      <c r="AF1495" s="165">
        <v>6.0303199999999997</v>
      </c>
      <c r="AG1495" s="166">
        <v>101.16428000000001</v>
      </c>
      <c r="AO1495" s="121"/>
      <c r="AT1495" s="111"/>
      <c r="AX1495" s="121"/>
    </row>
    <row r="1496" spans="1:50" s="110" customFormat="1" ht="20" customHeight="1">
      <c r="A1496" s="125" t="s">
        <v>478</v>
      </c>
      <c r="B1496" s="126" t="s">
        <v>56</v>
      </c>
      <c r="C1496" s="127">
        <v>12701</v>
      </c>
      <c r="D1496" s="163">
        <v>105020</v>
      </c>
      <c r="E1496" s="164" t="s">
        <v>1611</v>
      </c>
      <c r="F1496" s="164" t="s">
        <v>1611</v>
      </c>
      <c r="G1496" s="165">
        <v>100</v>
      </c>
      <c r="H1496" s="165">
        <v>1</v>
      </c>
      <c r="I1496" s="164" t="s">
        <v>187</v>
      </c>
      <c r="J1496" s="164" t="s">
        <v>1612</v>
      </c>
      <c r="K1496" s="164" t="s">
        <v>1611</v>
      </c>
      <c r="L1496" s="165">
        <v>1</v>
      </c>
      <c r="M1496" s="165">
        <v>4</v>
      </c>
      <c r="N1496" s="164" t="s">
        <v>1548</v>
      </c>
      <c r="O1496" s="165">
        <v>4.9000000000000004</v>
      </c>
      <c r="P1496" s="165">
        <v>0</v>
      </c>
      <c r="Q1496" s="165">
        <v>17</v>
      </c>
      <c r="R1496" s="164" t="s">
        <v>190</v>
      </c>
      <c r="S1496" s="164" t="s">
        <v>191</v>
      </c>
      <c r="T1496" s="165">
        <v>318</v>
      </c>
      <c r="U1496" s="164" t="s">
        <v>1613</v>
      </c>
      <c r="V1496" s="164" t="s">
        <v>1614</v>
      </c>
      <c r="W1496" s="165">
        <v>2</v>
      </c>
      <c r="X1496" s="165">
        <v>2</v>
      </c>
      <c r="Y1496" s="164" t="s">
        <v>194</v>
      </c>
      <c r="Z1496" s="164" t="s">
        <v>195</v>
      </c>
      <c r="AA1496" s="164" t="s">
        <v>196</v>
      </c>
      <c r="AB1496" s="164" t="s">
        <v>187</v>
      </c>
      <c r="AC1496" s="164" t="s">
        <v>209</v>
      </c>
      <c r="AD1496" s="165">
        <v>1</v>
      </c>
      <c r="AE1496" s="164" t="s">
        <v>209</v>
      </c>
      <c r="AF1496" s="165">
        <v>5.6655699999999998</v>
      </c>
      <c r="AG1496" s="166">
        <v>101.16039000000001</v>
      </c>
      <c r="AO1496" s="121"/>
      <c r="AT1496" s="111"/>
      <c r="AX1496" s="121"/>
    </row>
    <row r="1497" spans="1:50" s="110" customFormat="1" ht="20" customHeight="1">
      <c r="A1497" s="125" t="s">
        <v>478</v>
      </c>
      <c r="B1497" s="126" t="s">
        <v>56</v>
      </c>
      <c r="C1497" s="127">
        <v>12309</v>
      </c>
      <c r="D1497" s="128">
        <v>104150</v>
      </c>
      <c r="E1497" s="129" t="s">
        <v>1726</v>
      </c>
      <c r="F1497" s="129" t="s">
        <v>1726</v>
      </c>
      <c r="G1497" s="130">
        <v>200</v>
      </c>
      <c r="H1497" s="130">
        <v>5</v>
      </c>
      <c r="I1497" s="129" t="s">
        <v>209</v>
      </c>
      <c r="J1497" s="129" t="s">
        <v>1727</v>
      </c>
      <c r="K1497" s="129" t="s">
        <v>1726</v>
      </c>
      <c r="L1497" s="130">
        <v>2</v>
      </c>
      <c r="M1497" s="130">
        <v>4</v>
      </c>
      <c r="N1497" s="129" t="s">
        <v>1548</v>
      </c>
      <c r="O1497" s="130">
        <v>20</v>
      </c>
      <c r="P1497" s="130">
        <v>12</v>
      </c>
      <c r="Q1497" s="130">
        <v>17</v>
      </c>
      <c r="R1497" s="129" t="s">
        <v>190</v>
      </c>
      <c r="S1497" s="129" t="s">
        <v>191</v>
      </c>
      <c r="T1497" s="130">
        <v>318</v>
      </c>
      <c r="U1497" s="129" t="s">
        <v>1613</v>
      </c>
      <c r="V1497" s="129" t="s">
        <v>1614</v>
      </c>
      <c r="W1497" s="130">
        <v>2</v>
      </c>
      <c r="X1497" s="130">
        <v>2</v>
      </c>
      <c r="Y1497" s="129" t="s">
        <v>194</v>
      </c>
      <c r="Z1497" s="129" t="s">
        <v>195</v>
      </c>
      <c r="AA1497" s="129" t="s">
        <v>196</v>
      </c>
      <c r="AB1497" s="129" t="s">
        <v>187</v>
      </c>
      <c r="AC1497" s="129" t="s">
        <v>209</v>
      </c>
      <c r="AD1497" s="131"/>
      <c r="AE1497" s="129" t="s">
        <v>209</v>
      </c>
      <c r="AF1497" s="130">
        <v>6.421494</v>
      </c>
      <c r="AG1497" s="132">
        <v>101.823897</v>
      </c>
      <c r="AO1497" s="121"/>
      <c r="AT1497" s="111"/>
      <c r="AX1497" s="121"/>
    </row>
    <row r="1498" spans="1:50" s="110" customFormat="1" ht="20" customHeight="1">
      <c r="A1498" s="125" t="s">
        <v>471</v>
      </c>
      <c r="B1498" s="126" t="s">
        <v>65</v>
      </c>
      <c r="C1498" s="127">
        <v>12688</v>
      </c>
      <c r="D1498" s="163">
        <v>105005</v>
      </c>
      <c r="E1498" s="164" t="s">
        <v>3402</v>
      </c>
      <c r="F1498" s="164" t="s">
        <v>3402</v>
      </c>
      <c r="G1498" s="165">
        <v>6900</v>
      </c>
      <c r="H1498" s="165">
        <v>1</v>
      </c>
      <c r="I1498" s="164" t="s">
        <v>187</v>
      </c>
      <c r="J1498" s="164" t="s">
        <v>3403</v>
      </c>
      <c r="K1498" s="164" t="s">
        <v>3402</v>
      </c>
      <c r="L1498" s="165">
        <v>1</v>
      </c>
      <c r="M1498" s="165">
        <v>4</v>
      </c>
      <c r="N1498" s="164" t="s">
        <v>1548</v>
      </c>
      <c r="O1498" s="165">
        <v>1</v>
      </c>
      <c r="P1498" s="165">
        <v>0.8</v>
      </c>
      <c r="Q1498" s="165">
        <v>20</v>
      </c>
      <c r="R1498" s="164" t="s">
        <v>574</v>
      </c>
      <c r="S1498" s="164" t="s">
        <v>575</v>
      </c>
      <c r="T1498" s="165">
        <v>319</v>
      </c>
      <c r="U1498" s="164" t="s">
        <v>3363</v>
      </c>
      <c r="V1498" s="164" t="s">
        <v>3364</v>
      </c>
      <c r="W1498" s="165">
        <v>3</v>
      </c>
      <c r="X1498" s="165">
        <v>2</v>
      </c>
      <c r="Y1498" s="164" t="s">
        <v>194</v>
      </c>
      <c r="Z1498" s="164" t="s">
        <v>195</v>
      </c>
      <c r="AA1498" s="164" t="s">
        <v>196</v>
      </c>
      <c r="AB1498" s="164" t="s">
        <v>187</v>
      </c>
      <c r="AC1498" s="164" t="s">
        <v>209</v>
      </c>
      <c r="AD1498" s="165">
        <v>1</v>
      </c>
      <c r="AE1498" s="164" t="s">
        <v>209</v>
      </c>
      <c r="AF1498" s="165">
        <v>21.176819999999999</v>
      </c>
      <c r="AG1498" s="166">
        <v>100.78016</v>
      </c>
      <c r="AO1498" s="121"/>
      <c r="AT1498" s="111"/>
      <c r="AX1498" s="121"/>
    </row>
    <row r="1499" spans="1:50" s="110" customFormat="1" ht="20" customHeight="1">
      <c r="A1499" s="125" t="s">
        <v>471</v>
      </c>
      <c r="B1499" s="126" t="s">
        <v>65</v>
      </c>
      <c r="C1499" s="127">
        <v>20632</v>
      </c>
      <c r="D1499" s="163">
        <v>111240</v>
      </c>
      <c r="E1499" s="164" t="s">
        <v>3362</v>
      </c>
      <c r="F1499" s="164" t="s">
        <v>3362</v>
      </c>
      <c r="G1499" s="165">
        <v>6500</v>
      </c>
      <c r="H1499" s="165">
        <v>1</v>
      </c>
      <c r="I1499" s="164" t="s">
        <v>187</v>
      </c>
      <c r="J1499" s="164" t="s">
        <v>634</v>
      </c>
      <c r="K1499" s="164" t="s">
        <v>635</v>
      </c>
      <c r="L1499" s="165">
        <v>0</v>
      </c>
      <c r="M1499" s="165">
        <v>4</v>
      </c>
      <c r="N1499" s="164" t="s">
        <v>1548</v>
      </c>
      <c r="O1499" s="165">
        <v>0</v>
      </c>
      <c r="P1499" s="165">
        <v>0</v>
      </c>
      <c r="Q1499" s="165">
        <v>20</v>
      </c>
      <c r="R1499" s="164" t="s">
        <v>574</v>
      </c>
      <c r="S1499" s="164" t="s">
        <v>575</v>
      </c>
      <c r="T1499" s="165">
        <v>319</v>
      </c>
      <c r="U1499" s="164" t="s">
        <v>3363</v>
      </c>
      <c r="V1499" s="164" t="s">
        <v>3364</v>
      </c>
      <c r="W1499" s="165">
        <v>1</v>
      </c>
      <c r="X1499" s="165">
        <v>2</v>
      </c>
      <c r="Y1499" s="164" t="s">
        <v>194</v>
      </c>
      <c r="Z1499" s="164" t="s">
        <v>195</v>
      </c>
      <c r="AA1499" s="164" t="s">
        <v>196</v>
      </c>
      <c r="AB1499" s="164" t="s">
        <v>187</v>
      </c>
      <c r="AC1499" s="164" t="s">
        <v>187</v>
      </c>
      <c r="AD1499" s="165">
        <v>1</v>
      </c>
      <c r="AE1499" s="164" t="s">
        <v>187</v>
      </c>
      <c r="AF1499" s="165">
        <v>21.589492</v>
      </c>
      <c r="AG1499" s="166">
        <v>102.170976</v>
      </c>
      <c r="AO1499" s="121"/>
      <c r="AT1499" s="111"/>
      <c r="AX1499" s="121"/>
    </row>
    <row r="1500" spans="1:50" s="110" customFormat="1" ht="20" customHeight="1">
      <c r="A1500" s="125" t="s">
        <v>471</v>
      </c>
      <c r="B1500" s="126" t="s">
        <v>65</v>
      </c>
      <c r="C1500" s="127">
        <v>12289</v>
      </c>
      <c r="D1500" s="145">
        <v>104117</v>
      </c>
      <c r="E1500" s="146" t="s">
        <v>4258</v>
      </c>
      <c r="F1500" s="146" t="s">
        <v>4258</v>
      </c>
      <c r="G1500" s="147">
        <v>33000</v>
      </c>
      <c r="H1500" s="147">
        <v>4</v>
      </c>
      <c r="I1500" s="146" t="s">
        <v>209</v>
      </c>
      <c r="J1500" s="146" t="s">
        <v>4259</v>
      </c>
      <c r="K1500" s="146" t="s">
        <v>4258</v>
      </c>
      <c r="L1500" s="147">
        <v>5</v>
      </c>
      <c r="M1500" s="147">
        <v>4</v>
      </c>
      <c r="N1500" s="146" t="s">
        <v>1548</v>
      </c>
      <c r="O1500" s="147">
        <v>8</v>
      </c>
      <c r="P1500" s="147">
        <v>7.9</v>
      </c>
      <c r="Q1500" s="147">
        <v>20</v>
      </c>
      <c r="R1500" s="146" t="s">
        <v>574</v>
      </c>
      <c r="S1500" s="146" t="s">
        <v>575</v>
      </c>
      <c r="T1500" s="147">
        <v>319</v>
      </c>
      <c r="U1500" s="146" t="s">
        <v>3363</v>
      </c>
      <c r="V1500" s="146" t="s">
        <v>3364</v>
      </c>
      <c r="W1500" s="147">
        <v>7</v>
      </c>
      <c r="X1500" s="147">
        <v>2</v>
      </c>
      <c r="Y1500" s="146" t="s">
        <v>194</v>
      </c>
      <c r="Z1500" s="146" t="s">
        <v>195</v>
      </c>
      <c r="AA1500" s="146" t="s">
        <v>196</v>
      </c>
      <c r="AB1500" s="146" t="s">
        <v>187</v>
      </c>
      <c r="AC1500" s="146" t="s">
        <v>187</v>
      </c>
      <c r="AD1500" s="148"/>
      <c r="AE1500" s="146" t="s">
        <v>209</v>
      </c>
      <c r="AF1500" s="147">
        <v>21.080010000000001</v>
      </c>
      <c r="AG1500" s="149">
        <v>101.27285999999999</v>
      </c>
      <c r="AO1500" s="121"/>
      <c r="AT1500" s="111"/>
      <c r="AX1500" s="121"/>
    </row>
    <row r="1501" spans="1:50" s="110" customFormat="1" ht="20" customHeight="1">
      <c r="A1501" s="125" t="s">
        <v>478</v>
      </c>
      <c r="B1501" s="126" t="s">
        <v>56</v>
      </c>
      <c r="C1501" s="127">
        <v>12289</v>
      </c>
      <c r="D1501" s="163">
        <v>104117</v>
      </c>
      <c r="E1501" s="164" t="s">
        <v>4258</v>
      </c>
      <c r="F1501" s="164" t="s">
        <v>4258</v>
      </c>
      <c r="G1501" s="165">
        <v>45000</v>
      </c>
      <c r="H1501" s="165">
        <v>1</v>
      </c>
      <c r="I1501" s="164" t="s">
        <v>187</v>
      </c>
      <c r="J1501" s="164" t="s">
        <v>4259</v>
      </c>
      <c r="K1501" s="164" t="s">
        <v>4258</v>
      </c>
      <c r="L1501" s="165">
        <v>5</v>
      </c>
      <c r="M1501" s="165">
        <v>4</v>
      </c>
      <c r="N1501" s="164" t="s">
        <v>1548</v>
      </c>
      <c r="O1501" s="165">
        <v>1</v>
      </c>
      <c r="P1501" s="165">
        <v>0.35199999999999998</v>
      </c>
      <c r="Q1501" s="165">
        <v>20</v>
      </c>
      <c r="R1501" s="164" t="s">
        <v>574</v>
      </c>
      <c r="S1501" s="164" t="s">
        <v>575</v>
      </c>
      <c r="T1501" s="165">
        <v>319</v>
      </c>
      <c r="U1501" s="164" t="s">
        <v>3363</v>
      </c>
      <c r="V1501" s="164" t="s">
        <v>3364</v>
      </c>
      <c r="W1501" s="165">
        <v>7</v>
      </c>
      <c r="X1501" s="165">
        <v>2</v>
      </c>
      <c r="Y1501" s="164" t="s">
        <v>194</v>
      </c>
      <c r="Z1501" s="164" t="s">
        <v>195</v>
      </c>
      <c r="AA1501" s="164" t="s">
        <v>196</v>
      </c>
      <c r="AB1501" s="164" t="s">
        <v>187</v>
      </c>
      <c r="AC1501" s="164" t="s">
        <v>209</v>
      </c>
      <c r="AD1501" s="165">
        <v>1</v>
      </c>
      <c r="AE1501" s="164" t="s">
        <v>209</v>
      </c>
      <c r="AF1501" s="165">
        <v>19.509360000000001</v>
      </c>
      <c r="AG1501" s="166">
        <v>100.67941</v>
      </c>
      <c r="AO1501" s="121"/>
      <c r="AT1501" s="111"/>
      <c r="AX1501" s="121"/>
    </row>
    <row r="1502" spans="1:50" s="110" customFormat="1" ht="20" customHeight="1">
      <c r="A1502" s="125" t="s">
        <v>480</v>
      </c>
      <c r="B1502" s="126" t="s">
        <v>63</v>
      </c>
      <c r="C1502" s="127">
        <v>12688</v>
      </c>
      <c r="D1502" s="163">
        <v>105005</v>
      </c>
      <c r="E1502" s="164" t="s">
        <v>3402</v>
      </c>
      <c r="F1502" s="164" t="s">
        <v>3402</v>
      </c>
      <c r="G1502" s="165">
        <v>210000</v>
      </c>
      <c r="H1502" s="165">
        <v>1</v>
      </c>
      <c r="I1502" s="164" t="s">
        <v>187</v>
      </c>
      <c r="J1502" s="164" t="s">
        <v>3403</v>
      </c>
      <c r="K1502" s="164" t="s">
        <v>3402</v>
      </c>
      <c r="L1502" s="165">
        <v>1</v>
      </c>
      <c r="M1502" s="165">
        <v>4</v>
      </c>
      <c r="N1502" s="164" t="s">
        <v>1548</v>
      </c>
      <c r="O1502" s="165">
        <v>1</v>
      </c>
      <c r="P1502" s="165">
        <v>0</v>
      </c>
      <c r="Q1502" s="165">
        <v>20</v>
      </c>
      <c r="R1502" s="164" t="s">
        <v>574</v>
      </c>
      <c r="S1502" s="164" t="s">
        <v>575</v>
      </c>
      <c r="T1502" s="165">
        <v>319</v>
      </c>
      <c r="U1502" s="164" t="s">
        <v>3363</v>
      </c>
      <c r="V1502" s="164" t="s">
        <v>3364</v>
      </c>
      <c r="W1502" s="165">
        <v>3</v>
      </c>
      <c r="X1502" s="165">
        <v>2</v>
      </c>
      <c r="Y1502" s="164" t="s">
        <v>194</v>
      </c>
      <c r="Z1502" s="164" t="s">
        <v>195</v>
      </c>
      <c r="AA1502" s="164" t="s">
        <v>196</v>
      </c>
      <c r="AB1502" s="164" t="s">
        <v>187</v>
      </c>
      <c r="AC1502" s="164" t="s">
        <v>187</v>
      </c>
      <c r="AD1502" s="165">
        <v>4</v>
      </c>
      <c r="AE1502" s="164" t="s">
        <v>209</v>
      </c>
      <c r="AF1502" s="165">
        <v>21.924779999999998</v>
      </c>
      <c r="AG1502" s="166">
        <v>104.30268</v>
      </c>
      <c r="AO1502" s="121"/>
      <c r="AT1502" s="111"/>
      <c r="AX1502" s="121"/>
    </row>
    <row r="1503" spans="1:50" s="110" customFormat="1" ht="20" customHeight="1">
      <c r="A1503" s="125" t="s">
        <v>480</v>
      </c>
      <c r="B1503" s="126" t="s">
        <v>63</v>
      </c>
      <c r="C1503" s="127">
        <v>20050</v>
      </c>
      <c r="D1503" s="163">
        <v>108601</v>
      </c>
      <c r="E1503" s="164" t="s">
        <v>4705</v>
      </c>
      <c r="F1503" s="164" t="s">
        <v>4705</v>
      </c>
      <c r="G1503" s="165">
        <v>154000</v>
      </c>
      <c r="H1503" s="165">
        <v>1</v>
      </c>
      <c r="I1503" s="164" t="s">
        <v>187</v>
      </c>
      <c r="J1503" s="164" t="s">
        <v>4259</v>
      </c>
      <c r="K1503" s="164" t="s">
        <v>4258</v>
      </c>
      <c r="L1503" s="165">
        <v>5</v>
      </c>
      <c r="M1503" s="165">
        <v>4</v>
      </c>
      <c r="N1503" s="164" t="s">
        <v>1548</v>
      </c>
      <c r="O1503" s="165">
        <v>0.5</v>
      </c>
      <c r="P1503" s="165">
        <v>0.34</v>
      </c>
      <c r="Q1503" s="165">
        <v>20</v>
      </c>
      <c r="R1503" s="164" t="s">
        <v>574</v>
      </c>
      <c r="S1503" s="164" t="s">
        <v>575</v>
      </c>
      <c r="T1503" s="165">
        <v>319</v>
      </c>
      <c r="U1503" s="164" t="s">
        <v>3363</v>
      </c>
      <c r="V1503" s="164" t="s">
        <v>3364</v>
      </c>
      <c r="W1503" s="165">
        <v>1</v>
      </c>
      <c r="X1503" s="165">
        <v>2</v>
      </c>
      <c r="Y1503" s="164" t="s">
        <v>194</v>
      </c>
      <c r="Z1503" s="164" t="s">
        <v>195</v>
      </c>
      <c r="AA1503" s="164" t="s">
        <v>196</v>
      </c>
      <c r="AB1503" s="164" t="s">
        <v>187</v>
      </c>
      <c r="AC1503" s="164" t="s">
        <v>187</v>
      </c>
      <c r="AD1503" s="165">
        <v>3</v>
      </c>
      <c r="AE1503" s="164" t="s">
        <v>209</v>
      </c>
      <c r="AF1503" s="165">
        <v>23.161242844581601</v>
      </c>
      <c r="AG1503" s="166">
        <v>105.422432757366</v>
      </c>
      <c r="AO1503" s="121"/>
      <c r="AT1503" s="111"/>
      <c r="AX1503" s="121"/>
    </row>
    <row r="1504" spans="1:50" s="110" customFormat="1" ht="20" customHeight="1">
      <c r="A1504" s="125" t="s">
        <v>480</v>
      </c>
      <c r="B1504" s="126" t="s">
        <v>63</v>
      </c>
      <c r="C1504" s="127">
        <v>18891</v>
      </c>
      <c r="D1504" s="163">
        <v>114839</v>
      </c>
      <c r="E1504" s="164" t="s">
        <v>3442</v>
      </c>
      <c r="F1504" s="164" t="s">
        <v>3443</v>
      </c>
      <c r="G1504" s="165">
        <v>7600</v>
      </c>
      <c r="H1504" s="165">
        <v>1</v>
      </c>
      <c r="I1504" s="164" t="s">
        <v>187</v>
      </c>
      <c r="J1504" s="164" t="s">
        <v>3444</v>
      </c>
      <c r="K1504" s="164" t="s">
        <v>3445</v>
      </c>
      <c r="L1504" s="165">
        <v>0</v>
      </c>
      <c r="M1504" s="165">
        <v>4</v>
      </c>
      <c r="N1504" s="164" t="s">
        <v>1548</v>
      </c>
      <c r="O1504" s="165">
        <v>2</v>
      </c>
      <c r="P1504" s="165">
        <v>2</v>
      </c>
      <c r="Q1504" s="165">
        <v>20</v>
      </c>
      <c r="R1504" s="164" t="s">
        <v>574</v>
      </c>
      <c r="S1504" s="164" t="s">
        <v>575</v>
      </c>
      <c r="T1504" s="165">
        <v>319</v>
      </c>
      <c r="U1504" s="164" t="s">
        <v>3363</v>
      </c>
      <c r="V1504" s="164" t="s">
        <v>3364</v>
      </c>
      <c r="W1504" s="165">
        <v>2</v>
      </c>
      <c r="X1504" s="165">
        <v>2</v>
      </c>
      <c r="Y1504" s="164" t="s">
        <v>194</v>
      </c>
      <c r="Z1504" s="164" t="s">
        <v>195</v>
      </c>
      <c r="AA1504" s="164" t="s">
        <v>196</v>
      </c>
      <c r="AB1504" s="164" t="s">
        <v>187</v>
      </c>
      <c r="AC1504" s="164" t="s">
        <v>187</v>
      </c>
      <c r="AD1504" s="165">
        <v>1</v>
      </c>
      <c r="AE1504" s="164" t="s">
        <v>209</v>
      </c>
      <c r="AF1504" s="165">
        <v>22.294160000000002</v>
      </c>
      <c r="AG1504" s="166">
        <v>105.11272</v>
      </c>
      <c r="AO1504" s="121"/>
      <c r="AT1504" s="111"/>
      <c r="AX1504" s="121"/>
    </row>
    <row r="1505" spans="1:50" s="110" customFormat="1" ht="20" customHeight="1">
      <c r="A1505" s="125" t="s">
        <v>480</v>
      </c>
      <c r="B1505" s="126" t="s">
        <v>63</v>
      </c>
      <c r="C1505" s="127">
        <v>12289</v>
      </c>
      <c r="D1505" s="145">
        <v>104117</v>
      </c>
      <c r="E1505" s="146" t="s">
        <v>4258</v>
      </c>
      <c r="F1505" s="146" t="s">
        <v>4258</v>
      </c>
      <c r="G1505" s="147">
        <v>272000</v>
      </c>
      <c r="H1505" s="147">
        <v>4</v>
      </c>
      <c r="I1505" s="146" t="s">
        <v>209</v>
      </c>
      <c r="J1505" s="146" t="s">
        <v>4259</v>
      </c>
      <c r="K1505" s="146" t="s">
        <v>4258</v>
      </c>
      <c r="L1505" s="147">
        <v>5</v>
      </c>
      <c r="M1505" s="147">
        <v>4</v>
      </c>
      <c r="N1505" s="146" t="s">
        <v>1548</v>
      </c>
      <c r="O1505" s="147">
        <v>8</v>
      </c>
      <c r="P1505" s="147">
        <v>3.09</v>
      </c>
      <c r="Q1505" s="147">
        <v>20</v>
      </c>
      <c r="R1505" s="146" t="s">
        <v>574</v>
      </c>
      <c r="S1505" s="146" t="s">
        <v>575</v>
      </c>
      <c r="T1505" s="147">
        <v>319</v>
      </c>
      <c r="U1505" s="146" t="s">
        <v>3363</v>
      </c>
      <c r="V1505" s="146" t="s">
        <v>3364</v>
      </c>
      <c r="W1505" s="147">
        <v>7</v>
      </c>
      <c r="X1505" s="147">
        <v>2</v>
      </c>
      <c r="Y1505" s="146" t="s">
        <v>194</v>
      </c>
      <c r="Z1505" s="146" t="s">
        <v>195</v>
      </c>
      <c r="AA1505" s="146" t="s">
        <v>196</v>
      </c>
      <c r="AB1505" s="146" t="s">
        <v>187</v>
      </c>
      <c r="AC1505" s="146" t="s">
        <v>187</v>
      </c>
      <c r="AD1505" s="148"/>
      <c r="AE1505" s="146" t="s">
        <v>209</v>
      </c>
      <c r="AF1505" s="147">
        <v>21.2647611616982</v>
      </c>
      <c r="AG1505" s="149">
        <v>104.666063773624</v>
      </c>
      <c r="AO1505" s="121"/>
      <c r="AT1505" s="111"/>
      <c r="AX1505" s="121"/>
    </row>
    <row r="1506" spans="1:50" s="110" customFormat="1" ht="20" customHeight="1">
      <c r="A1506" s="125" t="s">
        <v>471</v>
      </c>
      <c r="B1506" s="126" t="s">
        <v>65</v>
      </c>
      <c r="C1506" s="127">
        <v>14065</v>
      </c>
      <c r="D1506" s="163">
        <v>107510</v>
      </c>
      <c r="E1506" s="164" t="s">
        <v>2492</v>
      </c>
      <c r="F1506" s="164" t="s">
        <v>2492</v>
      </c>
      <c r="G1506" s="165">
        <v>1400</v>
      </c>
      <c r="H1506" s="165">
        <v>1</v>
      </c>
      <c r="I1506" s="164" t="s">
        <v>187</v>
      </c>
      <c r="J1506" s="164" t="s">
        <v>2493</v>
      </c>
      <c r="K1506" s="164" t="s">
        <v>2492</v>
      </c>
      <c r="L1506" s="165">
        <v>3</v>
      </c>
      <c r="M1506" s="165">
        <v>4</v>
      </c>
      <c r="N1506" s="164" t="s">
        <v>1548</v>
      </c>
      <c r="O1506" s="165">
        <v>0.7</v>
      </c>
      <c r="P1506" s="165">
        <v>0.6</v>
      </c>
      <c r="Q1506" s="165">
        <v>20</v>
      </c>
      <c r="R1506" s="164" t="s">
        <v>574</v>
      </c>
      <c r="S1506" s="164" t="s">
        <v>575</v>
      </c>
      <c r="T1506" s="165">
        <v>322</v>
      </c>
      <c r="U1506" s="164" t="s">
        <v>2494</v>
      </c>
      <c r="V1506" s="164" t="s">
        <v>2495</v>
      </c>
      <c r="W1506" s="165">
        <v>2</v>
      </c>
      <c r="X1506" s="165">
        <v>2</v>
      </c>
      <c r="Y1506" s="164" t="s">
        <v>194</v>
      </c>
      <c r="Z1506" s="164" t="s">
        <v>195</v>
      </c>
      <c r="AA1506" s="164" t="s">
        <v>196</v>
      </c>
      <c r="AB1506" s="164" t="s">
        <v>187</v>
      </c>
      <c r="AC1506" s="164" t="s">
        <v>209</v>
      </c>
      <c r="AD1506" s="165">
        <v>1</v>
      </c>
      <c r="AE1506" s="164" t="s">
        <v>209</v>
      </c>
      <c r="AF1506" s="165">
        <v>19.7425</v>
      </c>
      <c r="AG1506" s="166">
        <v>102.49251</v>
      </c>
      <c r="AO1506" s="121"/>
      <c r="AT1506" s="111"/>
      <c r="AX1506" s="121"/>
    </row>
    <row r="1507" spans="1:50" s="110" customFormat="1" ht="20" customHeight="1">
      <c r="A1507" s="125" t="s">
        <v>480</v>
      </c>
      <c r="B1507" s="126" t="s">
        <v>63</v>
      </c>
      <c r="C1507" s="127">
        <v>15309</v>
      </c>
      <c r="D1507" s="163">
        <v>109909</v>
      </c>
      <c r="E1507" s="164" t="s">
        <v>4887</v>
      </c>
      <c r="F1507" s="164" t="s">
        <v>4887</v>
      </c>
      <c r="G1507" s="165">
        <v>1823000</v>
      </c>
      <c r="H1507" s="165">
        <v>1</v>
      </c>
      <c r="I1507" s="164" t="s">
        <v>187</v>
      </c>
      <c r="J1507" s="164" t="s">
        <v>4888</v>
      </c>
      <c r="K1507" s="164" t="s">
        <v>4887</v>
      </c>
      <c r="L1507" s="165">
        <v>4</v>
      </c>
      <c r="M1507" s="165">
        <v>4</v>
      </c>
      <c r="N1507" s="164" t="s">
        <v>1548</v>
      </c>
      <c r="O1507" s="165">
        <v>1</v>
      </c>
      <c r="P1507" s="165">
        <v>0.2</v>
      </c>
      <c r="Q1507" s="165">
        <v>20</v>
      </c>
      <c r="R1507" s="164" t="s">
        <v>574</v>
      </c>
      <c r="S1507" s="164" t="s">
        <v>575</v>
      </c>
      <c r="T1507" s="165">
        <v>322</v>
      </c>
      <c r="U1507" s="164" t="s">
        <v>2494</v>
      </c>
      <c r="V1507" s="164" t="s">
        <v>2495</v>
      </c>
      <c r="W1507" s="165">
        <v>4</v>
      </c>
      <c r="X1507" s="165">
        <v>2</v>
      </c>
      <c r="Y1507" s="164" t="s">
        <v>194</v>
      </c>
      <c r="Z1507" s="164" t="s">
        <v>195</v>
      </c>
      <c r="AA1507" s="164" t="s">
        <v>196</v>
      </c>
      <c r="AB1507" s="164" t="s">
        <v>187</v>
      </c>
      <c r="AC1507" s="164" t="s">
        <v>187</v>
      </c>
      <c r="AD1507" s="165">
        <v>36</v>
      </c>
      <c r="AE1507" s="164" t="s">
        <v>209</v>
      </c>
      <c r="AF1507" s="165">
        <v>22.053439999999998</v>
      </c>
      <c r="AG1507" s="166">
        <v>105.85588</v>
      </c>
      <c r="AO1507" s="121"/>
      <c r="AT1507" s="111"/>
      <c r="AX1507" s="121"/>
    </row>
    <row r="1508" spans="1:50" s="110" customFormat="1" ht="20" customHeight="1">
      <c r="A1508" s="125" t="s">
        <v>480</v>
      </c>
      <c r="B1508" s="126" t="s">
        <v>63</v>
      </c>
      <c r="C1508" s="127">
        <v>14065</v>
      </c>
      <c r="D1508" s="163">
        <v>107510</v>
      </c>
      <c r="E1508" s="164" t="s">
        <v>2492</v>
      </c>
      <c r="F1508" s="164" t="s">
        <v>2492</v>
      </c>
      <c r="G1508" s="165">
        <v>1085000</v>
      </c>
      <c r="H1508" s="165">
        <v>1</v>
      </c>
      <c r="I1508" s="164" t="s">
        <v>187</v>
      </c>
      <c r="J1508" s="164" t="s">
        <v>2493</v>
      </c>
      <c r="K1508" s="164" t="s">
        <v>2492</v>
      </c>
      <c r="L1508" s="165">
        <v>3</v>
      </c>
      <c r="M1508" s="165">
        <v>4</v>
      </c>
      <c r="N1508" s="164" t="s">
        <v>1548</v>
      </c>
      <c r="O1508" s="165">
        <v>1</v>
      </c>
      <c r="P1508" s="165">
        <v>0.152</v>
      </c>
      <c r="Q1508" s="165">
        <v>20</v>
      </c>
      <c r="R1508" s="164" t="s">
        <v>574</v>
      </c>
      <c r="S1508" s="164" t="s">
        <v>575</v>
      </c>
      <c r="T1508" s="165">
        <v>322</v>
      </c>
      <c r="U1508" s="164" t="s">
        <v>2494</v>
      </c>
      <c r="V1508" s="164" t="s">
        <v>2495</v>
      </c>
      <c r="W1508" s="165">
        <v>2</v>
      </c>
      <c r="X1508" s="165">
        <v>2</v>
      </c>
      <c r="Y1508" s="164" t="s">
        <v>194</v>
      </c>
      <c r="Z1508" s="164" t="s">
        <v>195</v>
      </c>
      <c r="AA1508" s="164" t="s">
        <v>196</v>
      </c>
      <c r="AB1508" s="164" t="s">
        <v>187</v>
      </c>
      <c r="AC1508" s="164" t="s">
        <v>187</v>
      </c>
      <c r="AD1508" s="165">
        <v>22</v>
      </c>
      <c r="AE1508" s="164" t="s">
        <v>209</v>
      </c>
      <c r="AF1508" s="165">
        <v>22.50666</v>
      </c>
      <c r="AG1508" s="166">
        <v>106.48817</v>
      </c>
      <c r="AO1508" s="121"/>
      <c r="AT1508" s="111"/>
      <c r="AX1508" s="121"/>
    </row>
    <row r="1509" spans="1:50" s="110" customFormat="1" ht="20" customHeight="1">
      <c r="A1509" s="125" t="s">
        <v>480</v>
      </c>
      <c r="B1509" s="126" t="s">
        <v>63</v>
      </c>
      <c r="C1509" s="127">
        <v>19687</v>
      </c>
      <c r="D1509" s="163">
        <v>115007</v>
      </c>
      <c r="E1509" s="164" t="s">
        <v>4808</v>
      </c>
      <c r="F1509" s="164" t="s">
        <v>4808</v>
      </c>
      <c r="G1509" s="165">
        <v>420000</v>
      </c>
      <c r="H1509" s="165">
        <v>1</v>
      </c>
      <c r="I1509" s="164" t="s">
        <v>187</v>
      </c>
      <c r="J1509" s="164" t="s">
        <v>4809</v>
      </c>
      <c r="K1509" s="164" t="s">
        <v>4808</v>
      </c>
      <c r="L1509" s="165">
        <v>1</v>
      </c>
      <c r="M1509" s="165">
        <v>4</v>
      </c>
      <c r="N1509" s="164" t="s">
        <v>1548</v>
      </c>
      <c r="O1509" s="165">
        <v>0.2</v>
      </c>
      <c r="P1509" s="165">
        <v>0.14199999999999999</v>
      </c>
      <c r="Q1509" s="165">
        <v>20</v>
      </c>
      <c r="R1509" s="164" t="s">
        <v>574</v>
      </c>
      <c r="S1509" s="164" t="s">
        <v>575</v>
      </c>
      <c r="T1509" s="165">
        <v>322</v>
      </c>
      <c r="U1509" s="164" t="s">
        <v>2494</v>
      </c>
      <c r="V1509" s="164" t="s">
        <v>2495</v>
      </c>
      <c r="W1509" s="165">
        <v>2</v>
      </c>
      <c r="X1509" s="165">
        <v>2</v>
      </c>
      <c r="Y1509" s="164" t="s">
        <v>194</v>
      </c>
      <c r="Z1509" s="164" t="s">
        <v>195</v>
      </c>
      <c r="AA1509" s="164" t="s">
        <v>196</v>
      </c>
      <c r="AB1509" s="164" t="s">
        <v>187</v>
      </c>
      <c r="AC1509" s="164" t="s">
        <v>209</v>
      </c>
      <c r="AD1509" s="165">
        <v>8</v>
      </c>
      <c r="AE1509" s="164" t="s">
        <v>209</v>
      </c>
      <c r="AF1509" s="165">
        <v>21.844618000000001</v>
      </c>
      <c r="AG1509" s="166">
        <v>106.704441</v>
      </c>
      <c r="AO1509" s="121"/>
      <c r="AT1509" s="111"/>
      <c r="AX1509" s="121"/>
    </row>
    <row r="1510" spans="1:50" s="110" customFormat="1" ht="20" customHeight="1">
      <c r="A1510" s="125" t="s">
        <v>480</v>
      </c>
      <c r="B1510" s="126" t="s">
        <v>63</v>
      </c>
      <c r="C1510" s="127">
        <v>18740</v>
      </c>
      <c r="D1510" s="163">
        <v>115006</v>
      </c>
      <c r="E1510" s="164" t="s">
        <v>3780</v>
      </c>
      <c r="F1510" s="164" t="s">
        <v>3780</v>
      </c>
      <c r="G1510" s="165">
        <v>12000</v>
      </c>
      <c r="H1510" s="165">
        <v>1</v>
      </c>
      <c r="I1510" s="164" t="s">
        <v>187</v>
      </c>
      <c r="J1510" s="164" t="s">
        <v>3781</v>
      </c>
      <c r="K1510" s="164" t="s">
        <v>3780</v>
      </c>
      <c r="L1510" s="165">
        <v>0</v>
      </c>
      <c r="M1510" s="165">
        <v>4</v>
      </c>
      <c r="N1510" s="164" t="s">
        <v>1548</v>
      </c>
      <c r="O1510" s="165">
        <v>0.2</v>
      </c>
      <c r="P1510" s="165">
        <v>0.16</v>
      </c>
      <c r="Q1510" s="165">
        <v>20</v>
      </c>
      <c r="R1510" s="164" t="s">
        <v>574</v>
      </c>
      <c r="S1510" s="164" t="s">
        <v>575</v>
      </c>
      <c r="T1510" s="165">
        <v>322</v>
      </c>
      <c r="U1510" s="164" t="s">
        <v>2494</v>
      </c>
      <c r="V1510" s="164" t="s">
        <v>2495</v>
      </c>
      <c r="W1510" s="165">
        <v>2</v>
      </c>
      <c r="X1510" s="165">
        <v>2</v>
      </c>
      <c r="Y1510" s="164" t="s">
        <v>194</v>
      </c>
      <c r="Z1510" s="164" t="s">
        <v>195</v>
      </c>
      <c r="AA1510" s="164" t="s">
        <v>196</v>
      </c>
      <c r="AB1510" s="164" t="s">
        <v>187</v>
      </c>
      <c r="AC1510" s="164" t="s">
        <v>209</v>
      </c>
      <c r="AD1510" s="165">
        <v>1</v>
      </c>
      <c r="AE1510" s="164" t="s">
        <v>209</v>
      </c>
      <c r="AF1510" s="165">
        <v>22.679487999999999</v>
      </c>
      <c r="AG1510" s="166">
        <v>106.31394899999999</v>
      </c>
      <c r="AO1510" s="121"/>
      <c r="AT1510" s="111"/>
      <c r="AX1510" s="121"/>
    </row>
    <row r="1511" spans="1:50" s="110" customFormat="1" ht="20" customHeight="1">
      <c r="A1511" s="125" t="s">
        <v>480</v>
      </c>
      <c r="B1511" s="126" t="s">
        <v>63</v>
      </c>
      <c r="C1511" s="127">
        <v>19686</v>
      </c>
      <c r="D1511" s="163">
        <v>115003</v>
      </c>
      <c r="E1511" s="164" t="s">
        <v>4913</v>
      </c>
      <c r="F1511" s="164" t="s">
        <v>4913</v>
      </c>
      <c r="G1511" s="168"/>
      <c r="H1511" s="165">
        <v>1</v>
      </c>
      <c r="I1511" s="164" t="s">
        <v>187</v>
      </c>
      <c r="J1511" s="164" t="s">
        <v>4914</v>
      </c>
      <c r="K1511" s="164" t="s">
        <v>4913</v>
      </c>
      <c r="L1511" s="165">
        <v>1</v>
      </c>
      <c r="M1511" s="165">
        <v>4</v>
      </c>
      <c r="N1511" s="164" t="s">
        <v>1548</v>
      </c>
      <c r="O1511" s="165">
        <v>0.2</v>
      </c>
      <c r="P1511" s="165">
        <v>0.14000000000000001</v>
      </c>
      <c r="Q1511" s="165">
        <v>20</v>
      </c>
      <c r="R1511" s="164" t="s">
        <v>574</v>
      </c>
      <c r="S1511" s="164" t="s">
        <v>575</v>
      </c>
      <c r="T1511" s="165">
        <v>322</v>
      </c>
      <c r="U1511" s="164" t="s">
        <v>2494</v>
      </c>
      <c r="V1511" s="164" t="s">
        <v>2495</v>
      </c>
      <c r="W1511" s="165">
        <v>2</v>
      </c>
      <c r="X1511" s="165">
        <v>2</v>
      </c>
      <c r="Y1511" s="164" t="s">
        <v>194</v>
      </c>
      <c r="Z1511" s="164" t="s">
        <v>195</v>
      </c>
      <c r="AA1511" s="164" t="s">
        <v>196</v>
      </c>
      <c r="AB1511" s="164" t="s">
        <v>187</v>
      </c>
      <c r="AC1511" s="164" t="s">
        <v>209</v>
      </c>
      <c r="AD1511" s="168"/>
      <c r="AE1511" s="164" t="s">
        <v>209</v>
      </c>
      <c r="AF1511" s="165">
        <v>22.902771000000001</v>
      </c>
      <c r="AG1511" s="166">
        <v>106.0746</v>
      </c>
      <c r="AO1511" s="121"/>
      <c r="AT1511" s="111"/>
      <c r="AX1511" s="121"/>
    </row>
    <row r="1512" spans="1:50" s="110" customFormat="1" ht="20" customHeight="1">
      <c r="A1512" s="125" t="s">
        <v>185</v>
      </c>
      <c r="B1512" s="126" t="s">
        <v>59</v>
      </c>
      <c r="C1512" s="127">
        <v>10606</v>
      </c>
      <c r="D1512" s="163">
        <v>100850</v>
      </c>
      <c r="E1512" s="164" t="s">
        <v>3289</v>
      </c>
      <c r="F1512" s="164" t="s">
        <v>3289</v>
      </c>
      <c r="G1512" s="165">
        <v>4095000</v>
      </c>
      <c r="H1512" s="165">
        <v>1</v>
      </c>
      <c r="I1512" s="164" t="s">
        <v>187</v>
      </c>
      <c r="J1512" s="164" t="s">
        <v>3290</v>
      </c>
      <c r="K1512" s="164" t="s">
        <v>3291</v>
      </c>
      <c r="L1512" s="165">
        <v>5</v>
      </c>
      <c r="M1512" s="165">
        <v>5</v>
      </c>
      <c r="N1512" s="164" t="s">
        <v>1577</v>
      </c>
      <c r="O1512" s="165">
        <v>1.26</v>
      </c>
      <c r="P1512" s="165">
        <v>0.156</v>
      </c>
      <c r="Q1512" s="165">
        <v>17</v>
      </c>
      <c r="R1512" s="164" t="s">
        <v>190</v>
      </c>
      <c r="S1512" s="164" t="s">
        <v>191</v>
      </c>
      <c r="T1512" s="165">
        <v>128</v>
      </c>
      <c r="U1512" s="164" t="s">
        <v>1017</v>
      </c>
      <c r="V1512" s="164" t="s">
        <v>1018</v>
      </c>
      <c r="W1512" s="165">
        <v>2</v>
      </c>
      <c r="X1512" s="165">
        <v>2</v>
      </c>
      <c r="Y1512" s="164" t="s">
        <v>194</v>
      </c>
      <c r="Z1512" s="164" t="s">
        <v>195</v>
      </c>
      <c r="AA1512" s="164" t="s">
        <v>196</v>
      </c>
      <c r="AB1512" s="164" t="s">
        <v>187</v>
      </c>
      <c r="AC1512" s="164" t="s">
        <v>187</v>
      </c>
      <c r="AD1512" s="165">
        <v>82</v>
      </c>
      <c r="AE1512" s="164" t="s">
        <v>209</v>
      </c>
      <c r="AF1512" s="165">
        <v>-8.3571400004107108</v>
      </c>
      <c r="AG1512" s="166">
        <v>115.074960000304</v>
      </c>
      <c r="AO1512" s="121"/>
      <c r="AT1512" s="111"/>
      <c r="AX1512" s="121"/>
    </row>
    <row r="1513" spans="1:50" s="110" customFormat="1" ht="20" customHeight="1">
      <c r="A1513" s="125" t="s">
        <v>185</v>
      </c>
      <c r="B1513" s="126" t="s">
        <v>59</v>
      </c>
      <c r="C1513" s="127">
        <v>20285</v>
      </c>
      <c r="D1513" s="163">
        <v>116015</v>
      </c>
      <c r="E1513" s="164" t="s">
        <v>4468</v>
      </c>
      <c r="F1513" s="164" t="s">
        <v>4468</v>
      </c>
      <c r="G1513" s="165">
        <v>61000</v>
      </c>
      <c r="H1513" s="165">
        <v>1</v>
      </c>
      <c r="I1513" s="164" t="s">
        <v>187</v>
      </c>
      <c r="J1513" s="164" t="s">
        <v>3290</v>
      </c>
      <c r="K1513" s="164" t="s">
        <v>3291</v>
      </c>
      <c r="L1513" s="165">
        <v>5</v>
      </c>
      <c r="M1513" s="165">
        <v>5</v>
      </c>
      <c r="N1513" s="164" t="s">
        <v>1577</v>
      </c>
      <c r="O1513" s="165">
        <v>0.15</v>
      </c>
      <c r="P1513" s="165">
        <v>0.15</v>
      </c>
      <c r="Q1513" s="165">
        <v>17</v>
      </c>
      <c r="R1513" s="164" t="s">
        <v>190</v>
      </c>
      <c r="S1513" s="164" t="s">
        <v>191</v>
      </c>
      <c r="T1513" s="165">
        <v>128</v>
      </c>
      <c r="U1513" s="164" t="s">
        <v>1017</v>
      </c>
      <c r="V1513" s="164" t="s">
        <v>1018</v>
      </c>
      <c r="W1513" s="165">
        <v>1</v>
      </c>
      <c r="X1513" s="165">
        <v>2</v>
      </c>
      <c r="Y1513" s="164" t="s">
        <v>194</v>
      </c>
      <c r="Z1513" s="164" t="s">
        <v>195</v>
      </c>
      <c r="AA1513" s="164" t="s">
        <v>196</v>
      </c>
      <c r="AB1513" s="164" t="s">
        <v>187</v>
      </c>
      <c r="AC1513" s="164" t="s">
        <v>187</v>
      </c>
      <c r="AD1513" s="165">
        <v>1</v>
      </c>
      <c r="AE1513" s="164" t="s">
        <v>209</v>
      </c>
      <c r="AF1513" s="165">
        <v>-8.6863080000000004</v>
      </c>
      <c r="AG1513" s="166">
        <v>115.53928500000001</v>
      </c>
      <c r="AO1513" s="121"/>
      <c r="AT1513" s="111"/>
      <c r="AX1513" s="121"/>
    </row>
    <row r="1514" spans="1:50" s="110" customFormat="1" ht="20" customHeight="1">
      <c r="A1514" s="125" t="s">
        <v>237</v>
      </c>
      <c r="B1514" s="126" t="s">
        <v>60</v>
      </c>
      <c r="C1514" s="127">
        <v>10606</v>
      </c>
      <c r="D1514" s="163">
        <v>100850</v>
      </c>
      <c r="E1514" s="164" t="s">
        <v>3289</v>
      </c>
      <c r="F1514" s="164" t="s">
        <v>3289</v>
      </c>
      <c r="G1514" s="165">
        <v>5900</v>
      </c>
      <c r="H1514" s="165">
        <v>1</v>
      </c>
      <c r="I1514" s="164" t="s">
        <v>187</v>
      </c>
      <c r="J1514" s="164" t="s">
        <v>3290</v>
      </c>
      <c r="K1514" s="164" t="s">
        <v>3291</v>
      </c>
      <c r="L1514" s="165">
        <v>5</v>
      </c>
      <c r="M1514" s="165">
        <v>5</v>
      </c>
      <c r="N1514" s="164" t="s">
        <v>1577</v>
      </c>
      <c r="O1514" s="165">
        <v>0</v>
      </c>
      <c r="P1514" s="165">
        <v>0</v>
      </c>
      <c r="Q1514" s="165">
        <v>17</v>
      </c>
      <c r="R1514" s="164" t="s">
        <v>190</v>
      </c>
      <c r="S1514" s="164" t="s">
        <v>191</v>
      </c>
      <c r="T1514" s="165">
        <v>128</v>
      </c>
      <c r="U1514" s="164" t="s">
        <v>1017</v>
      </c>
      <c r="V1514" s="164" t="s">
        <v>1018</v>
      </c>
      <c r="W1514" s="165">
        <v>2</v>
      </c>
      <c r="X1514" s="165">
        <v>2</v>
      </c>
      <c r="Y1514" s="164" t="s">
        <v>194</v>
      </c>
      <c r="Z1514" s="164" t="s">
        <v>195</v>
      </c>
      <c r="AA1514" s="164" t="s">
        <v>196</v>
      </c>
      <c r="AB1514" s="164" t="s">
        <v>187</v>
      </c>
      <c r="AC1514" s="164" t="s">
        <v>209</v>
      </c>
      <c r="AD1514" s="165">
        <v>1</v>
      </c>
      <c r="AE1514" s="164" t="s">
        <v>187</v>
      </c>
      <c r="AF1514" s="165">
        <v>1.4938350428529401</v>
      </c>
      <c r="AG1514" s="166">
        <v>103.75903932110801</v>
      </c>
      <c r="AO1514" s="121"/>
      <c r="AT1514" s="111"/>
      <c r="AX1514" s="121"/>
    </row>
    <row r="1515" spans="1:50" s="110" customFormat="1" ht="20" customHeight="1">
      <c r="A1515" s="125" t="s">
        <v>480</v>
      </c>
      <c r="B1515" s="126" t="s">
        <v>63</v>
      </c>
      <c r="C1515" s="127">
        <v>11688</v>
      </c>
      <c r="D1515" s="163">
        <v>102836</v>
      </c>
      <c r="E1515" s="164" t="s">
        <v>4572</v>
      </c>
      <c r="F1515" s="164" t="s">
        <v>4572</v>
      </c>
      <c r="G1515" s="165">
        <v>86000</v>
      </c>
      <c r="H1515" s="165">
        <v>1</v>
      </c>
      <c r="I1515" s="164" t="s">
        <v>187</v>
      </c>
      <c r="J1515" s="164" t="s">
        <v>4573</v>
      </c>
      <c r="K1515" s="164" t="s">
        <v>4572</v>
      </c>
      <c r="L1515" s="165">
        <v>4</v>
      </c>
      <c r="M1515" s="165">
        <v>5</v>
      </c>
      <c r="N1515" s="164" t="s">
        <v>1577</v>
      </c>
      <c r="O1515" s="165">
        <v>5</v>
      </c>
      <c r="P1515" s="165">
        <v>1.1000000000000001</v>
      </c>
      <c r="Q1515" s="165">
        <v>20</v>
      </c>
      <c r="R1515" s="164" t="s">
        <v>574</v>
      </c>
      <c r="S1515" s="164" t="s">
        <v>575</v>
      </c>
      <c r="T1515" s="165">
        <v>160</v>
      </c>
      <c r="U1515" s="164" t="s">
        <v>576</v>
      </c>
      <c r="V1515" s="164" t="s">
        <v>577</v>
      </c>
      <c r="W1515" s="165">
        <v>2</v>
      </c>
      <c r="X1515" s="165">
        <v>2</v>
      </c>
      <c r="Y1515" s="164" t="s">
        <v>194</v>
      </c>
      <c r="Z1515" s="164" t="s">
        <v>195</v>
      </c>
      <c r="AA1515" s="164" t="s">
        <v>196</v>
      </c>
      <c r="AB1515" s="164" t="s">
        <v>187</v>
      </c>
      <c r="AC1515" s="164" t="s">
        <v>187</v>
      </c>
      <c r="AD1515" s="165">
        <v>2</v>
      </c>
      <c r="AE1515" s="164" t="s">
        <v>209</v>
      </c>
      <c r="AF1515" s="165">
        <v>11.285280000171801</v>
      </c>
      <c r="AG1515" s="166">
        <v>108.490120000338</v>
      </c>
      <c r="AO1515" s="121"/>
      <c r="AT1515" s="111"/>
      <c r="AX1515" s="121"/>
    </row>
    <row r="1516" spans="1:50" s="110" customFormat="1" ht="20" customHeight="1">
      <c r="A1516" s="125" t="s">
        <v>185</v>
      </c>
      <c r="B1516" s="126" t="s">
        <v>59</v>
      </c>
      <c r="C1516" s="127">
        <v>15341</v>
      </c>
      <c r="D1516" s="163">
        <v>109949</v>
      </c>
      <c r="E1516" s="164" t="s">
        <v>4577</v>
      </c>
      <c r="F1516" s="164" t="s">
        <v>4577</v>
      </c>
      <c r="G1516" s="165">
        <v>90000</v>
      </c>
      <c r="H1516" s="165">
        <v>1</v>
      </c>
      <c r="I1516" s="164" t="s">
        <v>187</v>
      </c>
      <c r="J1516" s="164" t="s">
        <v>4578</v>
      </c>
      <c r="K1516" s="164" t="s">
        <v>4577</v>
      </c>
      <c r="L1516" s="165">
        <v>3</v>
      </c>
      <c r="M1516" s="165">
        <v>5</v>
      </c>
      <c r="N1516" s="164" t="s">
        <v>1577</v>
      </c>
      <c r="O1516" s="165">
        <v>1</v>
      </c>
      <c r="P1516" s="165">
        <v>0.51100000000000001</v>
      </c>
      <c r="Q1516" s="165">
        <v>17</v>
      </c>
      <c r="R1516" s="164" t="s">
        <v>190</v>
      </c>
      <c r="S1516" s="164" t="s">
        <v>191</v>
      </c>
      <c r="T1516" s="165">
        <v>196</v>
      </c>
      <c r="U1516" s="164" t="s">
        <v>842</v>
      </c>
      <c r="V1516" s="164" t="s">
        <v>843</v>
      </c>
      <c r="W1516" s="165">
        <v>1</v>
      </c>
      <c r="X1516" s="165">
        <v>2</v>
      </c>
      <c r="Y1516" s="164" t="s">
        <v>194</v>
      </c>
      <c r="Z1516" s="164" t="s">
        <v>195</v>
      </c>
      <c r="AA1516" s="164" t="s">
        <v>196</v>
      </c>
      <c r="AB1516" s="164" t="s">
        <v>187</v>
      </c>
      <c r="AC1516" s="164" t="s">
        <v>187</v>
      </c>
      <c r="AD1516" s="165">
        <v>2</v>
      </c>
      <c r="AE1516" s="164" t="s">
        <v>209</v>
      </c>
      <c r="AF1516" s="165">
        <v>-7.8934699999999998</v>
      </c>
      <c r="AG1516" s="166">
        <v>113.04264999999999</v>
      </c>
      <c r="AO1516" s="121"/>
      <c r="AT1516" s="111"/>
      <c r="AX1516" s="121"/>
    </row>
    <row r="1517" spans="1:50" s="110" customFormat="1" ht="20" customHeight="1">
      <c r="A1517" s="125" t="s">
        <v>370</v>
      </c>
      <c r="B1517" s="126" t="s">
        <v>58</v>
      </c>
      <c r="C1517" s="127">
        <v>19211</v>
      </c>
      <c r="D1517" s="145">
        <v>115527</v>
      </c>
      <c r="E1517" s="146" t="s">
        <v>2614</v>
      </c>
      <c r="F1517" s="146" t="s">
        <v>2614</v>
      </c>
      <c r="G1517" s="147">
        <v>5200</v>
      </c>
      <c r="H1517" s="147">
        <v>4</v>
      </c>
      <c r="I1517" s="146" t="s">
        <v>209</v>
      </c>
      <c r="J1517" s="146" t="s">
        <v>2228</v>
      </c>
      <c r="K1517" s="146" t="s">
        <v>2229</v>
      </c>
      <c r="L1517" s="147">
        <v>5</v>
      </c>
      <c r="M1517" s="147">
        <v>5</v>
      </c>
      <c r="N1517" s="146" t="s">
        <v>1577</v>
      </c>
      <c r="O1517" s="147">
        <v>14</v>
      </c>
      <c r="P1517" s="147">
        <v>3</v>
      </c>
      <c r="Q1517" s="147">
        <v>21</v>
      </c>
      <c r="R1517" s="146" t="s">
        <v>200</v>
      </c>
      <c r="S1517" s="146" t="s">
        <v>201</v>
      </c>
      <c r="T1517" s="147">
        <v>468</v>
      </c>
      <c r="U1517" s="146" t="s">
        <v>200</v>
      </c>
      <c r="V1517" s="146" t="s">
        <v>503</v>
      </c>
      <c r="W1517" s="147">
        <v>59</v>
      </c>
      <c r="X1517" s="147">
        <v>2</v>
      </c>
      <c r="Y1517" s="146" t="s">
        <v>194</v>
      </c>
      <c r="Z1517" s="146" t="s">
        <v>195</v>
      </c>
      <c r="AA1517" s="146" t="s">
        <v>196</v>
      </c>
      <c r="AB1517" s="146" t="s">
        <v>187</v>
      </c>
      <c r="AC1517" s="146" t="s">
        <v>209</v>
      </c>
      <c r="AD1517" s="148"/>
      <c r="AE1517" s="146" t="s">
        <v>209</v>
      </c>
      <c r="AF1517" s="147">
        <v>4.9125562302858201</v>
      </c>
      <c r="AG1517" s="149">
        <v>114.928238344224</v>
      </c>
      <c r="AO1517" s="121"/>
      <c r="AT1517" s="111"/>
      <c r="AX1517" s="121"/>
    </row>
    <row r="1518" spans="1:50" s="110" customFormat="1" ht="20" customHeight="1">
      <c r="A1518" s="125" t="s">
        <v>483</v>
      </c>
      <c r="B1518" s="126" t="s">
        <v>55</v>
      </c>
      <c r="C1518" s="127">
        <v>19211</v>
      </c>
      <c r="D1518" s="157">
        <v>115527</v>
      </c>
      <c r="E1518" s="158" t="s">
        <v>2614</v>
      </c>
      <c r="F1518" s="158" t="s">
        <v>2614</v>
      </c>
      <c r="G1518" s="159">
        <v>1700</v>
      </c>
      <c r="H1518" s="159">
        <v>2</v>
      </c>
      <c r="I1518" s="158" t="s">
        <v>209</v>
      </c>
      <c r="J1518" s="158" t="s">
        <v>2228</v>
      </c>
      <c r="K1518" s="158" t="s">
        <v>2229</v>
      </c>
      <c r="L1518" s="159">
        <v>5</v>
      </c>
      <c r="M1518" s="159">
        <v>5</v>
      </c>
      <c r="N1518" s="158" t="s">
        <v>1577</v>
      </c>
      <c r="O1518" s="159">
        <v>9</v>
      </c>
      <c r="P1518" s="159">
        <v>2</v>
      </c>
      <c r="Q1518" s="159">
        <v>21</v>
      </c>
      <c r="R1518" s="158" t="s">
        <v>200</v>
      </c>
      <c r="S1518" s="158" t="s">
        <v>201</v>
      </c>
      <c r="T1518" s="159">
        <v>468</v>
      </c>
      <c r="U1518" s="158" t="s">
        <v>200</v>
      </c>
      <c r="V1518" s="158" t="s">
        <v>503</v>
      </c>
      <c r="W1518" s="159">
        <v>59</v>
      </c>
      <c r="X1518" s="159">
        <v>2</v>
      </c>
      <c r="Y1518" s="158" t="s">
        <v>194</v>
      </c>
      <c r="Z1518" s="158" t="s">
        <v>195</v>
      </c>
      <c r="AA1518" s="158" t="s">
        <v>196</v>
      </c>
      <c r="AB1518" s="158" t="s">
        <v>187</v>
      </c>
      <c r="AC1518" s="158" t="s">
        <v>209</v>
      </c>
      <c r="AD1518" s="160"/>
      <c r="AE1518" s="158" t="s">
        <v>209</v>
      </c>
      <c r="AF1518" s="159">
        <v>11.491728999999999</v>
      </c>
      <c r="AG1518" s="161">
        <v>104.951697</v>
      </c>
      <c r="AO1518" s="121"/>
      <c r="AT1518" s="111"/>
      <c r="AX1518" s="121"/>
    </row>
    <row r="1519" spans="1:50" s="110" customFormat="1" ht="20" customHeight="1">
      <c r="A1519" s="125" t="s">
        <v>185</v>
      </c>
      <c r="B1519" s="126" t="s">
        <v>59</v>
      </c>
      <c r="C1519" s="127">
        <v>12106</v>
      </c>
      <c r="D1519" s="163">
        <v>103789</v>
      </c>
      <c r="E1519" s="164" t="s">
        <v>2229</v>
      </c>
      <c r="F1519" s="164" t="s">
        <v>4582</v>
      </c>
      <c r="G1519" s="165">
        <v>91000</v>
      </c>
      <c r="H1519" s="165">
        <v>1</v>
      </c>
      <c r="I1519" s="164" t="s">
        <v>187</v>
      </c>
      <c r="J1519" s="164" t="s">
        <v>2228</v>
      </c>
      <c r="K1519" s="164" t="s">
        <v>2229</v>
      </c>
      <c r="L1519" s="165">
        <v>5</v>
      </c>
      <c r="M1519" s="165">
        <v>5</v>
      </c>
      <c r="N1519" s="164" t="s">
        <v>1577</v>
      </c>
      <c r="O1519" s="165">
        <v>0.5</v>
      </c>
      <c r="P1519" s="165">
        <v>0.2</v>
      </c>
      <c r="Q1519" s="165">
        <v>21</v>
      </c>
      <c r="R1519" s="164" t="s">
        <v>200</v>
      </c>
      <c r="S1519" s="164" t="s">
        <v>201</v>
      </c>
      <c r="T1519" s="165">
        <v>468</v>
      </c>
      <c r="U1519" s="164" t="s">
        <v>200</v>
      </c>
      <c r="V1519" s="164" t="s">
        <v>503</v>
      </c>
      <c r="W1519" s="165">
        <v>16</v>
      </c>
      <c r="X1519" s="165">
        <v>2</v>
      </c>
      <c r="Y1519" s="164" t="s">
        <v>194</v>
      </c>
      <c r="Z1519" s="164" t="s">
        <v>195</v>
      </c>
      <c r="AA1519" s="164" t="s">
        <v>196</v>
      </c>
      <c r="AB1519" s="164" t="s">
        <v>187</v>
      </c>
      <c r="AC1519" s="164" t="s">
        <v>187</v>
      </c>
      <c r="AD1519" s="165">
        <v>2</v>
      </c>
      <c r="AE1519" s="164" t="s">
        <v>209</v>
      </c>
      <c r="AF1519" s="165">
        <v>-6.1746850000000002</v>
      </c>
      <c r="AG1519" s="166">
        <v>106.782961</v>
      </c>
      <c r="AO1519" s="121"/>
      <c r="AT1519" s="111"/>
      <c r="AX1519" s="121"/>
    </row>
    <row r="1520" spans="1:50" s="110" customFormat="1" ht="20" customHeight="1">
      <c r="A1520" s="125" t="s">
        <v>237</v>
      </c>
      <c r="B1520" s="126" t="s">
        <v>60</v>
      </c>
      <c r="C1520" s="127">
        <v>15324</v>
      </c>
      <c r="D1520" s="163">
        <v>109930</v>
      </c>
      <c r="E1520" s="164" t="s">
        <v>2140</v>
      </c>
      <c r="F1520" s="164" t="s">
        <v>2140</v>
      </c>
      <c r="G1520" s="165">
        <v>117000</v>
      </c>
      <c r="H1520" s="165">
        <v>1</v>
      </c>
      <c r="I1520" s="164" t="s">
        <v>187</v>
      </c>
      <c r="J1520" s="164" t="s">
        <v>2139</v>
      </c>
      <c r="K1520" s="164" t="s">
        <v>2140</v>
      </c>
      <c r="L1520" s="165">
        <v>5</v>
      </c>
      <c r="M1520" s="165">
        <v>5</v>
      </c>
      <c r="N1520" s="164" t="s">
        <v>1577</v>
      </c>
      <c r="O1520" s="165">
        <v>4</v>
      </c>
      <c r="P1520" s="165">
        <v>1.5</v>
      </c>
      <c r="Q1520" s="165">
        <v>21</v>
      </c>
      <c r="R1520" s="164" t="s">
        <v>200</v>
      </c>
      <c r="S1520" s="164" t="s">
        <v>201</v>
      </c>
      <c r="T1520" s="165">
        <v>468</v>
      </c>
      <c r="U1520" s="164" t="s">
        <v>200</v>
      </c>
      <c r="V1520" s="164" t="s">
        <v>503</v>
      </c>
      <c r="W1520" s="165">
        <v>11</v>
      </c>
      <c r="X1520" s="165">
        <v>2</v>
      </c>
      <c r="Y1520" s="164" t="s">
        <v>194</v>
      </c>
      <c r="Z1520" s="164" t="s">
        <v>195</v>
      </c>
      <c r="AA1520" s="164" t="s">
        <v>196</v>
      </c>
      <c r="AB1520" s="164" t="s">
        <v>187</v>
      </c>
      <c r="AC1520" s="164" t="s">
        <v>209</v>
      </c>
      <c r="AD1520" s="165">
        <v>2</v>
      </c>
      <c r="AE1520" s="164" t="s">
        <v>209</v>
      </c>
      <c r="AF1520" s="165">
        <v>3.1157176953153698</v>
      </c>
      <c r="AG1520" s="166">
        <v>101.638543528561</v>
      </c>
      <c r="AO1520" s="121"/>
      <c r="AT1520" s="111"/>
      <c r="AX1520" s="121"/>
    </row>
    <row r="1521" spans="1:50" s="110" customFormat="1" ht="20" customHeight="1">
      <c r="A1521" s="125" t="s">
        <v>237</v>
      </c>
      <c r="B1521" s="126" t="s">
        <v>60</v>
      </c>
      <c r="C1521" s="127">
        <v>12106</v>
      </c>
      <c r="D1521" s="163">
        <v>103789</v>
      </c>
      <c r="E1521" s="164" t="s">
        <v>2229</v>
      </c>
      <c r="F1521" s="164" t="s">
        <v>2229</v>
      </c>
      <c r="G1521" s="165">
        <v>59000</v>
      </c>
      <c r="H1521" s="165">
        <v>1</v>
      </c>
      <c r="I1521" s="164" t="s">
        <v>187</v>
      </c>
      <c r="J1521" s="164" t="s">
        <v>2228</v>
      </c>
      <c r="K1521" s="164" t="s">
        <v>2229</v>
      </c>
      <c r="L1521" s="165">
        <v>5</v>
      </c>
      <c r="M1521" s="165">
        <v>5</v>
      </c>
      <c r="N1521" s="164" t="s">
        <v>1577</v>
      </c>
      <c r="O1521" s="165">
        <v>0</v>
      </c>
      <c r="P1521" s="165">
        <v>0</v>
      </c>
      <c r="Q1521" s="165">
        <v>21</v>
      </c>
      <c r="R1521" s="164" t="s">
        <v>200</v>
      </c>
      <c r="S1521" s="164" t="s">
        <v>201</v>
      </c>
      <c r="T1521" s="165">
        <v>468</v>
      </c>
      <c r="U1521" s="164" t="s">
        <v>200</v>
      </c>
      <c r="V1521" s="164" t="s">
        <v>503</v>
      </c>
      <c r="W1521" s="165">
        <v>16</v>
      </c>
      <c r="X1521" s="165">
        <v>2</v>
      </c>
      <c r="Y1521" s="164" t="s">
        <v>194</v>
      </c>
      <c r="Z1521" s="164" t="s">
        <v>195</v>
      </c>
      <c r="AA1521" s="164" t="s">
        <v>196</v>
      </c>
      <c r="AB1521" s="164" t="s">
        <v>187</v>
      </c>
      <c r="AC1521" s="164" t="s">
        <v>209</v>
      </c>
      <c r="AD1521" s="165">
        <v>1</v>
      </c>
      <c r="AE1521" s="164" t="s">
        <v>187</v>
      </c>
      <c r="AF1521" s="165">
        <v>3.1390213382641199</v>
      </c>
      <c r="AG1521" s="166">
        <v>101.700278550715</v>
      </c>
      <c r="AO1521" s="121"/>
      <c r="AT1521" s="111"/>
      <c r="AX1521" s="121"/>
    </row>
    <row r="1522" spans="1:50" s="110" customFormat="1" ht="20" customHeight="1">
      <c r="A1522" s="125" t="s">
        <v>237</v>
      </c>
      <c r="B1522" s="126" t="s">
        <v>60</v>
      </c>
      <c r="C1522" s="127">
        <v>14192</v>
      </c>
      <c r="D1522" s="163">
        <v>109027</v>
      </c>
      <c r="E1522" s="164" t="s">
        <v>220</v>
      </c>
      <c r="F1522" s="164" t="s">
        <v>220</v>
      </c>
      <c r="G1522" s="165">
        <v>29000</v>
      </c>
      <c r="H1522" s="165">
        <v>1</v>
      </c>
      <c r="I1522" s="164" t="s">
        <v>187</v>
      </c>
      <c r="J1522" s="164" t="s">
        <v>219</v>
      </c>
      <c r="K1522" s="164" t="s">
        <v>220</v>
      </c>
      <c r="L1522" s="165">
        <v>5</v>
      </c>
      <c r="M1522" s="165">
        <v>5</v>
      </c>
      <c r="N1522" s="164" t="s">
        <v>1577</v>
      </c>
      <c r="O1522" s="165">
        <v>1</v>
      </c>
      <c r="P1522" s="165">
        <v>0</v>
      </c>
      <c r="Q1522" s="165">
        <v>21</v>
      </c>
      <c r="R1522" s="164" t="s">
        <v>200</v>
      </c>
      <c r="S1522" s="164" t="s">
        <v>201</v>
      </c>
      <c r="T1522" s="165">
        <v>468</v>
      </c>
      <c r="U1522" s="164" t="s">
        <v>200</v>
      </c>
      <c r="V1522" s="164" t="s">
        <v>503</v>
      </c>
      <c r="W1522" s="165">
        <v>8</v>
      </c>
      <c r="X1522" s="165">
        <v>2</v>
      </c>
      <c r="Y1522" s="164" t="s">
        <v>194</v>
      </c>
      <c r="Z1522" s="164" t="s">
        <v>195</v>
      </c>
      <c r="AA1522" s="164" t="s">
        <v>196</v>
      </c>
      <c r="AB1522" s="164" t="s">
        <v>187</v>
      </c>
      <c r="AC1522" s="164" t="s">
        <v>209</v>
      </c>
      <c r="AD1522" s="165">
        <v>1</v>
      </c>
      <c r="AE1522" s="164" t="s">
        <v>209</v>
      </c>
      <c r="AF1522" s="165">
        <v>3.0620472419865901</v>
      </c>
      <c r="AG1522" s="166">
        <v>101.71196039425701</v>
      </c>
      <c r="AO1522" s="121"/>
      <c r="AT1522" s="111"/>
      <c r="AX1522" s="121"/>
    </row>
    <row r="1523" spans="1:50" s="110" customFormat="1" ht="20" customHeight="1">
      <c r="A1523" s="125" t="s">
        <v>1620</v>
      </c>
      <c r="B1523" s="126" t="s">
        <v>61</v>
      </c>
      <c r="C1523" s="127">
        <v>12106</v>
      </c>
      <c r="D1523" s="163">
        <v>103789</v>
      </c>
      <c r="E1523" s="164" t="s">
        <v>2229</v>
      </c>
      <c r="F1523" s="164" t="s">
        <v>2229</v>
      </c>
      <c r="G1523" s="165">
        <v>130000</v>
      </c>
      <c r="H1523" s="165">
        <v>1</v>
      </c>
      <c r="I1523" s="164" t="s">
        <v>187</v>
      </c>
      <c r="J1523" s="164" t="s">
        <v>2228</v>
      </c>
      <c r="K1523" s="164" t="s">
        <v>2229</v>
      </c>
      <c r="L1523" s="165">
        <v>5</v>
      </c>
      <c r="M1523" s="165">
        <v>5</v>
      </c>
      <c r="N1523" s="164" t="s">
        <v>1577</v>
      </c>
      <c r="O1523" s="165">
        <v>0.7</v>
      </c>
      <c r="P1523" s="165">
        <v>0.25</v>
      </c>
      <c r="Q1523" s="165">
        <v>21</v>
      </c>
      <c r="R1523" s="164" t="s">
        <v>200</v>
      </c>
      <c r="S1523" s="164" t="s">
        <v>201</v>
      </c>
      <c r="T1523" s="165">
        <v>468</v>
      </c>
      <c r="U1523" s="164" t="s">
        <v>200</v>
      </c>
      <c r="V1523" s="164" t="s">
        <v>503</v>
      </c>
      <c r="W1523" s="165">
        <v>16</v>
      </c>
      <c r="X1523" s="165">
        <v>2</v>
      </c>
      <c r="Y1523" s="164" t="s">
        <v>194</v>
      </c>
      <c r="Z1523" s="164" t="s">
        <v>195</v>
      </c>
      <c r="AA1523" s="164" t="s">
        <v>196</v>
      </c>
      <c r="AB1523" s="164" t="s">
        <v>187</v>
      </c>
      <c r="AC1523" s="164" t="s">
        <v>187</v>
      </c>
      <c r="AD1523" s="165">
        <v>3</v>
      </c>
      <c r="AE1523" s="164" t="s">
        <v>209</v>
      </c>
      <c r="AF1523" s="165">
        <v>16.984008000269</v>
      </c>
      <c r="AG1523" s="166">
        <v>96.009663000247201</v>
      </c>
      <c r="AO1523" s="121"/>
      <c r="AT1523" s="111"/>
      <c r="AX1523" s="121"/>
    </row>
    <row r="1524" spans="1:50" s="110" customFormat="1" ht="20" customHeight="1">
      <c r="A1524" s="125" t="s">
        <v>1620</v>
      </c>
      <c r="B1524" s="126" t="s">
        <v>61</v>
      </c>
      <c r="C1524" s="127">
        <v>15324</v>
      </c>
      <c r="D1524" s="157">
        <v>109930</v>
      </c>
      <c r="E1524" s="158" t="s">
        <v>2140</v>
      </c>
      <c r="F1524" s="158" t="s">
        <v>2140</v>
      </c>
      <c r="G1524" s="159">
        <v>137000</v>
      </c>
      <c r="H1524" s="159">
        <v>2</v>
      </c>
      <c r="I1524" s="158" t="s">
        <v>209</v>
      </c>
      <c r="J1524" s="158" t="s">
        <v>2139</v>
      </c>
      <c r="K1524" s="158" t="s">
        <v>2140</v>
      </c>
      <c r="L1524" s="159">
        <v>5</v>
      </c>
      <c r="M1524" s="159">
        <v>5</v>
      </c>
      <c r="N1524" s="158" t="s">
        <v>1577</v>
      </c>
      <c r="O1524" s="159">
        <v>8</v>
      </c>
      <c r="P1524" s="159">
        <v>1.2</v>
      </c>
      <c r="Q1524" s="159">
        <v>21</v>
      </c>
      <c r="R1524" s="158" t="s">
        <v>200</v>
      </c>
      <c r="S1524" s="158" t="s">
        <v>201</v>
      </c>
      <c r="T1524" s="159">
        <v>468</v>
      </c>
      <c r="U1524" s="158" t="s">
        <v>200</v>
      </c>
      <c r="V1524" s="158" t="s">
        <v>503</v>
      </c>
      <c r="W1524" s="159">
        <v>11</v>
      </c>
      <c r="X1524" s="159">
        <v>2</v>
      </c>
      <c r="Y1524" s="158" t="s">
        <v>194</v>
      </c>
      <c r="Z1524" s="158" t="s">
        <v>195</v>
      </c>
      <c r="AA1524" s="158" t="s">
        <v>196</v>
      </c>
      <c r="AB1524" s="158" t="s">
        <v>187</v>
      </c>
      <c r="AC1524" s="158" t="s">
        <v>209</v>
      </c>
      <c r="AD1524" s="160"/>
      <c r="AE1524" s="158" t="s">
        <v>209</v>
      </c>
      <c r="AF1524" s="159">
        <v>16.7926386252723</v>
      </c>
      <c r="AG1524" s="161">
        <v>96.209031491410101</v>
      </c>
      <c r="AO1524" s="121"/>
      <c r="AT1524" s="111"/>
      <c r="AX1524" s="121"/>
    </row>
    <row r="1525" spans="1:50" s="110" customFormat="1" ht="20" customHeight="1">
      <c r="A1525" s="125" t="s">
        <v>239</v>
      </c>
      <c r="B1525" s="126" t="s">
        <v>67</v>
      </c>
      <c r="C1525" s="127">
        <v>19211</v>
      </c>
      <c r="D1525" s="163">
        <v>115527</v>
      </c>
      <c r="E1525" s="164" t="s">
        <v>2614</v>
      </c>
      <c r="F1525" s="164" t="s">
        <v>2614</v>
      </c>
      <c r="G1525" s="165">
        <v>4300</v>
      </c>
      <c r="H1525" s="165">
        <v>1</v>
      </c>
      <c r="I1525" s="164" t="s">
        <v>187</v>
      </c>
      <c r="J1525" s="164" t="s">
        <v>2228</v>
      </c>
      <c r="K1525" s="164" t="s">
        <v>2229</v>
      </c>
      <c r="L1525" s="165">
        <v>5</v>
      </c>
      <c r="M1525" s="165">
        <v>5</v>
      </c>
      <c r="N1525" s="164" t="s">
        <v>1577</v>
      </c>
      <c r="O1525" s="165">
        <v>2</v>
      </c>
      <c r="P1525" s="165">
        <v>0.1</v>
      </c>
      <c r="Q1525" s="165">
        <v>21</v>
      </c>
      <c r="R1525" s="164" t="s">
        <v>200</v>
      </c>
      <c r="S1525" s="164" t="s">
        <v>201</v>
      </c>
      <c r="T1525" s="165">
        <v>468</v>
      </c>
      <c r="U1525" s="164" t="s">
        <v>200</v>
      </c>
      <c r="V1525" s="164" t="s">
        <v>503</v>
      </c>
      <c r="W1525" s="165">
        <v>59</v>
      </c>
      <c r="X1525" s="165">
        <v>2</v>
      </c>
      <c r="Y1525" s="164" t="s">
        <v>194</v>
      </c>
      <c r="Z1525" s="164" t="s">
        <v>195</v>
      </c>
      <c r="AA1525" s="164" t="s">
        <v>196</v>
      </c>
      <c r="AB1525" s="164" t="s">
        <v>209</v>
      </c>
      <c r="AC1525" s="164" t="s">
        <v>209</v>
      </c>
      <c r="AD1525" s="165">
        <v>1</v>
      </c>
      <c r="AE1525" s="164" t="s">
        <v>209</v>
      </c>
      <c r="AF1525" s="165">
        <v>14.582611999999999</v>
      </c>
      <c r="AG1525" s="166">
        <v>120.999895</v>
      </c>
      <c r="AO1525" s="121"/>
      <c r="AT1525" s="111"/>
      <c r="AX1525" s="121"/>
    </row>
    <row r="1526" spans="1:50" s="110" customFormat="1" ht="20" customHeight="1">
      <c r="A1526" s="125" t="s">
        <v>408</v>
      </c>
      <c r="B1526" s="126" t="s">
        <v>64</v>
      </c>
      <c r="C1526" s="127">
        <v>12106</v>
      </c>
      <c r="D1526" s="163">
        <v>103789</v>
      </c>
      <c r="E1526" s="164" t="s">
        <v>2229</v>
      </c>
      <c r="F1526" s="164" t="s">
        <v>2229</v>
      </c>
      <c r="G1526" s="165">
        <v>14000</v>
      </c>
      <c r="H1526" s="165">
        <v>1</v>
      </c>
      <c r="I1526" s="164" t="s">
        <v>187</v>
      </c>
      <c r="J1526" s="164" t="s">
        <v>2228</v>
      </c>
      <c r="K1526" s="164" t="s">
        <v>2229</v>
      </c>
      <c r="L1526" s="165">
        <v>5</v>
      </c>
      <c r="M1526" s="165">
        <v>5</v>
      </c>
      <c r="N1526" s="164" t="s">
        <v>1577</v>
      </c>
      <c r="O1526" s="165">
        <v>1</v>
      </c>
      <c r="P1526" s="165">
        <v>0.5</v>
      </c>
      <c r="Q1526" s="165">
        <v>21</v>
      </c>
      <c r="R1526" s="164" t="s">
        <v>200</v>
      </c>
      <c r="S1526" s="164" t="s">
        <v>201</v>
      </c>
      <c r="T1526" s="165">
        <v>468</v>
      </c>
      <c r="U1526" s="164" t="s">
        <v>200</v>
      </c>
      <c r="V1526" s="164" t="s">
        <v>503</v>
      </c>
      <c r="W1526" s="165">
        <v>16</v>
      </c>
      <c r="X1526" s="165">
        <v>2</v>
      </c>
      <c r="Y1526" s="164" t="s">
        <v>194</v>
      </c>
      <c r="Z1526" s="164" t="s">
        <v>195</v>
      </c>
      <c r="AA1526" s="164" t="s">
        <v>196</v>
      </c>
      <c r="AB1526" s="164" t="s">
        <v>209</v>
      </c>
      <c r="AC1526" s="164" t="s">
        <v>209</v>
      </c>
      <c r="AD1526" s="165">
        <v>1</v>
      </c>
      <c r="AE1526" s="164" t="s">
        <v>209</v>
      </c>
      <c r="AF1526" s="165">
        <v>1.3299000000000001</v>
      </c>
      <c r="AG1526" s="166">
        <v>103.90756</v>
      </c>
      <c r="AO1526" s="121"/>
      <c r="AT1526" s="111"/>
      <c r="AX1526" s="121"/>
    </row>
    <row r="1527" spans="1:50" s="110" customFormat="1" ht="20" customHeight="1">
      <c r="A1527" s="125" t="s">
        <v>408</v>
      </c>
      <c r="B1527" s="126" t="s">
        <v>64</v>
      </c>
      <c r="C1527" s="127">
        <v>14192</v>
      </c>
      <c r="D1527" s="163">
        <v>109027</v>
      </c>
      <c r="E1527" s="164" t="s">
        <v>220</v>
      </c>
      <c r="F1527" s="164" t="s">
        <v>220</v>
      </c>
      <c r="G1527" s="165">
        <v>4300</v>
      </c>
      <c r="H1527" s="165">
        <v>1</v>
      </c>
      <c r="I1527" s="164" t="s">
        <v>187</v>
      </c>
      <c r="J1527" s="164" t="s">
        <v>219</v>
      </c>
      <c r="K1527" s="164" t="s">
        <v>220</v>
      </c>
      <c r="L1527" s="165">
        <v>5</v>
      </c>
      <c r="M1527" s="165">
        <v>5</v>
      </c>
      <c r="N1527" s="164" t="s">
        <v>1577</v>
      </c>
      <c r="O1527" s="165">
        <v>0</v>
      </c>
      <c r="P1527" s="165">
        <v>0</v>
      </c>
      <c r="Q1527" s="165">
        <v>21</v>
      </c>
      <c r="R1527" s="164" t="s">
        <v>200</v>
      </c>
      <c r="S1527" s="164" t="s">
        <v>201</v>
      </c>
      <c r="T1527" s="165">
        <v>468</v>
      </c>
      <c r="U1527" s="164" t="s">
        <v>200</v>
      </c>
      <c r="V1527" s="164" t="s">
        <v>503</v>
      </c>
      <c r="W1527" s="165">
        <v>8</v>
      </c>
      <c r="X1527" s="165">
        <v>2</v>
      </c>
      <c r="Y1527" s="164" t="s">
        <v>194</v>
      </c>
      <c r="Z1527" s="164" t="s">
        <v>195</v>
      </c>
      <c r="AA1527" s="164" t="s">
        <v>196</v>
      </c>
      <c r="AB1527" s="164" t="s">
        <v>209</v>
      </c>
      <c r="AC1527" s="164" t="s">
        <v>209</v>
      </c>
      <c r="AD1527" s="165">
        <v>1</v>
      </c>
      <c r="AE1527" s="164" t="s">
        <v>187</v>
      </c>
      <c r="AF1527" s="165">
        <v>1.3818999999999999</v>
      </c>
      <c r="AG1527" s="166">
        <v>103.87769</v>
      </c>
      <c r="AO1527" s="121"/>
      <c r="AT1527" s="111"/>
      <c r="AX1527" s="121"/>
    </row>
    <row r="1528" spans="1:50" s="110" customFormat="1" ht="20" customHeight="1">
      <c r="A1528" s="125" t="s">
        <v>408</v>
      </c>
      <c r="B1528" s="126" t="s">
        <v>64</v>
      </c>
      <c r="C1528" s="127">
        <v>12225</v>
      </c>
      <c r="D1528" s="157">
        <v>104017</v>
      </c>
      <c r="E1528" s="158" t="s">
        <v>4533</v>
      </c>
      <c r="F1528" s="158" t="s">
        <v>4533</v>
      </c>
      <c r="G1528" s="159">
        <v>76000</v>
      </c>
      <c r="H1528" s="159">
        <v>2</v>
      </c>
      <c r="I1528" s="158" t="s">
        <v>209</v>
      </c>
      <c r="J1528" s="158" t="s">
        <v>1058</v>
      </c>
      <c r="K1528" s="158" t="s">
        <v>1059</v>
      </c>
      <c r="L1528" s="159">
        <v>5</v>
      </c>
      <c r="M1528" s="159">
        <v>5</v>
      </c>
      <c r="N1528" s="158" t="s">
        <v>1577</v>
      </c>
      <c r="O1528" s="159">
        <v>8</v>
      </c>
      <c r="P1528" s="159">
        <v>2</v>
      </c>
      <c r="Q1528" s="159">
        <v>21</v>
      </c>
      <c r="R1528" s="158" t="s">
        <v>200</v>
      </c>
      <c r="S1528" s="158" t="s">
        <v>201</v>
      </c>
      <c r="T1528" s="159">
        <v>468</v>
      </c>
      <c r="U1528" s="158" t="s">
        <v>200</v>
      </c>
      <c r="V1528" s="158" t="s">
        <v>503</v>
      </c>
      <c r="W1528" s="159">
        <v>2</v>
      </c>
      <c r="X1528" s="159">
        <v>2</v>
      </c>
      <c r="Y1528" s="158" t="s">
        <v>194</v>
      </c>
      <c r="Z1528" s="158" t="s">
        <v>195</v>
      </c>
      <c r="AA1528" s="158" t="s">
        <v>196</v>
      </c>
      <c r="AB1528" s="158" t="s">
        <v>209</v>
      </c>
      <c r="AC1528" s="158" t="s">
        <v>209</v>
      </c>
      <c r="AD1528" s="160"/>
      <c r="AE1528" s="158" t="s">
        <v>209</v>
      </c>
      <c r="AF1528" s="159">
        <v>1.3061367382198901</v>
      </c>
      <c r="AG1528" s="161">
        <v>103.835804979716</v>
      </c>
      <c r="AO1528" s="121"/>
      <c r="AT1528" s="111"/>
      <c r="AX1528" s="121"/>
    </row>
    <row r="1529" spans="1:50" s="110" customFormat="1" ht="20" customHeight="1">
      <c r="A1529" s="125" t="s">
        <v>408</v>
      </c>
      <c r="B1529" s="126" t="s">
        <v>64</v>
      </c>
      <c r="C1529" s="127">
        <v>15324</v>
      </c>
      <c r="D1529" s="157">
        <v>109930</v>
      </c>
      <c r="E1529" s="158" t="s">
        <v>2140</v>
      </c>
      <c r="F1529" s="158" t="s">
        <v>2140</v>
      </c>
      <c r="G1529" s="159">
        <v>800</v>
      </c>
      <c r="H1529" s="159">
        <v>2</v>
      </c>
      <c r="I1529" s="158" t="s">
        <v>209</v>
      </c>
      <c r="J1529" s="158" t="s">
        <v>2139</v>
      </c>
      <c r="K1529" s="158" t="s">
        <v>2140</v>
      </c>
      <c r="L1529" s="159">
        <v>5</v>
      </c>
      <c r="M1529" s="159">
        <v>5</v>
      </c>
      <c r="N1529" s="158" t="s">
        <v>1577</v>
      </c>
      <c r="O1529" s="159">
        <v>6</v>
      </c>
      <c r="P1529" s="159">
        <v>0.4</v>
      </c>
      <c r="Q1529" s="159">
        <v>21</v>
      </c>
      <c r="R1529" s="158" t="s">
        <v>200</v>
      </c>
      <c r="S1529" s="158" t="s">
        <v>201</v>
      </c>
      <c r="T1529" s="159">
        <v>468</v>
      </c>
      <c r="U1529" s="158" t="s">
        <v>200</v>
      </c>
      <c r="V1529" s="158" t="s">
        <v>503</v>
      </c>
      <c r="W1529" s="159">
        <v>11</v>
      </c>
      <c r="X1529" s="159">
        <v>2</v>
      </c>
      <c r="Y1529" s="158" t="s">
        <v>194</v>
      </c>
      <c r="Z1529" s="158" t="s">
        <v>195</v>
      </c>
      <c r="AA1529" s="158" t="s">
        <v>196</v>
      </c>
      <c r="AB1529" s="158" t="s">
        <v>209</v>
      </c>
      <c r="AC1529" s="158" t="s">
        <v>209</v>
      </c>
      <c r="AD1529" s="160"/>
      <c r="AE1529" s="158" t="s">
        <v>209</v>
      </c>
      <c r="AF1529" s="159">
        <v>1.3277000000000001</v>
      </c>
      <c r="AG1529" s="161">
        <v>103.89167</v>
      </c>
      <c r="AO1529" s="121"/>
      <c r="AT1529" s="111"/>
      <c r="AX1529" s="121"/>
    </row>
    <row r="1530" spans="1:50" s="110" customFormat="1" ht="20" customHeight="1">
      <c r="A1530" s="125" t="s">
        <v>224</v>
      </c>
      <c r="B1530" s="126" t="s">
        <v>68</v>
      </c>
      <c r="C1530" s="127">
        <v>21409</v>
      </c>
      <c r="D1530" s="157">
        <v>104015</v>
      </c>
      <c r="E1530" s="158" t="s">
        <v>3598</v>
      </c>
      <c r="F1530" s="158" t="s">
        <v>3598</v>
      </c>
      <c r="G1530" s="159">
        <v>9600</v>
      </c>
      <c r="H1530" s="159">
        <v>2</v>
      </c>
      <c r="I1530" s="158" t="s">
        <v>209</v>
      </c>
      <c r="J1530" s="158" t="s">
        <v>1989</v>
      </c>
      <c r="K1530" s="158" t="s">
        <v>1990</v>
      </c>
      <c r="L1530" s="159">
        <v>5</v>
      </c>
      <c r="M1530" s="159">
        <v>5</v>
      </c>
      <c r="N1530" s="158" t="s">
        <v>1577</v>
      </c>
      <c r="O1530" s="159">
        <v>36.155999999999999</v>
      </c>
      <c r="P1530" s="160"/>
      <c r="Q1530" s="159">
        <v>21</v>
      </c>
      <c r="R1530" s="158" t="s">
        <v>200</v>
      </c>
      <c r="S1530" s="158" t="s">
        <v>201</v>
      </c>
      <c r="T1530" s="159">
        <v>468</v>
      </c>
      <c r="U1530" s="158" t="s">
        <v>200</v>
      </c>
      <c r="V1530" s="158" t="s">
        <v>503</v>
      </c>
      <c r="W1530" s="159">
        <v>1</v>
      </c>
      <c r="X1530" s="159">
        <v>4</v>
      </c>
      <c r="Y1530" s="158" t="s">
        <v>203</v>
      </c>
      <c r="Z1530" s="158" t="s">
        <v>195</v>
      </c>
      <c r="AA1530" s="158" t="s">
        <v>196</v>
      </c>
      <c r="AB1530" s="158" t="s">
        <v>187</v>
      </c>
      <c r="AC1530" s="158" t="s">
        <v>187</v>
      </c>
      <c r="AD1530" s="160"/>
      <c r="AE1530" s="158" t="s">
        <v>209</v>
      </c>
      <c r="AF1530" s="159">
        <v>7.0128688439044602</v>
      </c>
      <c r="AG1530" s="161">
        <v>80.767045458004503</v>
      </c>
      <c r="AO1530" s="121"/>
      <c r="AT1530" s="111"/>
      <c r="AX1530" s="121"/>
    </row>
    <row r="1531" spans="1:50" s="110" customFormat="1" ht="20" customHeight="1">
      <c r="A1531" s="125" t="s">
        <v>224</v>
      </c>
      <c r="B1531" s="126" t="s">
        <v>68</v>
      </c>
      <c r="C1531" s="127">
        <v>12213</v>
      </c>
      <c r="D1531" s="157">
        <v>103998</v>
      </c>
      <c r="E1531" s="158" t="s">
        <v>3015</v>
      </c>
      <c r="F1531" s="158" t="s">
        <v>3015</v>
      </c>
      <c r="G1531" s="159">
        <v>3800</v>
      </c>
      <c r="H1531" s="159">
        <v>2</v>
      </c>
      <c r="I1531" s="158" t="s">
        <v>209</v>
      </c>
      <c r="J1531" s="158" t="s">
        <v>3016</v>
      </c>
      <c r="K1531" s="158" t="s">
        <v>3017</v>
      </c>
      <c r="L1531" s="159">
        <v>4</v>
      </c>
      <c r="M1531" s="159">
        <v>5</v>
      </c>
      <c r="N1531" s="158" t="s">
        <v>1577</v>
      </c>
      <c r="O1531" s="159">
        <v>45.113999999999997</v>
      </c>
      <c r="P1531" s="160"/>
      <c r="Q1531" s="159">
        <v>21</v>
      </c>
      <c r="R1531" s="158" t="s">
        <v>200</v>
      </c>
      <c r="S1531" s="158" t="s">
        <v>201</v>
      </c>
      <c r="T1531" s="159">
        <v>468</v>
      </c>
      <c r="U1531" s="158" t="s">
        <v>200</v>
      </c>
      <c r="V1531" s="158" t="s">
        <v>503</v>
      </c>
      <c r="W1531" s="159">
        <v>10</v>
      </c>
      <c r="X1531" s="159">
        <v>4</v>
      </c>
      <c r="Y1531" s="158" t="s">
        <v>203</v>
      </c>
      <c r="Z1531" s="158" t="s">
        <v>195</v>
      </c>
      <c r="AA1531" s="158" t="s">
        <v>196</v>
      </c>
      <c r="AB1531" s="158" t="s">
        <v>187</v>
      </c>
      <c r="AC1531" s="158" t="s">
        <v>209</v>
      </c>
      <c r="AD1531" s="160"/>
      <c r="AE1531" s="158" t="s">
        <v>209</v>
      </c>
      <c r="AF1531" s="159">
        <v>7.7882199999999999</v>
      </c>
      <c r="AG1531" s="161">
        <v>81.497190000000003</v>
      </c>
      <c r="AO1531" s="121"/>
      <c r="AT1531" s="111"/>
      <c r="AX1531" s="121"/>
    </row>
    <row r="1532" spans="1:50" s="110" customFormat="1" ht="20" customHeight="1">
      <c r="A1532" s="125" t="s">
        <v>478</v>
      </c>
      <c r="B1532" s="126" t="s">
        <v>56</v>
      </c>
      <c r="C1532" s="127">
        <v>12106</v>
      </c>
      <c r="D1532" s="163">
        <v>103789</v>
      </c>
      <c r="E1532" s="164" t="s">
        <v>2229</v>
      </c>
      <c r="F1532" s="164" t="s">
        <v>2229</v>
      </c>
      <c r="G1532" s="165">
        <v>23000</v>
      </c>
      <c r="H1532" s="165">
        <v>1</v>
      </c>
      <c r="I1532" s="164" t="s">
        <v>187</v>
      </c>
      <c r="J1532" s="164" t="s">
        <v>2228</v>
      </c>
      <c r="K1532" s="164" t="s">
        <v>2229</v>
      </c>
      <c r="L1532" s="165">
        <v>5</v>
      </c>
      <c r="M1532" s="165">
        <v>5</v>
      </c>
      <c r="N1532" s="164" t="s">
        <v>1577</v>
      </c>
      <c r="O1532" s="165">
        <v>4</v>
      </c>
      <c r="P1532" s="165">
        <v>1</v>
      </c>
      <c r="Q1532" s="165">
        <v>21</v>
      </c>
      <c r="R1532" s="164" t="s">
        <v>200</v>
      </c>
      <c r="S1532" s="164" t="s">
        <v>201</v>
      </c>
      <c r="T1532" s="165">
        <v>468</v>
      </c>
      <c r="U1532" s="164" t="s">
        <v>200</v>
      </c>
      <c r="V1532" s="164" t="s">
        <v>503</v>
      </c>
      <c r="W1532" s="165">
        <v>16</v>
      </c>
      <c r="X1532" s="165">
        <v>2</v>
      </c>
      <c r="Y1532" s="164" t="s">
        <v>194</v>
      </c>
      <c r="Z1532" s="164" t="s">
        <v>195</v>
      </c>
      <c r="AA1532" s="164" t="s">
        <v>196</v>
      </c>
      <c r="AB1532" s="164" t="s">
        <v>187</v>
      </c>
      <c r="AC1532" s="164" t="s">
        <v>209</v>
      </c>
      <c r="AD1532" s="165">
        <v>1</v>
      </c>
      <c r="AE1532" s="164" t="s">
        <v>209</v>
      </c>
      <c r="AF1532" s="165">
        <v>13.77</v>
      </c>
      <c r="AG1532" s="166">
        <v>100.56</v>
      </c>
      <c r="AO1532" s="121"/>
      <c r="AT1532" s="111"/>
      <c r="AX1532" s="121"/>
    </row>
    <row r="1533" spans="1:50" s="110" customFormat="1" ht="20" customHeight="1">
      <c r="A1533" s="125" t="s">
        <v>486</v>
      </c>
      <c r="B1533" s="126" t="s">
        <v>57</v>
      </c>
      <c r="C1533" s="127">
        <v>16742</v>
      </c>
      <c r="D1533" s="163">
        <v>111988</v>
      </c>
      <c r="E1533" s="164" t="s">
        <v>3783</v>
      </c>
      <c r="F1533" s="164" t="s">
        <v>3783</v>
      </c>
      <c r="G1533" s="165">
        <v>13000</v>
      </c>
      <c r="H1533" s="165">
        <v>1</v>
      </c>
      <c r="I1533" s="164" t="s">
        <v>187</v>
      </c>
      <c r="J1533" s="164" t="s">
        <v>198</v>
      </c>
      <c r="K1533" s="164" t="s">
        <v>199</v>
      </c>
      <c r="L1533" s="165">
        <v>5</v>
      </c>
      <c r="M1533" s="165">
        <v>5</v>
      </c>
      <c r="N1533" s="164" t="s">
        <v>1577</v>
      </c>
      <c r="O1533" s="165">
        <v>0</v>
      </c>
      <c r="P1533" s="165">
        <v>0</v>
      </c>
      <c r="Q1533" s="165">
        <v>21</v>
      </c>
      <c r="R1533" s="164" t="s">
        <v>200</v>
      </c>
      <c r="S1533" s="164" t="s">
        <v>201</v>
      </c>
      <c r="T1533" s="165">
        <v>407</v>
      </c>
      <c r="U1533" s="164" t="s">
        <v>200</v>
      </c>
      <c r="V1533" s="164" t="s">
        <v>3204</v>
      </c>
      <c r="W1533" s="165">
        <v>3</v>
      </c>
      <c r="X1533" s="165">
        <v>4</v>
      </c>
      <c r="Y1533" s="164" t="s">
        <v>203</v>
      </c>
      <c r="Z1533" s="164" t="s">
        <v>195</v>
      </c>
      <c r="AA1533" s="164" t="s">
        <v>196</v>
      </c>
      <c r="AB1533" s="164" t="s">
        <v>187</v>
      </c>
      <c r="AC1533" s="164" t="s">
        <v>187</v>
      </c>
      <c r="AD1533" s="165">
        <v>1</v>
      </c>
      <c r="AE1533" s="164" t="s">
        <v>187</v>
      </c>
      <c r="AF1533" s="165">
        <v>25.617522999999998</v>
      </c>
      <c r="AG1533" s="166">
        <v>89.354422</v>
      </c>
      <c r="AO1533" s="121"/>
      <c r="AT1533" s="111"/>
      <c r="AX1533" s="121"/>
    </row>
    <row r="1534" spans="1:50" s="110" customFormat="1" ht="20" customHeight="1">
      <c r="A1534" s="125" t="s">
        <v>486</v>
      </c>
      <c r="B1534" s="126" t="s">
        <v>57</v>
      </c>
      <c r="C1534" s="127">
        <v>21477</v>
      </c>
      <c r="D1534" s="163">
        <v>118293</v>
      </c>
      <c r="E1534" s="164" t="s">
        <v>3203</v>
      </c>
      <c r="F1534" s="164" t="s">
        <v>3203</v>
      </c>
      <c r="G1534" s="165">
        <v>5100</v>
      </c>
      <c r="H1534" s="165">
        <v>1</v>
      </c>
      <c r="I1534" s="164" t="s">
        <v>187</v>
      </c>
      <c r="J1534" s="164" t="s">
        <v>198</v>
      </c>
      <c r="K1534" s="164" t="s">
        <v>199</v>
      </c>
      <c r="L1534" s="165">
        <v>5</v>
      </c>
      <c r="M1534" s="165">
        <v>5</v>
      </c>
      <c r="N1534" s="164" t="s">
        <v>1577</v>
      </c>
      <c r="O1534" s="165">
        <v>0</v>
      </c>
      <c r="P1534" s="165">
        <v>0</v>
      </c>
      <c r="Q1534" s="165">
        <v>21</v>
      </c>
      <c r="R1534" s="164" t="s">
        <v>200</v>
      </c>
      <c r="S1534" s="164" t="s">
        <v>201</v>
      </c>
      <c r="T1534" s="165">
        <v>407</v>
      </c>
      <c r="U1534" s="164" t="s">
        <v>200</v>
      </c>
      <c r="V1534" s="164" t="s">
        <v>3204</v>
      </c>
      <c r="W1534" s="165">
        <v>2</v>
      </c>
      <c r="X1534" s="165">
        <v>4</v>
      </c>
      <c r="Y1534" s="164" t="s">
        <v>203</v>
      </c>
      <c r="Z1534" s="164" t="s">
        <v>195</v>
      </c>
      <c r="AA1534" s="164" t="s">
        <v>196</v>
      </c>
      <c r="AB1534" s="164" t="s">
        <v>187</v>
      </c>
      <c r="AC1534" s="164" t="s">
        <v>187</v>
      </c>
      <c r="AD1534" s="165">
        <v>1</v>
      </c>
      <c r="AE1534" s="164" t="s">
        <v>187</v>
      </c>
      <c r="AF1534" s="165">
        <v>24.389620000000001</v>
      </c>
      <c r="AG1534" s="166">
        <v>89.59</v>
      </c>
      <c r="AO1534" s="121"/>
      <c r="AT1534" s="111"/>
      <c r="AX1534" s="121"/>
    </row>
    <row r="1535" spans="1:50" s="110" customFormat="1" ht="20" customHeight="1">
      <c r="A1535" s="125" t="s">
        <v>486</v>
      </c>
      <c r="B1535" s="126" t="s">
        <v>57</v>
      </c>
      <c r="C1535" s="127">
        <v>17756</v>
      </c>
      <c r="D1535" s="163">
        <v>113215</v>
      </c>
      <c r="E1535" s="164" t="s">
        <v>1991</v>
      </c>
      <c r="F1535" s="164" t="s">
        <v>1991</v>
      </c>
      <c r="G1535" s="165">
        <v>3241000</v>
      </c>
      <c r="H1535" s="165">
        <v>1</v>
      </c>
      <c r="I1535" s="164" t="s">
        <v>187</v>
      </c>
      <c r="J1535" s="164" t="s">
        <v>198</v>
      </c>
      <c r="K1535" s="164" t="s">
        <v>199</v>
      </c>
      <c r="L1535" s="165">
        <v>5</v>
      </c>
      <c r="M1535" s="165">
        <v>5</v>
      </c>
      <c r="N1535" s="164" t="s">
        <v>1577</v>
      </c>
      <c r="O1535" s="165">
        <v>0.50700000000000001</v>
      </c>
      <c r="P1535" s="168"/>
      <c r="Q1535" s="165">
        <v>21</v>
      </c>
      <c r="R1535" s="164" t="s">
        <v>200</v>
      </c>
      <c r="S1535" s="164" t="s">
        <v>201</v>
      </c>
      <c r="T1535" s="165">
        <v>411</v>
      </c>
      <c r="U1535" s="164" t="s">
        <v>200</v>
      </c>
      <c r="V1535" s="164" t="s">
        <v>1992</v>
      </c>
      <c r="W1535" s="165">
        <v>5</v>
      </c>
      <c r="X1535" s="165">
        <v>4</v>
      </c>
      <c r="Y1535" s="164" t="s">
        <v>203</v>
      </c>
      <c r="Z1535" s="164" t="s">
        <v>195</v>
      </c>
      <c r="AA1535" s="164" t="s">
        <v>196</v>
      </c>
      <c r="AB1535" s="164" t="s">
        <v>187</v>
      </c>
      <c r="AC1535" s="164" t="s">
        <v>187</v>
      </c>
      <c r="AD1535" s="165">
        <v>65</v>
      </c>
      <c r="AE1535" s="164" t="s">
        <v>209</v>
      </c>
      <c r="AF1535" s="165">
        <v>24.212668629240699</v>
      </c>
      <c r="AG1535" s="166">
        <v>90.924583122954999</v>
      </c>
      <c r="AO1535" s="121"/>
      <c r="AT1535" s="111"/>
      <c r="AX1535" s="121"/>
    </row>
    <row r="1536" spans="1:50" s="110" customFormat="1" ht="20" customHeight="1">
      <c r="A1536" s="125" t="s">
        <v>486</v>
      </c>
      <c r="B1536" s="126" t="s">
        <v>57</v>
      </c>
      <c r="C1536" s="127">
        <v>21212</v>
      </c>
      <c r="D1536" s="163">
        <v>118033</v>
      </c>
      <c r="E1536" s="164" t="s">
        <v>4894</v>
      </c>
      <c r="F1536" s="164" t="s">
        <v>4894</v>
      </c>
      <c r="G1536" s="165">
        <v>2888000</v>
      </c>
      <c r="H1536" s="165">
        <v>1</v>
      </c>
      <c r="I1536" s="164" t="s">
        <v>187</v>
      </c>
      <c r="J1536" s="164" t="s">
        <v>198</v>
      </c>
      <c r="K1536" s="164" t="s">
        <v>199</v>
      </c>
      <c r="L1536" s="165">
        <v>5</v>
      </c>
      <c r="M1536" s="165">
        <v>5</v>
      </c>
      <c r="N1536" s="164" t="s">
        <v>1577</v>
      </c>
      <c r="O1536" s="165">
        <v>0.52600000000000002</v>
      </c>
      <c r="P1536" s="168"/>
      <c r="Q1536" s="165">
        <v>21</v>
      </c>
      <c r="R1536" s="164" t="s">
        <v>200</v>
      </c>
      <c r="S1536" s="164" t="s">
        <v>201</v>
      </c>
      <c r="T1536" s="165">
        <v>411</v>
      </c>
      <c r="U1536" s="164" t="s">
        <v>200</v>
      </c>
      <c r="V1536" s="164" t="s">
        <v>1992</v>
      </c>
      <c r="W1536" s="165">
        <v>2</v>
      </c>
      <c r="X1536" s="165">
        <v>4</v>
      </c>
      <c r="Y1536" s="164" t="s">
        <v>203</v>
      </c>
      <c r="Z1536" s="164" t="s">
        <v>195</v>
      </c>
      <c r="AA1536" s="164" t="s">
        <v>196</v>
      </c>
      <c r="AB1536" s="164" t="s">
        <v>187</v>
      </c>
      <c r="AC1536" s="164" t="s">
        <v>187</v>
      </c>
      <c r="AD1536" s="165">
        <v>58</v>
      </c>
      <c r="AE1536" s="164" t="s">
        <v>209</v>
      </c>
      <c r="AF1536" s="165">
        <v>23.802308479862202</v>
      </c>
      <c r="AG1536" s="166">
        <v>90.271633440495705</v>
      </c>
      <c r="AO1536" s="121"/>
      <c r="AT1536" s="111"/>
      <c r="AX1536" s="121"/>
    </row>
    <row r="1537" spans="1:50" s="110" customFormat="1" ht="20" customHeight="1">
      <c r="A1537" s="125" t="s">
        <v>224</v>
      </c>
      <c r="B1537" s="126" t="s">
        <v>68</v>
      </c>
      <c r="C1537" s="127">
        <v>17756</v>
      </c>
      <c r="D1537" s="163">
        <v>113215</v>
      </c>
      <c r="E1537" s="164" t="s">
        <v>1991</v>
      </c>
      <c r="F1537" s="164" t="s">
        <v>1991</v>
      </c>
      <c r="G1537" s="165">
        <v>500</v>
      </c>
      <c r="H1537" s="165">
        <v>1</v>
      </c>
      <c r="I1537" s="164" t="s">
        <v>187</v>
      </c>
      <c r="J1537" s="164" t="s">
        <v>198</v>
      </c>
      <c r="K1537" s="164" t="s">
        <v>199</v>
      </c>
      <c r="L1537" s="165">
        <v>5</v>
      </c>
      <c r="M1537" s="165">
        <v>5</v>
      </c>
      <c r="N1537" s="164" t="s">
        <v>1577</v>
      </c>
      <c r="O1537" s="165">
        <v>0</v>
      </c>
      <c r="P1537" s="165">
        <v>0</v>
      </c>
      <c r="Q1537" s="165">
        <v>21</v>
      </c>
      <c r="R1537" s="164" t="s">
        <v>200</v>
      </c>
      <c r="S1537" s="164" t="s">
        <v>201</v>
      </c>
      <c r="T1537" s="165">
        <v>411</v>
      </c>
      <c r="U1537" s="164" t="s">
        <v>200</v>
      </c>
      <c r="V1537" s="164" t="s">
        <v>1992</v>
      </c>
      <c r="W1537" s="165">
        <v>5</v>
      </c>
      <c r="X1537" s="165">
        <v>4</v>
      </c>
      <c r="Y1537" s="164" t="s">
        <v>203</v>
      </c>
      <c r="Z1537" s="164" t="s">
        <v>195</v>
      </c>
      <c r="AA1537" s="164" t="s">
        <v>196</v>
      </c>
      <c r="AB1537" s="164" t="s">
        <v>187</v>
      </c>
      <c r="AC1537" s="164" t="s">
        <v>187</v>
      </c>
      <c r="AD1537" s="165">
        <v>1</v>
      </c>
      <c r="AE1537" s="164" t="s">
        <v>187</v>
      </c>
      <c r="AF1537" s="165">
        <v>7.7885909495911099</v>
      </c>
      <c r="AG1537" s="166">
        <v>81.498014233983696</v>
      </c>
      <c r="AO1537" s="121"/>
      <c r="AT1537" s="111"/>
      <c r="AX1537" s="121"/>
    </row>
    <row r="1538" spans="1:50" s="110" customFormat="1" ht="20" customHeight="1">
      <c r="A1538" s="125" t="s">
        <v>486</v>
      </c>
      <c r="B1538" s="126" t="s">
        <v>57</v>
      </c>
      <c r="C1538" s="127">
        <v>17016</v>
      </c>
      <c r="D1538" s="163">
        <v>112347</v>
      </c>
      <c r="E1538" s="164" t="s">
        <v>2050</v>
      </c>
      <c r="F1538" s="164" t="s">
        <v>2050</v>
      </c>
      <c r="G1538" s="165">
        <v>456000</v>
      </c>
      <c r="H1538" s="165">
        <v>1</v>
      </c>
      <c r="I1538" s="164" t="s">
        <v>187</v>
      </c>
      <c r="J1538" s="164" t="s">
        <v>198</v>
      </c>
      <c r="K1538" s="164" t="s">
        <v>199</v>
      </c>
      <c r="L1538" s="165">
        <v>5</v>
      </c>
      <c r="M1538" s="165">
        <v>5</v>
      </c>
      <c r="N1538" s="164" t="s">
        <v>1577</v>
      </c>
      <c r="O1538" s="165">
        <v>0</v>
      </c>
      <c r="P1538" s="165">
        <v>0</v>
      </c>
      <c r="Q1538" s="165">
        <v>21</v>
      </c>
      <c r="R1538" s="164" t="s">
        <v>200</v>
      </c>
      <c r="S1538" s="164" t="s">
        <v>201</v>
      </c>
      <c r="T1538" s="165">
        <v>412</v>
      </c>
      <c r="U1538" s="164" t="s">
        <v>200</v>
      </c>
      <c r="V1538" s="164" t="s">
        <v>1636</v>
      </c>
      <c r="W1538" s="165">
        <v>5</v>
      </c>
      <c r="X1538" s="165">
        <v>4</v>
      </c>
      <c r="Y1538" s="164" t="s">
        <v>203</v>
      </c>
      <c r="Z1538" s="164" t="s">
        <v>195</v>
      </c>
      <c r="AA1538" s="164" t="s">
        <v>196</v>
      </c>
      <c r="AB1538" s="164" t="s">
        <v>187</v>
      </c>
      <c r="AC1538" s="164" t="s">
        <v>187</v>
      </c>
      <c r="AD1538" s="165">
        <v>9</v>
      </c>
      <c r="AE1538" s="164" t="s">
        <v>187</v>
      </c>
      <c r="AF1538" s="165">
        <v>22.751460515261201</v>
      </c>
      <c r="AG1538" s="166">
        <v>91.983428842709202</v>
      </c>
      <c r="AO1538" s="121"/>
      <c r="AT1538" s="111"/>
      <c r="AX1538" s="121"/>
    </row>
    <row r="1539" spans="1:50" s="110" customFormat="1" ht="20" customHeight="1">
      <c r="A1539" s="125" t="s">
        <v>486</v>
      </c>
      <c r="B1539" s="126" t="s">
        <v>57</v>
      </c>
      <c r="C1539" s="127">
        <v>21146</v>
      </c>
      <c r="D1539" s="163">
        <v>117968</v>
      </c>
      <c r="E1539" s="164" t="s">
        <v>4785</v>
      </c>
      <c r="F1539" s="164" t="s">
        <v>4785</v>
      </c>
      <c r="G1539" s="165">
        <v>274000</v>
      </c>
      <c r="H1539" s="165">
        <v>1</v>
      </c>
      <c r="I1539" s="164" t="s">
        <v>187</v>
      </c>
      <c r="J1539" s="164" t="s">
        <v>198</v>
      </c>
      <c r="K1539" s="164" t="s">
        <v>199</v>
      </c>
      <c r="L1539" s="165">
        <v>5</v>
      </c>
      <c r="M1539" s="165">
        <v>5</v>
      </c>
      <c r="N1539" s="164" t="s">
        <v>1577</v>
      </c>
      <c r="O1539" s="165">
        <v>0</v>
      </c>
      <c r="P1539" s="165">
        <v>0</v>
      </c>
      <c r="Q1539" s="165">
        <v>21</v>
      </c>
      <c r="R1539" s="164" t="s">
        <v>200</v>
      </c>
      <c r="S1539" s="164" t="s">
        <v>201</v>
      </c>
      <c r="T1539" s="165">
        <v>412</v>
      </c>
      <c r="U1539" s="164" t="s">
        <v>200</v>
      </c>
      <c r="V1539" s="164" t="s">
        <v>1636</v>
      </c>
      <c r="W1539" s="165">
        <v>2</v>
      </c>
      <c r="X1539" s="165">
        <v>4</v>
      </c>
      <c r="Y1539" s="164" t="s">
        <v>203</v>
      </c>
      <c r="Z1539" s="164" t="s">
        <v>195</v>
      </c>
      <c r="AA1539" s="164" t="s">
        <v>196</v>
      </c>
      <c r="AB1539" s="164" t="s">
        <v>187</v>
      </c>
      <c r="AC1539" s="164" t="s">
        <v>187</v>
      </c>
      <c r="AD1539" s="165">
        <v>5</v>
      </c>
      <c r="AE1539" s="164" t="s">
        <v>187</v>
      </c>
      <c r="AF1539" s="165">
        <v>22.453998588689</v>
      </c>
      <c r="AG1539" s="166">
        <v>91.855882345882605</v>
      </c>
      <c r="AO1539" s="121"/>
      <c r="AT1539" s="111"/>
      <c r="AX1539" s="121"/>
    </row>
    <row r="1540" spans="1:50" s="110" customFormat="1" ht="20" customHeight="1">
      <c r="A1540" s="125" t="s">
        <v>486</v>
      </c>
      <c r="B1540" s="126" t="s">
        <v>57</v>
      </c>
      <c r="C1540" s="127">
        <v>17007</v>
      </c>
      <c r="D1540" s="163">
        <v>112331</v>
      </c>
      <c r="E1540" s="164" t="s">
        <v>4767</v>
      </c>
      <c r="F1540" s="164" t="s">
        <v>4767</v>
      </c>
      <c r="G1540" s="165">
        <v>241000</v>
      </c>
      <c r="H1540" s="165">
        <v>1</v>
      </c>
      <c r="I1540" s="164" t="s">
        <v>187</v>
      </c>
      <c r="J1540" s="164" t="s">
        <v>198</v>
      </c>
      <c r="K1540" s="164" t="s">
        <v>199</v>
      </c>
      <c r="L1540" s="165">
        <v>5</v>
      </c>
      <c r="M1540" s="165">
        <v>5</v>
      </c>
      <c r="N1540" s="164" t="s">
        <v>1577</v>
      </c>
      <c r="O1540" s="165">
        <v>0</v>
      </c>
      <c r="P1540" s="165">
        <v>0</v>
      </c>
      <c r="Q1540" s="165">
        <v>21</v>
      </c>
      <c r="R1540" s="164" t="s">
        <v>200</v>
      </c>
      <c r="S1540" s="164" t="s">
        <v>201</v>
      </c>
      <c r="T1540" s="165">
        <v>412</v>
      </c>
      <c r="U1540" s="164" t="s">
        <v>200</v>
      </c>
      <c r="V1540" s="164" t="s">
        <v>1636</v>
      </c>
      <c r="W1540" s="165">
        <v>2</v>
      </c>
      <c r="X1540" s="165">
        <v>4</v>
      </c>
      <c r="Y1540" s="164" t="s">
        <v>203</v>
      </c>
      <c r="Z1540" s="164" t="s">
        <v>195</v>
      </c>
      <c r="AA1540" s="164" t="s">
        <v>196</v>
      </c>
      <c r="AB1540" s="164" t="s">
        <v>187</v>
      </c>
      <c r="AC1540" s="164" t="s">
        <v>187</v>
      </c>
      <c r="AD1540" s="165">
        <v>5</v>
      </c>
      <c r="AE1540" s="164" t="s">
        <v>187</v>
      </c>
      <c r="AF1540" s="165">
        <v>24.539159000000001</v>
      </c>
      <c r="AG1540" s="166">
        <v>89.924200999999996</v>
      </c>
      <c r="AO1540" s="121"/>
      <c r="AT1540" s="111"/>
      <c r="AX1540" s="121"/>
    </row>
    <row r="1541" spans="1:50" s="110" customFormat="1" ht="20" customHeight="1">
      <c r="A1541" s="125" t="s">
        <v>486</v>
      </c>
      <c r="B1541" s="126" t="s">
        <v>57</v>
      </c>
      <c r="C1541" s="127">
        <v>17856</v>
      </c>
      <c r="D1541" s="163">
        <v>113332</v>
      </c>
      <c r="E1541" s="164" t="s">
        <v>4634</v>
      </c>
      <c r="F1541" s="164" t="s">
        <v>4634</v>
      </c>
      <c r="G1541" s="165">
        <v>115000</v>
      </c>
      <c r="H1541" s="165">
        <v>1</v>
      </c>
      <c r="I1541" s="164" t="s">
        <v>187</v>
      </c>
      <c r="J1541" s="164" t="s">
        <v>198</v>
      </c>
      <c r="K1541" s="164" t="s">
        <v>199</v>
      </c>
      <c r="L1541" s="165">
        <v>5</v>
      </c>
      <c r="M1541" s="165">
        <v>5</v>
      </c>
      <c r="N1541" s="164" t="s">
        <v>1577</v>
      </c>
      <c r="O1541" s="165">
        <v>0</v>
      </c>
      <c r="P1541" s="165">
        <v>0</v>
      </c>
      <c r="Q1541" s="165">
        <v>21</v>
      </c>
      <c r="R1541" s="164" t="s">
        <v>200</v>
      </c>
      <c r="S1541" s="164" t="s">
        <v>201</v>
      </c>
      <c r="T1541" s="165">
        <v>412</v>
      </c>
      <c r="U1541" s="164" t="s">
        <v>200</v>
      </c>
      <c r="V1541" s="164" t="s">
        <v>1636</v>
      </c>
      <c r="W1541" s="165">
        <v>2</v>
      </c>
      <c r="X1541" s="165">
        <v>4</v>
      </c>
      <c r="Y1541" s="164" t="s">
        <v>203</v>
      </c>
      <c r="Z1541" s="164" t="s">
        <v>195</v>
      </c>
      <c r="AA1541" s="164" t="s">
        <v>196</v>
      </c>
      <c r="AB1541" s="164" t="s">
        <v>187</v>
      </c>
      <c r="AC1541" s="164" t="s">
        <v>187</v>
      </c>
      <c r="AD1541" s="165">
        <v>2</v>
      </c>
      <c r="AE1541" s="164" t="s">
        <v>187</v>
      </c>
      <c r="AF1541" s="165">
        <v>24.929581064379601</v>
      </c>
      <c r="AG1541" s="166">
        <v>92.158815302989197</v>
      </c>
      <c r="AO1541" s="121"/>
      <c r="AT1541" s="111"/>
      <c r="AX1541" s="121"/>
    </row>
    <row r="1542" spans="1:50" s="110" customFormat="1" ht="20" customHeight="1">
      <c r="A1542" s="125" t="s">
        <v>486</v>
      </c>
      <c r="B1542" s="126" t="s">
        <v>57</v>
      </c>
      <c r="C1542" s="127">
        <v>16426</v>
      </c>
      <c r="D1542" s="163">
        <v>111577</v>
      </c>
      <c r="E1542" s="164" t="s">
        <v>4614</v>
      </c>
      <c r="F1542" s="164" t="s">
        <v>4614</v>
      </c>
      <c r="G1542" s="165">
        <v>107000</v>
      </c>
      <c r="H1542" s="165">
        <v>1</v>
      </c>
      <c r="I1542" s="164" t="s">
        <v>187</v>
      </c>
      <c r="J1542" s="164" t="s">
        <v>198</v>
      </c>
      <c r="K1542" s="164" t="s">
        <v>199</v>
      </c>
      <c r="L1542" s="165">
        <v>5</v>
      </c>
      <c r="M1542" s="165">
        <v>5</v>
      </c>
      <c r="N1542" s="164" t="s">
        <v>1577</v>
      </c>
      <c r="O1542" s="165">
        <v>0.32800000000000001</v>
      </c>
      <c r="P1542" s="168"/>
      <c r="Q1542" s="165">
        <v>21</v>
      </c>
      <c r="R1542" s="164" t="s">
        <v>200</v>
      </c>
      <c r="S1542" s="164" t="s">
        <v>201</v>
      </c>
      <c r="T1542" s="165">
        <v>412</v>
      </c>
      <c r="U1542" s="164" t="s">
        <v>200</v>
      </c>
      <c r="V1542" s="164" t="s">
        <v>1636</v>
      </c>
      <c r="W1542" s="165">
        <v>2</v>
      </c>
      <c r="X1542" s="165">
        <v>4</v>
      </c>
      <c r="Y1542" s="164" t="s">
        <v>203</v>
      </c>
      <c r="Z1542" s="164" t="s">
        <v>195</v>
      </c>
      <c r="AA1542" s="164" t="s">
        <v>196</v>
      </c>
      <c r="AB1542" s="164" t="s">
        <v>187</v>
      </c>
      <c r="AC1542" s="164" t="s">
        <v>187</v>
      </c>
      <c r="AD1542" s="165">
        <v>2</v>
      </c>
      <c r="AE1542" s="164" t="s">
        <v>209</v>
      </c>
      <c r="AF1542" s="165">
        <v>24.301755771258701</v>
      </c>
      <c r="AG1542" s="166">
        <v>90.771605210206701</v>
      </c>
      <c r="AO1542" s="121"/>
      <c r="AT1542" s="111"/>
      <c r="AX1542" s="121"/>
    </row>
    <row r="1543" spans="1:50" s="110" customFormat="1" ht="20" customHeight="1">
      <c r="A1543" s="125" t="s">
        <v>486</v>
      </c>
      <c r="B1543" s="126" t="s">
        <v>57</v>
      </c>
      <c r="C1543" s="127">
        <v>16561</v>
      </c>
      <c r="D1543" s="163">
        <v>111752</v>
      </c>
      <c r="E1543" s="164" t="s">
        <v>3603</v>
      </c>
      <c r="F1543" s="164" t="s">
        <v>3603</v>
      </c>
      <c r="G1543" s="165">
        <v>86000</v>
      </c>
      <c r="H1543" s="165">
        <v>1</v>
      </c>
      <c r="I1543" s="164" t="s">
        <v>187</v>
      </c>
      <c r="J1543" s="164" t="s">
        <v>198</v>
      </c>
      <c r="K1543" s="164" t="s">
        <v>199</v>
      </c>
      <c r="L1543" s="165">
        <v>5</v>
      </c>
      <c r="M1543" s="165">
        <v>5</v>
      </c>
      <c r="N1543" s="164" t="s">
        <v>1577</v>
      </c>
      <c r="O1543" s="165">
        <v>1.6020000000000001</v>
      </c>
      <c r="P1543" s="168"/>
      <c r="Q1543" s="165">
        <v>21</v>
      </c>
      <c r="R1543" s="164" t="s">
        <v>200</v>
      </c>
      <c r="S1543" s="164" t="s">
        <v>201</v>
      </c>
      <c r="T1543" s="165">
        <v>412</v>
      </c>
      <c r="U1543" s="164" t="s">
        <v>200</v>
      </c>
      <c r="V1543" s="164" t="s">
        <v>1636</v>
      </c>
      <c r="W1543" s="165">
        <v>4</v>
      </c>
      <c r="X1543" s="165">
        <v>4</v>
      </c>
      <c r="Y1543" s="164" t="s">
        <v>203</v>
      </c>
      <c r="Z1543" s="164" t="s">
        <v>195</v>
      </c>
      <c r="AA1543" s="164" t="s">
        <v>196</v>
      </c>
      <c r="AB1543" s="164" t="s">
        <v>187</v>
      </c>
      <c r="AC1543" s="164" t="s">
        <v>187</v>
      </c>
      <c r="AD1543" s="165">
        <v>2</v>
      </c>
      <c r="AE1543" s="164" t="s">
        <v>209</v>
      </c>
      <c r="AF1543" s="165">
        <v>24.3298667058619</v>
      </c>
      <c r="AG1543" s="166">
        <v>90.770730204507799</v>
      </c>
      <c r="AO1543" s="121"/>
      <c r="AT1543" s="111"/>
      <c r="AX1543" s="121"/>
    </row>
    <row r="1544" spans="1:50" s="110" customFormat="1" ht="20" customHeight="1">
      <c r="A1544" s="125" t="s">
        <v>486</v>
      </c>
      <c r="B1544" s="126" t="s">
        <v>57</v>
      </c>
      <c r="C1544" s="127">
        <v>16281</v>
      </c>
      <c r="D1544" s="163">
        <v>111406</v>
      </c>
      <c r="E1544" s="164" t="s">
        <v>4543</v>
      </c>
      <c r="F1544" s="164" t="s">
        <v>4543</v>
      </c>
      <c r="G1544" s="165">
        <v>79000</v>
      </c>
      <c r="H1544" s="165">
        <v>1</v>
      </c>
      <c r="I1544" s="164" t="s">
        <v>187</v>
      </c>
      <c r="J1544" s="164" t="s">
        <v>198</v>
      </c>
      <c r="K1544" s="164" t="s">
        <v>199</v>
      </c>
      <c r="L1544" s="165">
        <v>5</v>
      </c>
      <c r="M1544" s="165">
        <v>5</v>
      </c>
      <c r="N1544" s="164" t="s">
        <v>1577</v>
      </c>
      <c r="O1544" s="165">
        <v>0.23799999999999999</v>
      </c>
      <c r="P1544" s="168"/>
      <c r="Q1544" s="165">
        <v>21</v>
      </c>
      <c r="R1544" s="164" t="s">
        <v>200</v>
      </c>
      <c r="S1544" s="164" t="s">
        <v>201</v>
      </c>
      <c r="T1544" s="165">
        <v>412</v>
      </c>
      <c r="U1544" s="164" t="s">
        <v>200</v>
      </c>
      <c r="V1544" s="164" t="s">
        <v>1636</v>
      </c>
      <c r="W1544" s="165">
        <v>2</v>
      </c>
      <c r="X1544" s="165">
        <v>4</v>
      </c>
      <c r="Y1544" s="164" t="s">
        <v>203</v>
      </c>
      <c r="Z1544" s="164" t="s">
        <v>195</v>
      </c>
      <c r="AA1544" s="164" t="s">
        <v>196</v>
      </c>
      <c r="AB1544" s="164" t="s">
        <v>187</v>
      </c>
      <c r="AC1544" s="164" t="s">
        <v>187</v>
      </c>
      <c r="AD1544" s="165">
        <v>2</v>
      </c>
      <c r="AE1544" s="164" t="s">
        <v>209</v>
      </c>
      <c r="AF1544" s="165">
        <v>23.243316512470798</v>
      </c>
      <c r="AG1544" s="166">
        <v>89.437771806786202</v>
      </c>
      <c r="AO1544" s="121"/>
      <c r="AT1544" s="111"/>
      <c r="AX1544" s="121"/>
    </row>
    <row r="1545" spans="1:50" s="110" customFormat="1" ht="20" customHeight="1">
      <c r="A1545" s="125" t="s">
        <v>486</v>
      </c>
      <c r="B1545" s="126" t="s">
        <v>57</v>
      </c>
      <c r="C1545" s="127">
        <v>17821</v>
      </c>
      <c r="D1545" s="163">
        <v>113294</v>
      </c>
      <c r="E1545" s="164" t="s">
        <v>4500</v>
      </c>
      <c r="F1545" s="164" t="s">
        <v>4500</v>
      </c>
      <c r="G1545" s="165">
        <v>69000</v>
      </c>
      <c r="H1545" s="165">
        <v>1</v>
      </c>
      <c r="I1545" s="164" t="s">
        <v>187</v>
      </c>
      <c r="J1545" s="164" t="s">
        <v>198</v>
      </c>
      <c r="K1545" s="164" t="s">
        <v>199</v>
      </c>
      <c r="L1545" s="165">
        <v>5</v>
      </c>
      <c r="M1545" s="165">
        <v>5</v>
      </c>
      <c r="N1545" s="164" t="s">
        <v>1577</v>
      </c>
      <c r="O1545" s="165">
        <v>0</v>
      </c>
      <c r="P1545" s="165">
        <v>0</v>
      </c>
      <c r="Q1545" s="165">
        <v>21</v>
      </c>
      <c r="R1545" s="164" t="s">
        <v>200</v>
      </c>
      <c r="S1545" s="164" t="s">
        <v>201</v>
      </c>
      <c r="T1545" s="165">
        <v>412</v>
      </c>
      <c r="U1545" s="164" t="s">
        <v>200</v>
      </c>
      <c r="V1545" s="164" t="s">
        <v>1636</v>
      </c>
      <c r="W1545" s="165">
        <v>2</v>
      </c>
      <c r="X1545" s="165">
        <v>4</v>
      </c>
      <c r="Y1545" s="164" t="s">
        <v>203</v>
      </c>
      <c r="Z1545" s="164" t="s">
        <v>195</v>
      </c>
      <c r="AA1545" s="164" t="s">
        <v>196</v>
      </c>
      <c r="AB1545" s="164" t="s">
        <v>187</v>
      </c>
      <c r="AC1545" s="164" t="s">
        <v>187</v>
      </c>
      <c r="AD1545" s="165">
        <v>1</v>
      </c>
      <c r="AE1545" s="164" t="s">
        <v>187</v>
      </c>
      <c r="AF1545" s="165">
        <v>26.304359070859199</v>
      </c>
      <c r="AG1545" s="166">
        <v>89.069612398230205</v>
      </c>
      <c r="AO1545" s="121"/>
      <c r="AT1545" s="111"/>
      <c r="AX1545" s="121"/>
    </row>
    <row r="1546" spans="1:50" s="110" customFormat="1" ht="20" customHeight="1">
      <c r="A1546" s="125" t="s">
        <v>486</v>
      </c>
      <c r="B1546" s="126" t="s">
        <v>57</v>
      </c>
      <c r="C1546" s="127">
        <v>12027</v>
      </c>
      <c r="D1546" s="163">
        <v>103627</v>
      </c>
      <c r="E1546" s="164" t="s">
        <v>4445</v>
      </c>
      <c r="F1546" s="164" t="s">
        <v>4445</v>
      </c>
      <c r="G1546" s="165">
        <v>56000</v>
      </c>
      <c r="H1546" s="165">
        <v>1</v>
      </c>
      <c r="I1546" s="164" t="s">
        <v>187</v>
      </c>
      <c r="J1546" s="164" t="s">
        <v>198</v>
      </c>
      <c r="K1546" s="164" t="s">
        <v>199</v>
      </c>
      <c r="L1546" s="165">
        <v>5</v>
      </c>
      <c r="M1546" s="165">
        <v>5</v>
      </c>
      <c r="N1546" s="164" t="s">
        <v>1577</v>
      </c>
      <c r="O1546" s="165">
        <v>0.65300000000000002</v>
      </c>
      <c r="P1546" s="168"/>
      <c r="Q1546" s="165">
        <v>21</v>
      </c>
      <c r="R1546" s="164" t="s">
        <v>200</v>
      </c>
      <c r="S1546" s="164" t="s">
        <v>201</v>
      </c>
      <c r="T1546" s="165">
        <v>412</v>
      </c>
      <c r="U1546" s="164" t="s">
        <v>200</v>
      </c>
      <c r="V1546" s="164" t="s">
        <v>1636</v>
      </c>
      <c r="W1546" s="165">
        <v>3</v>
      </c>
      <c r="X1546" s="165">
        <v>4</v>
      </c>
      <c r="Y1546" s="164" t="s">
        <v>203</v>
      </c>
      <c r="Z1546" s="164" t="s">
        <v>195</v>
      </c>
      <c r="AA1546" s="164" t="s">
        <v>196</v>
      </c>
      <c r="AB1546" s="164" t="s">
        <v>187</v>
      </c>
      <c r="AC1546" s="164" t="s">
        <v>187</v>
      </c>
      <c r="AD1546" s="165">
        <v>1</v>
      </c>
      <c r="AE1546" s="164" t="s">
        <v>209</v>
      </c>
      <c r="AF1546" s="165">
        <v>25.691576999999999</v>
      </c>
      <c r="AG1546" s="166">
        <v>88.694126999999995</v>
      </c>
      <c r="AO1546" s="121"/>
      <c r="AT1546" s="111"/>
      <c r="AX1546" s="121"/>
    </row>
    <row r="1547" spans="1:50" s="110" customFormat="1" ht="20" customHeight="1">
      <c r="A1547" s="125" t="s">
        <v>486</v>
      </c>
      <c r="B1547" s="126" t="s">
        <v>57</v>
      </c>
      <c r="C1547" s="127">
        <v>16734</v>
      </c>
      <c r="D1547" s="163">
        <v>111977</v>
      </c>
      <c r="E1547" s="164" t="s">
        <v>4118</v>
      </c>
      <c r="F1547" s="164" t="s">
        <v>4118</v>
      </c>
      <c r="G1547" s="165">
        <v>24000</v>
      </c>
      <c r="H1547" s="165">
        <v>1</v>
      </c>
      <c r="I1547" s="164" t="s">
        <v>187</v>
      </c>
      <c r="J1547" s="164" t="s">
        <v>713</v>
      </c>
      <c r="K1547" s="164" t="s">
        <v>714</v>
      </c>
      <c r="L1547" s="165">
        <v>4</v>
      </c>
      <c r="M1547" s="165">
        <v>5</v>
      </c>
      <c r="N1547" s="164" t="s">
        <v>1577</v>
      </c>
      <c r="O1547" s="165">
        <v>0</v>
      </c>
      <c r="P1547" s="165">
        <v>0</v>
      </c>
      <c r="Q1547" s="165">
        <v>21</v>
      </c>
      <c r="R1547" s="164" t="s">
        <v>200</v>
      </c>
      <c r="S1547" s="164" t="s">
        <v>201</v>
      </c>
      <c r="T1547" s="165">
        <v>412</v>
      </c>
      <c r="U1547" s="164" t="s">
        <v>200</v>
      </c>
      <c r="V1547" s="164" t="s">
        <v>1636</v>
      </c>
      <c r="W1547" s="165">
        <v>3</v>
      </c>
      <c r="X1547" s="165">
        <v>4</v>
      </c>
      <c r="Y1547" s="164" t="s">
        <v>203</v>
      </c>
      <c r="Z1547" s="164" t="s">
        <v>195</v>
      </c>
      <c r="AA1547" s="164" t="s">
        <v>196</v>
      </c>
      <c r="AB1547" s="164" t="s">
        <v>187</v>
      </c>
      <c r="AC1547" s="164" t="s">
        <v>187</v>
      </c>
      <c r="AD1547" s="165">
        <v>1</v>
      </c>
      <c r="AE1547" s="164" t="s">
        <v>187</v>
      </c>
      <c r="AF1547" s="165">
        <v>22.738880511151802</v>
      </c>
      <c r="AG1547" s="166">
        <v>92.0022356881191</v>
      </c>
      <c r="AO1547" s="121"/>
      <c r="AT1547" s="111"/>
      <c r="AX1547" s="121"/>
    </row>
    <row r="1548" spans="1:50" s="110" customFormat="1" ht="20" customHeight="1">
      <c r="A1548" s="125" t="s">
        <v>486</v>
      </c>
      <c r="B1548" s="126" t="s">
        <v>57</v>
      </c>
      <c r="C1548" s="127">
        <v>18273</v>
      </c>
      <c r="D1548" s="163">
        <v>113817</v>
      </c>
      <c r="E1548" s="164" t="s">
        <v>3976</v>
      </c>
      <c r="F1548" s="164" t="s">
        <v>3976</v>
      </c>
      <c r="G1548" s="165">
        <v>18000</v>
      </c>
      <c r="H1548" s="165">
        <v>1</v>
      </c>
      <c r="I1548" s="164" t="s">
        <v>187</v>
      </c>
      <c r="J1548" s="164" t="s">
        <v>198</v>
      </c>
      <c r="K1548" s="164" t="s">
        <v>199</v>
      </c>
      <c r="L1548" s="165">
        <v>5</v>
      </c>
      <c r="M1548" s="165">
        <v>5</v>
      </c>
      <c r="N1548" s="164" t="s">
        <v>1577</v>
      </c>
      <c r="O1548" s="165">
        <v>0</v>
      </c>
      <c r="P1548" s="165">
        <v>0</v>
      </c>
      <c r="Q1548" s="165">
        <v>21</v>
      </c>
      <c r="R1548" s="164" t="s">
        <v>200</v>
      </c>
      <c r="S1548" s="164" t="s">
        <v>201</v>
      </c>
      <c r="T1548" s="165">
        <v>412</v>
      </c>
      <c r="U1548" s="164" t="s">
        <v>200</v>
      </c>
      <c r="V1548" s="164" t="s">
        <v>1636</v>
      </c>
      <c r="W1548" s="165">
        <v>2</v>
      </c>
      <c r="X1548" s="165">
        <v>4</v>
      </c>
      <c r="Y1548" s="164" t="s">
        <v>203</v>
      </c>
      <c r="Z1548" s="164" t="s">
        <v>195</v>
      </c>
      <c r="AA1548" s="164" t="s">
        <v>196</v>
      </c>
      <c r="AB1548" s="164" t="s">
        <v>187</v>
      </c>
      <c r="AC1548" s="164" t="s">
        <v>187</v>
      </c>
      <c r="AD1548" s="165">
        <v>1</v>
      </c>
      <c r="AE1548" s="164" t="s">
        <v>187</v>
      </c>
      <c r="AF1548" s="165">
        <v>25.702505970541001</v>
      </c>
      <c r="AG1548" s="166">
        <v>88.976588558688206</v>
      </c>
      <c r="AO1548" s="121"/>
      <c r="AT1548" s="111"/>
      <c r="AX1548" s="121"/>
    </row>
    <row r="1549" spans="1:50" s="110" customFormat="1" ht="20" customHeight="1">
      <c r="A1549" s="125" t="s">
        <v>486</v>
      </c>
      <c r="B1549" s="126" t="s">
        <v>57</v>
      </c>
      <c r="C1549" s="127">
        <v>17763</v>
      </c>
      <c r="D1549" s="163">
        <v>113224</v>
      </c>
      <c r="E1549" s="164" t="s">
        <v>3832</v>
      </c>
      <c r="F1549" s="164" t="s">
        <v>3832</v>
      </c>
      <c r="G1549" s="165">
        <v>14000</v>
      </c>
      <c r="H1549" s="165">
        <v>1</v>
      </c>
      <c r="I1549" s="164" t="s">
        <v>187</v>
      </c>
      <c r="J1549" s="164" t="s">
        <v>198</v>
      </c>
      <c r="K1549" s="164" t="s">
        <v>199</v>
      </c>
      <c r="L1549" s="165">
        <v>5</v>
      </c>
      <c r="M1549" s="165">
        <v>5</v>
      </c>
      <c r="N1549" s="164" t="s">
        <v>1577</v>
      </c>
      <c r="O1549" s="165">
        <v>1.0009999999999999</v>
      </c>
      <c r="P1549" s="168"/>
      <c r="Q1549" s="165">
        <v>21</v>
      </c>
      <c r="R1549" s="164" t="s">
        <v>200</v>
      </c>
      <c r="S1549" s="164" t="s">
        <v>201</v>
      </c>
      <c r="T1549" s="165">
        <v>412</v>
      </c>
      <c r="U1549" s="164" t="s">
        <v>200</v>
      </c>
      <c r="V1549" s="164" t="s">
        <v>1636</v>
      </c>
      <c r="W1549" s="165">
        <v>3</v>
      </c>
      <c r="X1549" s="165">
        <v>4</v>
      </c>
      <c r="Y1549" s="164" t="s">
        <v>203</v>
      </c>
      <c r="Z1549" s="164" t="s">
        <v>195</v>
      </c>
      <c r="AA1549" s="164" t="s">
        <v>196</v>
      </c>
      <c r="AB1549" s="164" t="s">
        <v>187</v>
      </c>
      <c r="AC1549" s="164" t="s">
        <v>187</v>
      </c>
      <c r="AD1549" s="165">
        <v>1</v>
      </c>
      <c r="AE1549" s="164" t="s">
        <v>209</v>
      </c>
      <c r="AF1549" s="165">
        <v>22.638242946611999</v>
      </c>
      <c r="AG1549" s="166">
        <v>92.096901315677002</v>
      </c>
      <c r="AO1549" s="121"/>
      <c r="AT1549" s="111"/>
      <c r="AX1549" s="121"/>
    </row>
    <row r="1550" spans="1:50" s="110" customFormat="1" ht="20" customHeight="1">
      <c r="A1550" s="125" t="s">
        <v>486</v>
      </c>
      <c r="B1550" s="126" t="s">
        <v>57</v>
      </c>
      <c r="C1550" s="127">
        <v>16452</v>
      </c>
      <c r="D1550" s="163">
        <v>111613</v>
      </c>
      <c r="E1550" s="164" t="s">
        <v>3782</v>
      </c>
      <c r="F1550" s="164" t="s">
        <v>3782</v>
      </c>
      <c r="G1550" s="165">
        <v>13000</v>
      </c>
      <c r="H1550" s="165">
        <v>1</v>
      </c>
      <c r="I1550" s="164" t="s">
        <v>187</v>
      </c>
      <c r="J1550" s="164" t="s">
        <v>198</v>
      </c>
      <c r="K1550" s="164" t="s">
        <v>199</v>
      </c>
      <c r="L1550" s="165">
        <v>5</v>
      </c>
      <c r="M1550" s="165">
        <v>5</v>
      </c>
      <c r="N1550" s="164" t="s">
        <v>1577</v>
      </c>
      <c r="O1550" s="165">
        <v>0</v>
      </c>
      <c r="P1550" s="165">
        <v>0</v>
      </c>
      <c r="Q1550" s="165">
        <v>21</v>
      </c>
      <c r="R1550" s="164" t="s">
        <v>200</v>
      </c>
      <c r="S1550" s="164" t="s">
        <v>201</v>
      </c>
      <c r="T1550" s="165">
        <v>412</v>
      </c>
      <c r="U1550" s="164" t="s">
        <v>200</v>
      </c>
      <c r="V1550" s="164" t="s">
        <v>1636</v>
      </c>
      <c r="W1550" s="165">
        <v>2</v>
      </c>
      <c r="X1550" s="165">
        <v>4</v>
      </c>
      <c r="Y1550" s="164" t="s">
        <v>203</v>
      </c>
      <c r="Z1550" s="164" t="s">
        <v>195</v>
      </c>
      <c r="AA1550" s="164" t="s">
        <v>196</v>
      </c>
      <c r="AB1550" s="164" t="s">
        <v>187</v>
      </c>
      <c r="AC1550" s="164" t="s">
        <v>187</v>
      </c>
      <c r="AD1550" s="165">
        <v>1</v>
      </c>
      <c r="AE1550" s="164" t="s">
        <v>187</v>
      </c>
      <c r="AF1550" s="165">
        <v>25.1581087726045</v>
      </c>
      <c r="AG1550" s="166">
        <v>88.950111231735093</v>
      </c>
      <c r="AO1550" s="121"/>
      <c r="AT1550" s="111"/>
      <c r="AX1550" s="121"/>
    </row>
    <row r="1551" spans="1:50" s="110" customFormat="1" ht="20" customHeight="1">
      <c r="A1551" s="125" t="s">
        <v>486</v>
      </c>
      <c r="B1551" s="126" t="s">
        <v>57</v>
      </c>
      <c r="C1551" s="127">
        <v>12771</v>
      </c>
      <c r="D1551" s="163">
        <v>105163</v>
      </c>
      <c r="E1551" s="164" t="s">
        <v>3784</v>
      </c>
      <c r="F1551" s="164" t="s">
        <v>3784</v>
      </c>
      <c r="G1551" s="165">
        <v>13000</v>
      </c>
      <c r="H1551" s="165">
        <v>1</v>
      </c>
      <c r="I1551" s="164" t="s">
        <v>187</v>
      </c>
      <c r="J1551" s="164" t="s">
        <v>198</v>
      </c>
      <c r="K1551" s="164" t="s">
        <v>199</v>
      </c>
      <c r="L1551" s="165">
        <v>5</v>
      </c>
      <c r="M1551" s="165">
        <v>5</v>
      </c>
      <c r="N1551" s="164" t="s">
        <v>1577</v>
      </c>
      <c r="O1551" s="165">
        <v>0</v>
      </c>
      <c r="P1551" s="165">
        <v>0</v>
      </c>
      <c r="Q1551" s="165">
        <v>21</v>
      </c>
      <c r="R1551" s="164" t="s">
        <v>200</v>
      </c>
      <c r="S1551" s="164" t="s">
        <v>201</v>
      </c>
      <c r="T1551" s="165">
        <v>412</v>
      </c>
      <c r="U1551" s="164" t="s">
        <v>200</v>
      </c>
      <c r="V1551" s="164" t="s">
        <v>1636</v>
      </c>
      <c r="W1551" s="165">
        <v>2</v>
      </c>
      <c r="X1551" s="165">
        <v>4</v>
      </c>
      <c r="Y1551" s="164" t="s">
        <v>203</v>
      </c>
      <c r="Z1551" s="164" t="s">
        <v>195</v>
      </c>
      <c r="AA1551" s="164" t="s">
        <v>196</v>
      </c>
      <c r="AB1551" s="164" t="s">
        <v>187</v>
      </c>
      <c r="AC1551" s="164" t="s">
        <v>187</v>
      </c>
      <c r="AD1551" s="165">
        <v>1</v>
      </c>
      <c r="AE1551" s="164" t="s">
        <v>187</v>
      </c>
      <c r="AF1551" s="165">
        <v>24.346527999999999</v>
      </c>
      <c r="AG1551" s="166">
        <v>89.845197999999996</v>
      </c>
      <c r="AO1551" s="121"/>
      <c r="AT1551" s="111"/>
      <c r="AX1551" s="121"/>
    </row>
    <row r="1552" spans="1:50" s="110" customFormat="1" ht="20" customHeight="1">
      <c r="A1552" s="125" t="s">
        <v>486</v>
      </c>
      <c r="B1552" s="126" t="s">
        <v>57</v>
      </c>
      <c r="C1552" s="127">
        <v>17263</v>
      </c>
      <c r="D1552" s="163">
        <v>112632</v>
      </c>
      <c r="E1552" s="164" t="s">
        <v>3654</v>
      </c>
      <c r="F1552" s="164" t="s">
        <v>3654</v>
      </c>
      <c r="G1552" s="165">
        <v>11000</v>
      </c>
      <c r="H1552" s="165">
        <v>1</v>
      </c>
      <c r="I1552" s="164" t="s">
        <v>187</v>
      </c>
      <c r="J1552" s="164" t="s">
        <v>198</v>
      </c>
      <c r="K1552" s="164" t="s">
        <v>199</v>
      </c>
      <c r="L1552" s="165">
        <v>5</v>
      </c>
      <c r="M1552" s="165">
        <v>5</v>
      </c>
      <c r="N1552" s="164" t="s">
        <v>1577</v>
      </c>
      <c r="O1552" s="165">
        <v>0.497</v>
      </c>
      <c r="P1552" s="168"/>
      <c r="Q1552" s="165">
        <v>21</v>
      </c>
      <c r="R1552" s="164" t="s">
        <v>200</v>
      </c>
      <c r="S1552" s="164" t="s">
        <v>201</v>
      </c>
      <c r="T1552" s="165">
        <v>412</v>
      </c>
      <c r="U1552" s="164" t="s">
        <v>200</v>
      </c>
      <c r="V1552" s="164" t="s">
        <v>1636</v>
      </c>
      <c r="W1552" s="165">
        <v>3</v>
      </c>
      <c r="X1552" s="165">
        <v>4</v>
      </c>
      <c r="Y1552" s="164" t="s">
        <v>203</v>
      </c>
      <c r="Z1552" s="164" t="s">
        <v>195</v>
      </c>
      <c r="AA1552" s="164" t="s">
        <v>196</v>
      </c>
      <c r="AB1552" s="164" t="s">
        <v>187</v>
      </c>
      <c r="AC1552" s="164" t="s">
        <v>187</v>
      </c>
      <c r="AD1552" s="165">
        <v>1</v>
      </c>
      <c r="AE1552" s="164" t="s">
        <v>209</v>
      </c>
      <c r="AF1552" s="165">
        <v>24.662205586446401</v>
      </c>
      <c r="AG1552" s="166">
        <v>89.628344428761096</v>
      </c>
      <c r="AO1552" s="121"/>
      <c r="AT1552" s="111"/>
      <c r="AX1552" s="121"/>
    </row>
    <row r="1553" spans="1:50" s="110" customFormat="1" ht="20" customHeight="1">
      <c r="A1553" s="125" t="s">
        <v>486</v>
      </c>
      <c r="B1553" s="126" t="s">
        <v>57</v>
      </c>
      <c r="C1553" s="127">
        <v>17711</v>
      </c>
      <c r="D1553" s="163">
        <v>113160</v>
      </c>
      <c r="E1553" s="164" t="s">
        <v>3609</v>
      </c>
      <c r="F1553" s="164" t="s">
        <v>3609</v>
      </c>
      <c r="G1553" s="165">
        <v>10000</v>
      </c>
      <c r="H1553" s="165">
        <v>1</v>
      </c>
      <c r="I1553" s="164" t="s">
        <v>187</v>
      </c>
      <c r="J1553" s="164" t="s">
        <v>198</v>
      </c>
      <c r="K1553" s="164" t="s">
        <v>199</v>
      </c>
      <c r="L1553" s="165">
        <v>5</v>
      </c>
      <c r="M1553" s="165">
        <v>5</v>
      </c>
      <c r="N1553" s="164" t="s">
        <v>1577</v>
      </c>
      <c r="O1553" s="165">
        <v>0</v>
      </c>
      <c r="P1553" s="165">
        <v>0</v>
      </c>
      <c r="Q1553" s="165">
        <v>21</v>
      </c>
      <c r="R1553" s="164" t="s">
        <v>200</v>
      </c>
      <c r="S1553" s="164" t="s">
        <v>201</v>
      </c>
      <c r="T1553" s="165">
        <v>412</v>
      </c>
      <c r="U1553" s="164" t="s">
        <v>200</v>
      </c>
      <c r="V1553" s="164" t="s">
        <v>1636</v>
      </c>
      <c r="W1553" s="165">
        <v>3</v>
      </c>
      <c r="X1553" s="165">
        <v>4</v>
      </c>
      <c r="Y1553" s="164" t="s">
        <v>203</v>
      </c>
      <c r="Z1553" s="164" t="s">
        <v>195</v>
      </c>
      <c r="AA1553" s="164" t="s">
        <v>196</v>
      </c>
      <c r="AB1553" s="164" t="s">
        <v>187</v>
      </c>
      <c r="AC1553" s="164" t="s">
        <v>187</v>
      </c>
      <c r="AD1553" s="165">
        <v>1</v>
      </c>
      <c r="AE1553" s="164" t="s">
        <v>187</v>
      </c>
      <c r="AF1553" s="165">
        <v>25.649591195915999</v>
      </c>
      <c r="AG1553" s="166">
        <v>88.888591882070699</v>
      </c>
      <c r="AO1553" s="121"/>
      <c r="AT1553" s="111"/>
      <c r="AX1553" s="121"/>
    </row>
    <row r="1554" spans="1:50" s="110" customFormat="1" ht="20" customHeight="1">
      <c r="A1554" s="125" t="s">
        <v>486</v>
      </c>
      <c r="B1554" s="126" t="s">
        <v>57</v>
      </c>
      <c r="C1554" s="127">
        <v>10736</v>
      </c>
      <c r="D1554" s="163">
        <v>115233</v>
      </c>
      <c r="E1554" s="164" t="s">
        <v>3608</v>
      </c>
      <c r="F1554" s="164" t="s">
        <v>3608</v>
      </c>
      <c r="G1554" s="165">
        <v>9900</v>
      </c>
      <c r="H1554" s="165">
        <v>1</v>
      </c>
      <c r="I1554" s="164" t="s">
        <v>187</v>
      </c>
      <c r="J1554" s="164" t="s">
        <v>198</v>
      </c>
      <c r="K1554" s="164" t="s">
        <v>199</v>
      </c>
      <c r="L1554" s="165">
        <v>5</v>
      </c>
      <c r="M1554" s="165">
        <v>5</v>
      </c>
      <c r="N1554" s="164" t="s">
        <v>1577</v>
      </c>
      <c r="O1554" s="165">
        <v>0</v>
      </c>
      <c r="P1554" s="165">
        <v>0</v>
      </c>
      <c r="Q1554" s="165">
        <v>21</v>
      </c>
      <c r="R1554" s="164" t="s">
        <v>200</v>
      </c>
      <c r="S1554" s="164" t="s">
        <v>201</v>
      </c>
      <c r="T1554" s="165">
        <v>412</v>
      </c>
      <c r="U1554" s="164" t="s">
        <v>200</v>
      </c>
      <c r="V1554" s="164" t="s">
        <v>1636</v>
      </c>
      <c r="W1554" s="165">
        <v>2</v>
      </c>
      <c r="X1554" s="165">
        <v>4</v>
      </c>
      <c r="Y1554" s="164" t="s">
        <v>203</v>
      </c>
      <c r="Z1554" s="164" t="s">
        <v>195</v>
      </c>
      <c r="AA1554" s="164" t="s">
        <v>196</v>
      </c>
      <c r="AB1554" s="164" t="s">
        <v>187</v>
      </c>
      <c r="AC1554" s="164" t="s">
        <v>187</v>
      </c>
      <c r="AD1554" s="165">
        <v>1</v>
      </c>
      <c r="AE1554" s="164" t="s">
        <v>187</v>
      </c>
      <c r="AF1554" s="165">
        <v>22.5181854782249</v>
      </c>
      <c r="AG1554" s="166">
        <v>91.968845136523498</v>
      </c>
      <c r="AO1554" s="121"/>
      <c r="AT1554" s="111"/>
      <c r="AX1554" s="121"/>
    </row>
    <row r="1555" spans="1:50" s="110" customFormat="1" ht="20" customHeight="1">
      <c r="A1555" s="125" t="s">
        <v>486</v>
      </c>
      <c r="B1555" s="126" t="s">
        <v>57</v>
      </c>
      <c r="C1555" s="127">
        <v>17896</v>
      </c>
      <c r="D1555" s="163">
        <v>113376</v>
      </c>
      <c r="E1555" s="164" t="s">
        <v>3586</v>
      </c>
      <c r="F1555" s="164" t="s">
        <v>3586</v>
      </c>
      <c r="G1555" s="165">
        <v>9500</v>
      </c>
      <c r="H1555" s="165">
        <v>1</v>
      </c>
      <c r="I1555" s="164" t="s">
        <v>187</v>
      </c>
      <c r="J1555" s="164" t="s">
        <v>198</v>
      </c>
      <c r="K1555" s="164" t="s">
        <v>199</v>
      </c>
      <c r="L1555" s="165">
        <v>5</v>
      </c>
      <c r="M1555" s="165">
        <v>5</v>
      </c>
      <c r="N1555" s="164" t="s">
        <v>1577</v>
      </c>
      <c r="O1555" s="165">
        <v>0</v>
      </c>
      <c r="P1555" s="165">
        <v>0</v>
      </c>
      <c r="Q1555" s="165">
        <v>21</v>
      </c>
      <c r="R1555" s="164" t="s">
        <v>200</v>
      </c>
      <c r="S1555" s="164" t="s">
        <v>201</v>
      </c>
      <c r="T1555" s="165">
        <v>412</v>
      </c>
      <c r="U1555" s="164" t="s">
        <v>200</v>
      </c>
      <c r="V1555" s="164" t="s">
        <v>1636</v>
      </c>
      <c r="W1555" s="165">
        <v>2</v>
      </c>
      <c r="X1555" s="165">
        <v>4</v>
      </c>
      <c r="Y1555" s="164" t="s">
        <v>203</v>
      </c>
      <c r="Z1555" s="164" t="s">
        <v>195</v>
      </c>
      <c r="AA1555" s="164" t="s">
        <v>196</v>
      </c>
      <c r="AB1555" s="164" t="s">
        <v>187</v>
      </c>
      <c r="AC1555" s="164" t="s">
        <v>187</v>
      </c>
      <c r="AD1555" s="165">
        <v>1</v>
      </c>
      <c r="AE1555" s="164" t="s">
        <v>187</v>
      </c>
      <c r="AF1555" s="165">
        <v>23.261225320514999</v>
      </c>
      <c r="AG1555" s="166">
        <v>89.432346639472897</v>
      </c>
      <c r="AO1555" s="121"/>
      <c r="AT1555" s="111"/>
      <c r="AX1555" s="121"/>
    </row>
    <row r="1556" spans="1:50" s="110" customFormat="1" ht="20" customHeight="1">
      <c r="A1556" s="125" t="s">
        <v>486</v>
      </c>
      <c r="B1556" s="126" t="s">
        <v>57</v>
      </c>
      <c r="C1556" s="127">
        <v>17934</v>
      </c>
      <c r="D1556" s="163">
        <v>113422</v>
      </c>
      <c r="E1556" s="164" t="s">
        <v>3587</v>
      </c>
      <c r="F1556" s="164" t="s">
        <v>3587</v>
      </c>
      <c r="G1556" s="165">
        <v>9500</v>
      </c>
      <c r="H1556" s="165">
        <v>1</v>
      </c>
      <c r="I1556" s="164" t="s">
        <v>187</v>
      </c>
      <c r="J1556" s="164" t="s">
        <v>198</v>
      </c>
      <c r="K1556" s="164" t="s">
        <v>199</v>
      </c>
      <c r="L1556" s="165">
        <v>5</v>
      </c>
      <c r="M1556" s="165">
        <v>5</v>
      </c>
      <c r="N1556" s="164" t="s">
        <v>1577</v>
      </c>
      <c r="O1556" s="165">
        <v>0</v>
      </c>
      <c r="P1556" s="165">
        <v>0</v>
      </c>
      <c r="Q1556" s="165">
        <v>21</v>
      </c>
      <c r="R1556" s="164" t="s">
        <v>200</v>
      </c>
      <c r="S1556" s="164" t="s">
        <v>201</v>
      </c>
      <c r="T1556" s="165">
        <v>412</v>
      </c>
      <c r="U1556" s="164" t="s">
        <v>200</v>
      </c>
      <c r="V1556" s="164" t="s">
        <v>1636</v>
      </c>
      <c r="W1556" s="165">
        <v>2</v>
      </c>
      <c r="X1556" s="165">
        <v>4</v>
      </c>
      <c r="Y1556" s="164" t="s">
        <v>203</v>
      </c>
      <c r="Z1556" s="164" t="s">
        <v>195</v>
      </c>
      <c r="AA1556" s="164" t="s">
        <v>196</v>
      </c>
      <c r="AB1556" s="164" t="s">
        <v>187</v>
      </c>
      <c r="AC1556" s="164" t="s">
        <v>187</v>
      </c>
      <c r="AD1556" s="165">
        <v>1</v>
      </c>
      <c r="AE1556" s="164" t="s">
        <v>187</v>
      </c>
      <c r="AF1556" s="165">
        <v>25.118748</v>
      </c>
      <c r="AG1556" s="166">
        <v>88.661608999999999</v>
      </c>
      <c r="AO1556" s="121"/>
      <c r="AT1556" s="111"/>
      <c r="AX1556" s="121"/>
    </row>
    <row r="1557" spans="1:50" s="110" customFormat="1" ht="20" customHeight="1">
      <c r="A1557" s="125" t="s">
        <v>486</v>
      </c>
      <c r="B1557" s="126" t="s">
        <v>57</v>
      </c>
      <c r="C1557" s="127">
        <v>17853</v>
      </c>
      <c r="D1557" s="163">
        <v>113329</v>
      </c>
      <c r="E1557" s="164" t="s">
        <v>3515</v>
      </c>
      <c r="F1557" s="164" t="s">
        <v>3515</v>
      </c>
      <c r="G1557" s="165">
        <v>8600</v>
      </c>
      <c r="H1557" s="165">
        <v>1</v>
      </c>
      <c r="I1557" s="164" t="s">
        <v>187</v>
      </c>
      <c r="J1557" s="164" t="s">
        <v>198</v>
      </c>
      <c r="K1557" s="164" t="s">
        <v>199</v>
      </c>
      <c r="L1557" s="165">
        <v>5</v>
      </c>
      <c r="M1557" s="165">
        <v>5</v>
      </c>
      <c r="N1557" s="164" t="s">
        <v>1577</v>
      </c>
      <c r="O1557" s="165">
        <v>0</v>
      </c>
      <c r="P1557" s="165">
        <v>0</v>
      </c>
      <c r="Q1557" s="165">
        <v>21</v>
      </c>
      <c r="R1557" s="164" t="s">
        <v>200</v>
      </c>
      <c r="S1557" s="164" t="s">
        <v>201</v>
      </c>
      <c r="T1557" s="165">
        <v>412</v>
      </c>
      <c r="U1557" s="164" t="s">
        <v>200</v>
      </c>
      <c r="V1557" s="164" t="s">
        <v>1636</v>
      </c>
      <c r="W1557" s="165">
        <v>2</v>
      </c>
      <c r="X1557" s="165">
        <v>4</v>
      </c>
      <c r="Y1557" s="164" t="s">
        <v>203</v>
      </c>
      <c r="Z1557" s="164" t="s">
        <v>195</v>
      </c>
      <c r="AA1557" s="164" t="s">
        <v>196</v>
      </c>
      <c r="AB1557" s="164" t="s">
        <v>187</v>
      </c>
      <c r="AC1557" s="164" t="s">
        <v>187</v>
      </c>
      <c r="AD1557" s="165">
        <v>1</v>
      </c>
      <c r="AE1557" s="164" t="s">
        <v>187</v>
      </c>
      <c r="AF1557" s="165">
        <v>23.982972440125799</v>
      </c>
      <c r="AG1557" s="166">
        <v>90.609420146933005</v>
      </c>
      <c r="AO1557" s="121"/>
      <c r="AT1557" s="111"/>
      <c r="AX1557" s="121"/>
    </row>
    <row r="1558" spans="1:50" s="110" customFormat="1" ht="20" customHeight="1">
      <c r="A1558" s="125" t="s">
        <v>486</v>
      </c>
      <c r="B1558" s="126" t="s">
        <v>57</v>
      </c>
      <c r="C1558" s="127">
        <v>17085</v>
      </c>
      <c r="D1558" s="163">
        <v>112425</v>
      </c>
      <c r="E1558" s="164" t="s">
        <v>3182</v>
      </c>
      <c r="F1558" s="164" t="s">
        <v>3182</v>
      </c>
      <c r="G1558" s="165">
        <v>5000</v>
      </c>
      <c r="H1558" s="165">
        <v>1</v>
      </c>
      <c r="I1558" s="164" t="s">
        <v>187</v>
      </c>
      <c r="J1558" s="164" t="s">
        <v>198</v>
      </c>
      <c r="K1558" s="164" t="s">
        <v>199</v>
      </c>
      <c r="L1558" s="165">
        <v>5</v>
      </c>
      <c r="M1558" s="165">
        <v>5</v>
      </c>
      <c r="N1558" s="164" t="s">
        <v>1577</v>
      </c>
      <c r="O1558" s="165">
        <v>0</v>
      </c>
      <c r="P1558" s="165">
        <v>0</v>
      </c>
      <c r="Q1558" s="165">
        <v>21</v>
      </c>
      <c r="R1558" s="164" t="s">
        <v>200</v>
      </c>
      <c r="S1558" s="164" t="s">
        <v>201</v>
      </c>
      <c r="T1558" s="165">
        <v>412</v>
      </c>
      <c r="U1558" s="164" t="s">
        <v>200</v>
      </c>
      <c r="V1558" s="164" t="s">
        <v>1636</v>
      </c>
      <c r="W1558" s="165">
        <v>2</v>
      </c>
      <c r="X1558" s="165">
        <v>4</v>
      </c>
      <c r="Y1558" s="164" t="s">
        <v>203</v>
      </c>
      <c r="Z1558" s="164" t="s">
        <v>195</v>
      </c>
      <c r="AA1558" s="164" t="s">
        <v>196</v>
      </c>
      <c r="AB1558" s="164" t="s">
        <v>187</v>
      </c>
      <c r="AC1558" s="164" t="s">
        <v>187</v>
      </c>
      <c r="AD1558" s="165">
        <v>1</v>
      </c>
      <c r="AE1558" s="164" t="s">
        <v>187</v>
      </c>
      <c r="AF1558" s="165">
        <v>22.4415002180376</v>
      </c>
      <c r="AG1558" s="166">
        <v>89.657591045288896</v>
      </c>
      <c r="AO1558" s="121"/>
      <c r="AT1558" s="111"/>
      <c r="AX1558" s="121"/>
    </row>
    <row r="1559" spans="1:50" s="110" customFormat="1" ht="20" customHeight="1">
      <c r="A1559" s="125" t="s">
        <v>486</v>
      </c>
      <c r="B1559" s="126" t="s">
        <v>57</v>
      </c>
      <c r="C1559" s="127">
        <v>17840</v>
      </c>
      <c r="D1559" s="163">
        <v>113314</v>
      </c>
      <c r="E1559" s="164" t="s">
        <v>2996</v>
      </c>
      <c r="F1559" s="164" t="s">
        <v>2996</v>
      </c>
      <c r="G1559" s="165">
        <v>3700</v>
      </c>
      <c r="H1559" s="165">
        <v>1</v>
      </c>
      <c r="I1559" s="164" t="s">
        <v>187</v>
      </c>
      <c r="J1559" s="164" t="s">
        <v>1041</v>
      </c>
      <c r="K1559" s="164" t="s">
        <v>1042</v>
      </c>
      <c r="L1559" s="165">
        <v>5</v>
      </c>
      <c r="M1559" s="165">
        <v>5</v>
      </c>
      <c r="N1559" s="164" t="s">
        <v>1577</v>
      </c>
      <c r="O1559" s="165">
        <v>0</v>
      </c>
      <c r="P1559" s="165">
        <v>0</v>
      </c>
      <c r="Q1559" s="165">
        <v>21</v>
      </c>
      <c r="R1559" s="164" t="s">
        <v>200</v>
      </c>
      <c r="S1559" s="164" t="s">
        <v>201</v>
      </c>
      <c r="T1559" s="165">
        <v>412</v>
      </c>
      <c r="U1559" s="164" t="s">
        <v>200</v>
      </c>
      <c r="V1559" s="164" t="s">
        <v>1636</v>
      </c>
      <c r="W1559" s="165">
        <v>2</v>
      </c>
      <c r="X1559" s="165">
        <v>4</v>
      </c>
      <c r="Y1559" s="164" t="s">
        <v>203</v>
      </c>
      <c r="Z1559" s="164" t="s">
        <v>195</v>
      </c>
      <c r="AA1559" s="164" t="s">
        <v>196</v>
      </c>
      <c r="AB1559" s="164" t="s">
        <v>187</v>
      </c>
      <c r="AC1559" s="164" t="s">
        <v>187</v>
      </c>
      <c r="AD1559" s="165">
        <v>1</v>
      </c>
      <c r="AE1559" s="164" t="s">
        <v>187</v>
      </c>
      <c r="AF1559" s="165">
        <v>24.739310519929099</v>
      </c>
      <c r="AG1559" s="166">
        <v>90.554781011412302</v>
      </c>
      <c r="AO1559" s="121"/>
      <c r="AT1559" s="111"/>
      <c r="AX1559" s="121"/>
    </row>
    <row r="1560" spans="1:50" s="110" customFormat="1" ht="20" customHeight="1">
      <c r="A1560" s="125" t="s">
        <v>486</v>
      </c>
      <c r="B1560" s="126" t="s">
        <v>57</v>
      </c>
      <c r="C1560" s="127">
        <v>16727</v>
      </c>
      <c r="D1560" s="163">
        <v>111968</v>
      </c>
      <c r="E1560" s="164" t="s">
        <v>2835</v>
      </c>
      <c r="F1560" s="164" t="s">
        <v>2835</v>
      </c>
      <c r="G1560" s="165">
        <v>2700</v>
      </c>
      <c r="H1560" s="165">
        <v>1</v>
      </c>
      <c r="I1560" s="164" t="s">
        <v>187</v>
      </c>
      <c r="J1560" s="164" t="s">
        <v>198</v>
      </c>
      <c r="K1560" s="164" t="s">
        <v>199</v>
      </c>
      <c r="L1560" s="165">
        <v>5</v>
      </c>
      <c r="M1560" s="165">
        <v>5</v>
      </c>
      <c r="N1560" s="164" t="s">
        <v>1577</v>
      </c>
      <c r="O1560" s="165">
        <v>0</v>
      </c>
      <c r="P1560" s="165">
        <v>0</v>
      </c>
      <c r="Q1560" s="165">
        <v>21</v>
      </c>
      <c r="R1560" s="164" t="s">
        <v>200</v>
      </c>
      <c r="S1560" s="164" t="s">
        <v>201</v>
      </c>
      <c r="T1560" s="165">
        <v>412</v>
      </c>
      <c r="U1560" s="164" t="s">
        <v>200</v>
      </c>
      <c r="V1560" s="164" t="s">
        <v>1636</v>
      </c>
      <c r="W1560" s="165">
        <v>2</v>
      </c>
      <c r="X1560" s="165">
        <v>4</v>
      </c>
      <c r="Y1560" s="164" t="s">
        <v>203</v>
      </c>
      <c r="Z1560" s="164" t="s">
        <v>195</v>
      </c>
      <c r="AA1560" s="164" t="s">
        <v>196</v>
      </c>
      <c r="AB1560" s="164" t="s">
        <v>187</v>
      </c>
      <c r="AC1560" s="164" t="s">
        <v>187</v>
      </c>
      <c r="AD1560" s="165">
        <v>1</v>
      </c>
      <c r="AE1560" s="164" t="s">
        <v>187</v>
      </c>
      <c r="AF1560" s="165">
        <v>25.6837716275178</v>
      </c>
      <c r="AG1560" s="166">
        <v>89.471353100964393</v>
      </c>
      <c r="AO1560" s="121"/>
      <c r="AT1560" s="111"/>
      <c r="AX1560" s="121"/>
    </row>
    <row r="1561" spans="1:50" s="110" customFormat="1" ht="20" customHeight="1">
      <c r="A1561" s="125" t="s">
        <v>486</v>
      </c>
      <c r="B1561" s="126" t="s">
        <v>57</v>
      </c>
      <c r="C1561" s="127">
        <v>17143</v>
      </c>
      <c r="D1561" s="163">
        <v>112492</v>
      </c>
      <c r="E1561" s="164" t="s">
        <v>2765</v>
      </c>
      <c r="F1561" s="164" t="s">
        <v>2765</v>
      </c>
      <c r="G1561" s="165">
        <v>2300</v>
      </c>
      <c r="H1561" s="165">
        <v>1</v>
      </c>
      <c r="I1561" s="164" t="s">
        <v>187</v>
      </c>
      <c r="J1561" s="164" t="s">
        <v>647</v>
      </c>
      <c r="K1561" s="164" t="s">
        <v>648</v>
      </c>
      <c r="L1561" s="165">
        <v>4</v>
      </c>
      <c r="M1561" s="165">
        <v>5</v>
      </c>
      <c r="N1561" s="164" t="s">
        <v>1577</v>
      </c>
      <c r="O1561" s="165">
        <v>0</v>
      </c>
      <c r="P1561" s="165">
        <v>0</v>
      </c>
      <c r="Q1561" s="165">
        <v>21</v>
      </c>
      <c r="R1561" s="164" t="s">
        <v>200</v>
      </c>
      <c r="S1561" s="164" t="s">
        <v>201</v>
      </c>
      <c r="T1561" s="165">
        <v>412</v>
      </c>
      <c r="U1561" s="164" t="s">
        <v>200</v>
      </c>
      <c r="V1561" s="164" t="s">
        <v>1636</v>
      </c>
      <c r="W1561" s="165">
        <v>2</v>
      </c>
      <c r="X1561" s="165">
        <v>4</v>
      </c>
      <c r="Y1561" s="164" t="s">
        <v>203</v>
      </c>
      <c r="Z1561" s="164" t="s">
        <v>195</v>
      </c>
      <c r="AA1561" s="164" t="s">
        <v>196</v>
      </c>
      <c r="AB1561" s="164" t="s">
        <v>187</v>
      </c>
      <c r="AC1561" s="164" t="s">
        <v>187</v>
      </c>
      <c r="AD1561" s="165">
        <v>1</v>
      </c>
      <c r="AE1561" s="164" t="s">
        <v>187</v>
      </c>
      <c r="AF1561" s="165">
        <v>24.963907569602899</v>
      </c>
      <c r="AG1561" s="166">
        <v>92.267387102975405</v>
      </c>
      <c r="AO1561" s="121"/>
      <c r="AT1561" s="111"/>
      <c r="AX1561" s="121"/>
    </row>
    <row r="1562" spans="1:50" s="110" customFormat="1" ht="20" customHeight="1">
      <c r="A1562" s="125" t="s">
        <v>486</v>
      </c>
      <c r="B1562" s="126" t="s">
        <v>57</v>
      </c>
      <c r="C1562" s="127">
        <v>16288</v>
      </c>
      <c r="D1562" s="163">
        <v>111413</v>
      </c>
      <c r="E1562" s="164" t="s">
        <v>2736</v>
      </c>
      <c r="F1562" s="164" t="s">
        <v>2736</v>
      </c>
      <c r="G1562" s="165">
        <v>2200</v>
      </c>
      <c r="H1562" s="165">
        <v>1</v>
      </c>
      <c r="I1562" s="164" t="s">
        <v>187</v>
      </c>
      <c r="J1562" s="164" t="s">
        <v>198</v>
      </c>
      <c r="K1562" s="164" t="s">
        <v>199</v>
      </c>
      <c r="L1562" s="165">
        <v>5</v>
      </c>
      <c r="M1562" s="165">
        <v>5</v>
      </c>
      <c r="N1562" s="164" t="s">
        <v>1577</v>
      </c>
      <c r="O1562" s="165">
        <v>0</v>
      </c>
      <c r="P1562" s="165">
        <v>0</v>
      </c>
      <c r="Q1562" s="165">
        <v>21</v>
      </c>
      <c r="R1562" s="164" t="s">
        <v>200</v>
      </c>
      <c r="S1562" s="164" t="s">
        <v>201</v>
      </c>
      <c r="T1562" s="165">
        <v>412</v>
      </c>
      <c r="U1562" s="164" t="s">
        <v>200</v>
      </c>
      <c r="V1562" s="164" t="s">
        <v>1636</v>
      </c>
      <c r="W1562" s="165">
        <v>2</v>
      </c>
      <c r="X1562" s="165">
        <v>4</v>
      </c>
      <c r="Y1562" s="164" t="s">
        <v>203</v>
      </c>
      <c r="Z1562" s="164" t="s">
        <v>195</v>
      </c>
      <c r="AA1562" s="164" t="s">
        <v>196</v>
      </c>
      <c r="AB1562" s="164" t="s">
        <v>187</v>
      </c>
      <c r="AC1562" s="164" t="s">
        <v>187</v>
      </c>
      <c r="AD1562" s="165">
        <v>1</v>
      </c>
      <c r="AE1562" s="164" t="s">
        <v>187</v>
      </c>
      <c r="AF1562" s="165">
        <v>24.945809000000001</v>
      </c>
      <c r="AG1562" s="166">
        <v>90.363387000000003</v>
      </c>
      <c r="AO1562" s="121"/>
      <c r="AT1562" s="111"/>
      <c r="AX1562" s="121"/>
    </row>
    <row r="1563" spans="1:50" s="110" customFormat="1" ht="20" customHeight="1">
      <c r="A1563" s="125" t="s">
        <v>486</v>
      </c>
      <c r="B1563" s="126" t="s">
        <v>57</v>
      </c>
      <c r="C1563" s="127">
        <v>17104</v>
      </c>
      <c r="D1563" s="163">
        <v>112446</v>
      </c>
      <c r="E1563" s="164" t="s">
        <v>2473</v>
      </c>
      <c r="F1563" s="164" t="s">
        <v>2473</v>
      </c>
      <c r="G1563" s="165">
        <v>1400</v>
      </c>
      <c r="H1563" s="165">
        <v>1</v>
      </c>
      <c r="I1563" s="164" t="s">
        <v>187</v>
      </c>
      <c r="J1563" s="164" t="s">
        <v>198</v>
      </c>
      <c r="K1563" s="164" t="s">
        <v>199</v>
      </c>
      <c r="L1563" s="165">
        <v>5</v>
      </c>
      <c r="M1563" s="165">
        <v>5</v>
      </c>
      <c r="N1563" s="164" t="s">
        <v>1577</v>
      </c>
      <c r="O1563" s="165">
        <v>0</v>
      </c>
      <c r="P1563" s="165">
        <v>0</v>
      </c>
      <c r="Q1563" s="165">
        <v>21</v>
      </c>
      <c r="R1563" s="164" t="s">
        <v>200</v>
      </c>
      <c r="S1563" s="164" t="s">
        <v>201</v>
      </c>
      <c r="T1563" s="165">
        <v>412</v>
      </c>
      <c r="U1563" s="164" t="s">
        <v>200</v>
      </c>
      <c r="V1563" s="164" t="s">
        <v>1636</v>
      </c>
      <c r="W1563" s="165">
        <v>2</v>
      </c>
      <c r="X1563" s="165">
        <v>4</v>
      </c>
      <c r="Y1563" s="164" t="s">
        <v>203</v>
      </c>
      <c r="Z1563" s="164" t="s">
        <v>195</v>
      </c>
      <c r="AA1563" s="164" t="s">
        <v>196</v>
      </c>
      <c r="AB1563" s="164" t="s">
        <v>187</v>
      </c>
      <c r="AC1563" s="164" t="s">
        <v>187</v>
      </c>
      <c r="AD1563" s="165">
        <v>1</v>
      </c>
      <c r="AE1563" s="164" t="s">
        <v>187</v>
      </c>
      <c r="AF1563" s="165">
        <v>25.066865604437101</v>
      </c>
      <c r="AG1563" s="166">
        <v>89.497776939777594</v>
      </c>
      <c r="AO1563" s="121"/>
      <c r="AT1563" s="111"/>
      <c r="AX1563" s="121"/>
    </row>
    <row r="1564" spans="1:50" s="110" customFormat="1" ht="20" customHeight="1">
      <c r="A1564" s="125" t="s">
        <v>486</v>
      </c>
      <c r="B1564" s="126" t="s">
        <v>57</v>
      </c>
      <c r="C1564" s="127">
        <v>16823</v>
      </c>
      <c r="D1564" s="163">
        <v>112092</v>
      </c>
      <c r="E1564" s="164" t="s">
        <v>2445</v>
      </c>
      <c r="F1564" s="164" t="s">
        <v>2445</v>
      </c>
      <c r="G1564" s="165">
        <v>1300</v>
      </c>
      <c r="H1564" s="165">
        <v>1</v>
      </c>
      <c r="I1564" s="164" t="s">
        <v>187</v>
      </c>
      <c r="J1564" s="164" t="s">
        <v>198</v>
      </c>
      <c r="K1564" s="164" t="s">
        <v>199</v>
      </c>
      <c r="L1564" s="165">
        <v>5</v>
      </c>
      <c r="M1564" s="165">
        <v>5</v>
      </c>
      <c r="N1564" s="164" t="s">
        <v>1577</v>
      </c>
      <c r="O1564" s="165">
        <v>0</v>
      </c>
      <c r="P1564" s="165">
        <v>0</v>
      </c>
      <c r="Q1564" s="165">
        <v>21</v>
      </c>
      <c r="R1564" s="164" t="s">
        <v>200</v>
      </c>
      <c r="S1564" s="164" t="s">
        <v>201</v>
      </c>
      <c r="T1564" s="165">
        <v>412</v>
      </c>
      <c r="U1564" s="164" t="s">
        <v>200</v>
      </c>
      <c r="V1564" s="164" t="s">
        <v>1636</v>
      </c>
      <c r="W1564" s="165">
        <v>2</v>
      </c>
      <c r="X1564" s="165">
        <v>4</v>
      </c>
      <c r="Y1564" s="164" t="s">
        <v>203</v>
      </c>
      <c r="Z1564" s="164" t="s">
        <v>195</v>
      </c>
      <c r="AA1564" s="164" t="s">
        <v>196</v>
      </c>
      <c r="AB1564" s="164" t="s">
        <v>187</v>
      </c>
      <c r="AC1564" s="164" t="s">
        <v>187</v>
      </c>
      <c r="AD1564" s="165">
        <v>1</v>
      </c>
      <c r="AE1564" s="164" t="s">
        <v>187</v>
      </c>
      <c r="AF1564" s="165">
        <v>22.908897</v>
      </c>
      <c r="AG1564" s="166">
        <v>91.948025999999999</v>
      </c>
      <c r="AO1564" s="121"/>
      <c r="AT1564" s="111"/>
      <c r="AX1564" s="121"/>
    </row>
    <row r="1565" spans="1:50" s="110" customFormat="1" ht="20" customHeight="1">
      <c r="A1565" s="125" t="s">
        <v>486</v>
      </c>
      <c r="B1565" s="126" t="s">
        <v>57</v>
      </c>
      <c r="C1565" s="127">
        <v>21122</v>
      </c>
      <c r="D1565" s="163">
        <v>117945</v>
      </c>
      <c r="E1565" s="164" t="s">
        <v>2346</v>
      </c>
      <c r="F1565" s="164" t="s">
        <v>2346</v>
      </c>
      <c r="G1565" s="165">
        <v>1100</v>
      </c>
      <c r="H1565" s="165">
        <v>1</v>
      </c>
      <c r="I1565" s="164" t="s">
        <v>187</v>
      </c>
      <c r="J1565" s="164" t="s">
        <v>198</v>
      </c>
      <c r="K1565" s="164" t="s">
        <v>199</v>
      </c>
      <c r="L1565" s="165">
        <v>5</v>
      </c>
      <c r="M1565" s="165">
        <v>5</v>
      </c>
      <c r="N1565" s="164" t="s">
        <v>1577</v>
      </c>
      <c r="O1565" s="165">
        <v>0</v>
      </c>
      <c r="P1565" s="165">
        <v>0</v>
      </c>
      <c r="Q1565" s="165">
        <v>21</v>
      </c>
      <c r="R1565" s="164" t="s">
        <v>200</v>
      </c>
      <c r="S1565" s="164" t="s">
        <v>201</v>
      </c>
      <c r="T1565" s="165">
        <v>412</v>
      </c>
      <c r="U1565" s="164" t="s">
        <v>200</v>
      </c>
      <c r="V1565" s="164" t="s">
        <v>1636</v>
      </c>
      <c r="W1565" s="165">
        <v>2</v>
      </c>
      <c r="X1565" s="165">
        <v>4</v>
      </c>
      <c r="Y1565" s="164" t="s">
        <v>203</v>
      </c>
      <c r="Z1565" s="164" t="s">
        <v>195</v>
      </c>
      <c r="AA1565" s="164" t="s">
        <v>196</v>
      </c>
      <c r="AB1565" s="164" t="s">
        <v>187</v>
      </c>
      <c r="AC1565" s="164" t="s">
        <v>187</v>
      </c>
      <c r="AD1565" s="165">
        <v>1</v>
      </c>
      <c r="AE1565" s="164" t="s">
        <v>187</v>
      </c>
      <c r="AF1565" s="165">
        <v>22.4486130924954</v>
      </c>
      <c r="AG1565" s="166">
        <v>91.856182023946801</v>
      </c>
      <c r="AO1565" s="121"/>
      <c r="AT1565" s="111"/>
      <c r="AX1565" s="121"/>
    </row>
    <row r="1566" spans="1:50" s="110" customFormat="1" ht="20" customHeight="1">
      <c r="A1566" s="125" t="s">
        <v>486</v>
      </c>
      <c r="B1566" s="126" t="s">
        <v>57</v>
      </c>
      <c r="C1566" s="127">
        <v>17081</v>
      </c>
      <c r="D1566" s="163">
        <v>112420</v>
      </c>
      <c r="E1566" s="164" t="s">
        <v>2152</v>
      </c>
      <c r="F1566" s="164" t="s">
        <v>2152</v>
      </c>
      <c r="G1566" s="165">
        <v>800</v>
      </c>
      <c r="H1566" s="165">
        <v>1</v>
      </c>
      <c r="I1566" s="164" t="s">
        <v>187</v>
      </c>
      <c r="J1566" s="164" t="s">
        <v>198</v>
      </c>
      <c r="K1566" s="164" t="s">
        <v>199</v>
      </c>
      <c r="L1566" s="165">
        <v>5</v>
      </c>
      <c r="M1566" s="165">
        <v>5</v>
      </c>
      <c r="N1566" s="164" t="s">
        <v>1577</v>
      </c>
      <c r="O1566" s="165">
        <v>0</v>
      </c>
      <c r="P1566" s="165">
        <v>0</v>
      </c>
      <c r="Q1566" s="165">
        <v>21</v>
      </c>
      <c r="R1566" s="164" t="s">
        <v>200</v>
      </c>
      <c r="S1566" s="164" t="s">
        <v>201</v>
      </c>
      <c r="T1566" s="165">
        <v>412</v>
      </c>
      <c r="U1566" s="164" t="s">
        <v>200</v>
      </c>
      <c r="V1566" s="164" t="s">
        <v>1636</v>
      </c>
      <c r="W1566" s="165">
        <v>3</v>
      </c>
      <c r="X1566" s="165">
        <v>4</v>
      </c>
      <c r="Y1566" s="164" t="s">
        <v>203</v>
      </c>
      <c r="Z1566" s="164" t="s">
        <v>195</v>
      </c>
      <c r="AA1566" s="164" t="s">
        <v>196</v>
      </c>
      <c r="AB1566" s="164" t="s">
        <v>187</v>
      </c>
      <c r="AC1566" s="164" t="s">
        <v>187</v>
      </c>
      <c r="AD1566" s="165">
        <v>1</v>
      </c>
      <c r="AE1566" s="164" t="s">
        <v>187</v>
      </c>
      <c r="AF1566" s="165">
        <v>25.111948888092599</v>
      </c>
      <c r="AG1566" s="166">
        <v>89.549861163597598</v>
      </c>
      <c r="AO1566" s="121"/>
      <c r="AT1566" s="111"/>
      <c r="AX1566" s="121"/>
    </row>
    <row r="1567" spans="1:50" s="110" customFormat="1" ht="20" customHeight="1">
      <c r="A1567" s="125" t="s">
        <v>486</v>
      </c>
      <c r="B1567" s="126" t="s">
        <v>57</v>
      </c>
      <c r="C1567" s="127">
        <v>17247</v>
      </c>
      <c r="D1567" s="163">
        <v>112615</v>
      </c>
      <c r="E1567" s="164" t="s">
        <v>2153</v>
      </c>
      <c r="F1567" s="164" t="s">
        <v>2153</v>
      </c>
      <c r="G1567" s="165">
        <v>800</v>
      </c>
      <c r="H1567" s="165">
        <v>1</v>
      </c>
      <c r="I1567" s="164" t="s">
        <v>187</v>
      </c>
      <c r="J1567" s="164" t="s">
        <v>198</v>
      </c>
      <c r="K1567" s="164" t="s">
        <v>199</v>
      </c>
      <c r="L1567" s="165">
        <v>5</v>
      </c>
      <c r="M1567" s="165">
        <v>5</v>
      </c>
      <c r="N1567" s="164" t="s">
        <v>1577</v>
      </c>
      <c r="O1567" s="165">
        <v>0</v>
      </c>
      <c r="P1567" s="165">
        <v>0</v>
      </c>
      <c r="Q1567" s="165">
        <v>21</v>
      </c>
      <c r="R1567" s="164" t="s">
        <v>200</v>
      </c>
      <c r="S1567" s="164" t="s">
        <v>201</v>
      </c>
      <c r="T1567" s="165">
        <v>412</v>
      </c>
      <c r="U1567" s="164" t="s">
        <v>200</v>
      </c>
      <c r="V1567" s="164" t="s">
        <v>1636</v>
      </c>
      <c r="W1567" s="165">
        <v>4</v>
      </c>
      <c r="X1567" s="165">
        <v>4</v>
      </c>
      <c r="Y1567" s="164" t="s">
        <v>203</v>
      </c>
      <c r="Z1567" s="164" t="s">
        <v>195</v>
      </c>
      <c r="AA1567" s="164" t="s">
        <v>196</v>
      </c>
      <c r="AB1567" s="164" t="s">
        <v>187</v>
      </c>
      <c r="AC1567" s="164" t="s">
        <v>187</v>
      </c>
      <c r="AD1567" s="165">
        <v>1</v>
      </c>
      <c r="AE1567" s="164" t="s">
        <v>187</v>
      </c>
      <c r="AF1567" s="165">
        <v>24.231170467352001</v>
      </c>
      <c r="AG1567" s="166">
        <v>90.535241784589999</v>
      </c>
      <c r="AO1567" s="121"/>
      <c r="AT1567" s="111"/>
      <c r="AX1567" s="121"/>
    </row>
    <row r="1568" spans="1:50" s="110" customFormat="1" ht="20" customHeight="1">
      <c r="A1568" s="125" t="s">
        <v>486</v>
      </c>
      <c r="B1568" s="126" t="s">
        <v>57</v>
      </c>
      <c r="C1568" s="127">
        <v>16556</v>
      </c>
      <c r="D1568" s="163">
        <v>111747</v>
      </c>
      <c r="E1568" s="164" t="s">
        <v>1635</v>
      </c>
      <c r="F1568" s="164" t="s">
        <v>1635</v>
      </c>
      <c r="G1568" s="165">
        <v>200</v>
      </c>
      <c r="H1568" s="165">
        <v>1</v>
      </c>
      <c r="I1568" s="164" t="s">
        <v>187</v>
      </c>
      <c r="J1568" s="164" t="s">
        <v>198</v>
      </c>
      <c r="K1568" s="164" t="s">
        <v>199</v>
      </c>
      <c r="L1568" s="165">
        <v>5</v>
      </c>
      <c r="M1568" s="165">
        <v>5</v>
      </c>
      <c r="N1568" s="164" t="s">
        <v>1577</v>
      </c>
      <c r="O1568" s="165">
        <v>0</v>
      </c>
      <c r="P1568" s="165">
        <v>0</v>
      </c>
      <c r="Q1568" s="165">
        <v>21</v>
      </c>
      <c r="R1568" s="164" t="s">
        <v>200</v>
      </c>
      <c r="S1568" s="164" t="s">
        <v>201</v>
      </c>
      <c r="T1568" s="165">
        <v>412</v>
      </c>
      <c r="U1568" s="164" t="s">
        <v>200</v>
      </c>
      <c r="V1568" s="164" t="s">
        <v>1636</v>
      </c>
      <c r="W1568" s="165">
        <v>2</v>
      </c>
      <c r="X1568" s="165">
        <v>4</v>
      </c>
      <c r="Y1568" s="164" t="s">
        <v>203</v>
      </c>
      <c r="Z1568" s="164" t="s">
        <v>195</v>
      </c>
      <c r="AA1568" s="164" t="s">
        <v>196</v>
      </c>
      <c r="AB1568" s="164" t="s">
        <v>187</v>
      </c>
      <c r="AC1568" s="164" t="s">
        <v>187</v>
      </c>
      <c r="AD1568" s="165">
        <v>1</v>
      </c>
      <c r="AE1568" s="164" t="s">
        <v>187</v>
      </c>
      <c r="AF1568" s="165">
        <v>23.0910582103472</v>
      </c>
      <c r="AG1568" s="166">
        <v>90.000212507341203</v>
      </c>
      <c r="AO1568" s="121"/>
      <c r="AT1568" s="111"/>
      <c r="AX1568" s="121"/>
    </row>
    <row r="1569" spans="1:50" s="110" customFormat="1" ht="20" customHeight="1">
      <c r="A1569" s="125" t="s">
        <v>486</v>
      </c>
      <c r="B1569" s="126" t="s">
        <v>57</v>
      </c>
      <c r="C1569" s="127">
        <v>17277</v>
      </c>
      <c r="D1569" s="163">
        <v>112648</v>
      </c>
      <c r="E1569" s="164" t="s">
        <v>1638</v>
      </c>
      <c r="F1569" s="164" t="s">
        <v>1638</v>
      </c>
      <c r="G1569" s="165">
        <v>200</v>
      </c>
      <c r="H1569" s="165">
        <v>1</v>
      </c>
      <c r="I1569" s="164" t="s">
        <v>187</v>
      </c>
      <c r="J1569" s="164" t="s">
        <v>198</v>
      </c>
      <c r="K1569" s="164" t="s">
        <v>199</v>
      </c>
      <c r="L1569" s="165">
        <v>5</v>
      </c>
      <c r="M1569" s="165">
        <v>5</v>
      </c>
      <c r="N1569" s="164" t="s">
        <v>1577</v>
      </c>
      <c r="O1569" s="165">
        <v>0</v>
      </c>
      <c r="P1569" s="165">
        <v>0</v>
      </c>
      <c r="Q1569" s="165">
        <v>21</v>
      </c>
      <c r="R1569" s="164" t="s">
        <v>200</v>
      </c>
      <c r="S1569" s="164" t="s">
        <v>201</v>
      </c>
      <c r="T1569" s="165">
        <v>412</v>
      </c>
      <c r="U1569" s="164" t="s">
        <v>200</v>
      </c>
      <c r="V1569" s="164" t="s">
        <v>1636</v>
      </c>
      <c r="W1569" s="165">
        <v>2</v>
      </c>
      <c r="X1569" s="165">
        <v>4</v>
      </c>
      <c r="Y1569" s="164" t="s">
        <v>203</v>
      </c>
      <c r="Z1569" s="164" t="s">
        <v>195</v>
      </c>
      <c r="AA1569" s="164" t="s">
        <v>196</v>
      </c>
      <c r="AB1569" s="164" t="s">
        <v>187</v>
      </c>
      <c r="AC1569" s="164" t="s">
        <v>187</v>
      </c>
      <c r="AD1569" s="165">
        <v>1</v>
      </c>
      <c r="AE1569" s="164" t="s">
        <v>187</v>
      </c>
      <c r="AF1569" s="165">
        <v>25.019900344099302</v>
      </c>
      <c r="AG1569" s="166">
        <v>88.967195588156798</v>
      </c>
      <c r="AO1569" s="121"/>
      <c r="AT1569" s="111"/>
      <c r="AX1569" s="121"/>
    </row>
    <row r="1570" spans="1:50" s="110" customFormat="1" ht="20" customHeight="1">
      <c r="A1570" s="125" t="s">
        <v>231</v>
      </c>
      <c r="B1570" s="126" t="s">
        <v>66</v>
      </c>
      <c r="C1570" s="127">
        <v>17527</v>
      </c>
      <c r="D1570" s="163">
        <v>112948</v>
      </c>
      <c r="E1570" s="164" t="s">
        <v>4377</v>
      </c>
      <c r="F1570" s="164" t="s">
        <v>4377</v>
      </c>
      <c r="G1570" s="165">
        <v>42000</v>
      </c>
      <c r="H1570" s="165">
        <v>1</v>
      </c>
      <c r="I1570" s="164" t="s">
        <v>187</v>
      </c>
      <c r="J1570" s="164" t="s">
        <v>219</v>
      </c>
      <c r="K1570" s="164" t="s">
        <v>220</v>
      </c>
      <c r="L1570" s="165">
        <v>5</v>
      </c>
      <c r="M1570" s="165">
        <v>5</v>
      </c>
      <c r="N1570" s="164" t="s">
        <v>1577</v>
      </c>
      <c r="O1570" s="165">
        <v>0.224</v>
      </c>
      <c r="P1570" s="168"/>
      <c r="Q1570" s="165">
        <v>21</v>
      </c>
      <c r="R1570" s="164" t="s">
        <v>200</v>
      </c>
      <c r="S1570" s="164" t="s">
        <v>201</v>
      </c>
      <c r="T1570" s="165">
        <v>412</v>
      </c>
      <c r="U1570" s="164" t="s">
        <v>200</v>
      </c>
      <c r="V1570" s="164" t="s">
        <v>1636</v>
      </c>
      <c r="W1570" s="165">
        <v>2</v>
      </c>
      <c r="X1570" s="165">
        <v>4</v>
      </c>
      <c r="Y1570" s="164" t="s">
        <v>203</v>
      </c>
      <c r="Z1570" s="164" t="s">
        <v>195</v>
      </c>
      <c r="AA1570" s="164" t="s">
        <v>196</v>
      </c>
      <c r="AB1570" s="164" t="s">
        <v>187</v>
      </c>
      <c r="AC1570" s="164" t="s">
        <v>187</v>
      </c>
      <c r="AD1570" s="165">
        <v>1</v>
      </c>
      <c r="AE1570" s="164" t="s">
        <v>209</v>
      </c>
      <c r="AF1570" s="165">
        <v>25.494724797450399</v>
      </c>
      <c r="AG1570" s="166">
        <v>68.515857242378402</v>
      </c>
      <c r="AO1570" s="121"/>
      <c r="AT1570" s="111"/>
      <c r="AX1570" s="121"/>
    </row>
    <row r="1571" spans="1:50" s="110" customFormat="1" ht="20" customHeight="1">
      <c r="A1571" s="125" t="s">
        <v>231</v>
      </c>
      <c r="B1571" s="126" t="s">
        <v>66</v>
      </c>
      <c r="C1571" s="127">
        <v>17247</v>
      </c>
      <c r="D1571" s="163">
        <v>112615</v>
      </c>
      <c r="E1571" s="164" t="s">
        <v>2153</v>
      </c>
      <c r="F1571" s="164" t="s">
        <v>2153</v>
      </c>
      <c r="G1571" s="165">
        <v>39000</v>
      </c>
      <c r="H1571" s="165">
        <v>1</v>
      </c>
      <c r="I1571" s="164" t="s">
        <v>187</v>
      </c>
      <c r="J1571" s="164" t="s">
        <v>219</v>
      </c>
      <c r="K1571" s="164" t="s">
        <v>220</v>
      </c>
      <c r="L1571" s="165">
        <v>5</v>
      </c>
      <c r="M1571" s="165">
        <v>5</v>
      </c>
      <c r="N1571" s="164" t="s">
        <v>1577</v>
      </c>
      <c r="O1571" s="165">
        <v>0</v>
      </c>
      <c r="P1571" s="165">
        <v>0</v>
      </c>
      <c r="Q1571" s="165">
        <v>21</v>
      </c>
      <c r="R1571" s="164" t="s">
        <v>200</v>
      </c>
      <c r="S1571" s="164" t="s">
        <v>201</v>
      </c>
      <c r="T1571" s="165">
        <v>412</v>
      </c>
      <c r="U1571" s="164" t="s">
        <v>200</v>
      </c>
      <c r="V1571" s="164" t="s">
        <v>1636</v>
      </c>
      <c r="W1571" s="165">
        <v>4</v>
      </c>
      <c r="X1571" s="165">
        <v>4</v>
      </c>
      <c r="Y1571" s="164" t="s">
        <v>203</v>
      </c>
      <c r="Z1571" s="164" t="s">
        <v>195</v>
      </c>
      <c r="AA1571" s="164" t="s">
        <v>196</v>
      </c>
      <c r="AB1571" s="164" t="s">
        <v>187</v>
      </c>
      <c r="AC1571" s="164" t="s">
        <v>187</v>
      </c>
      <c r="AD1571" s="165">
        <v>1</v>
      </c>
      <c r="AE1571" s="164" t="s">
        <v>187</v>
      </c>
      <c r="AF1571" s="165">
        <v>25.494632934289601</v>
      </c>
      <c r="AG1571" s="166">
        <v>68.510435471682797</v>
      </c>
      <c r="AO1571" s="121"/>
      <c r="AT1571" s="111"/>
      <c r="AX1571" s="121"/>
    </row>
    <row r="1572" spans="1:50" s="110" customFormat="1" ht="20" customHeight="1">
      <c r="A1572" s="125" t="s">
        <v>231</v>
      </c>
      <c r="B1572" s="126" t="s">
        <v>66</v>
      </c>
      <c r="C1572" s="127">
        <v>17405</v>
      </c>
      <c r="D1572" s="163">
        <v>112805</v>
      </c>
      <c r="E1572" s="164" t="s">
        <v>3716</v>
      </c>
      <c r="F1572" s="164" t="s">
        <v>3716</v>
      </c>
      <c r="G1572" s="165">
        <v>11000</v>
      </c>
      <c r="H1572" s="165">
        <v>1</v>
      </c>
      <c r="I1572" s="164" t="s">
        <v>187</v>
      </c>
      <c r="J1572" s="164" t="s">
        <v>219</v>
      </c>
      <c r="K1572" s="164" t="s">
        <v>220</v>
      </c>
      <c r="L1572" s="165">
        <v>5</v>
      </c>
      <c r="M1572" s="165">
        <v>5</v>
      </c>
      <c r="N1572" s="164" t="s">
        <v>1577</v>
      </c>
      <c r="O1572" s="165">
        <v>0</v>
      </c>
      <c r="P1572" s="165">
        <v>0</v>
      </c>
      <c r="Q1572" s="165">
        <v>21</v>
      </c>
      <c r="R1572" s="164" t="s">
        <v>200</v>
      </c>
      <c r="S1572" s="164" t="s">
        <v>201</v>
      </c>
      <c r="T1572" s="165">
        <v>412</v>
      </c>
      <c r="U1572" s="164" t="s">
        <v>200</v>
      </c>
      <c r="V1572" s="164" t="s">
        <v>1636</v>
      </c>
      <c r="W1572" s="165">
        <v>2</v>
      </c>
      <c r="X1572" s="165">
        <v>4</v>
      </c>
      <c r="Y1572" s="164" t="s">
        <v>203</v>
      </c>
      <c r="Z1572" s="164" t="s">
        <v>195</v>
      </c>
      <c r="AA1572" s="164" t="s">
        <v>196</v>
      </c>
      <c r="AB1572" s="164" t="s">
        <v>187</v>
      </c>
      <c r="AC1572" s="164" t="s">
        <v>187</v>
      </c>
      <c r="AD1572" s="165">
        <v>1</v>
      </c>
      <c r="AE1572" s="164" t="s">
        <v>187</v>
      </c>
      <c r="AF1572" s="165">
        <v>25.4944240243758</v>
      </c>
      <c r="AG1572" s="166">
        <v>68.511654871715706</v>
      </c>
      <c r="AO1572" s="121"/>
      <c r="AT1572" s="111"/>
      <c r="AX1572" s="121"/>
    </row>
    <row r="1573" spans="1:50" s="110" customFormat="1" ht="20" customHeight="1">
      <c r="A1573" s="125" t="s">
        <v>231</v>
      </c>
      <c r="B1573" s="126" t="s">
        <v>66</v>
      </c>
      <c r="C1573" s="127">
        <v>16561</v>
      </c>
      <c r="D1573" s="163">
        <v>111752</v>
      </c>
      <c r="E1573" s="164" t="s">
        <v>3603</v>
      </c>
      <c r="F1573" s="164" t="s">
        <v>3603</v>
      </c>
      <c r="G1573" s="165">
        <v>9700</v>
      </c>
      <c r="H1573" s="165">
        <v>1</v>
      </c>
      <c r="I1573" s="164" t="s">
        <v>187</v>
      </c>
      <c r="J1573" s="164" t="s">
        <v>222</v>
      </c>
      <c r="K1573" s="164" t="s">
        <v>223</v>
      </c>
      <c r="L1573" s="165">
        <v>4</v>
      </c>
      <c r="M1573" s="165">
        <v>5</v>
      </c>
      <c r="N1573" s="164" t="s">
        <v>1577</v>
      </c>
      <c r="O1573" s="165">
        <v>4.9950000000000001</v>
      </c>
      <c r="P1573" s="168"/>
      <c r="Q1573" s="165">
        <v>21</v>
      </c>
      <c r="R1573" s="164" t="s">
        <v>200</v>
      </c>
      <c r="S1573" s="164" t="s">
        <v>201</v>
      </c>
      <c r="T1573" s="165">
        <v>412</v>
      </c>
      <c r="U1573" s="164" t="s">
        <v>200</v>
      </c>
      <c r="V1573" s="164" t="s">
        <v>1636</v>
      </c>
      <c r="W1573" s="165">
        <v>4</v>
      </c>
      <c r="X1573" s="165">
        <v>4</v>
      </c>
      <c r="Y1573" s="164" t="s">
        <v>203</v>
      </c>
      <c r="Z1573" s="164" t="s">
        <v>195</v>
      </c>
      <c r="AA1573" s="164" t="s">
        <v>196</v>
      </c>
      <c r="AB1573" s="164" t="s">
        <v>187</v>
      </c>
      <c r="AC1573" s="164" t="s">
        <v>187</v>
      </c>
      <c r="AD1573" s="165">
        <v>1</v>
      </c>
      <c r="AE1573" s="164" t="s">
        <v>209</v>
      </c>
      <c r="AF1573" s="165">
        <v>28.467824639036099</v>
      </c>
      <c r="AG1573" s="166">
        <v>70.482892611992895</v>
      </c>
      <c r="AO1573" s="121"/>
      <c r="AT1573" s="111"/>
      <c r="AX1573" s="121"/>
    </row>
    <row r="1574" spans="1:50" s="110" customFormat="1" ht="20" customHeight="1">
      <c r="A1574" s="125" t="s">
        <v>231</v>
      </c>
      <c r="B1574" s="126" t="s">
        <v>66</v>
      </c>
      <c r="C1574" s="127">
        <v>17410</v>
      </c>
      <c r="D1574" s="163">
        <v>112810</v>
      </c>
      <c r="E1574" s="164" t="s">
        <v>2379</v>
      </c>
      <c r="F1574" s="164" t="s">
        <v>2379</v>
      </c>
      <c r="G1574" s="165">
        <v>1100</v>
      </c>
      <c r="H1574" s="165">
        <v>1</v>
      </c>
      <c r="I1574" s="164" t="s">
        <v>187</v>
      </c>
      <c r="J1574" s="164" t="s">
        <v>219</v>
      </c>
      <c r="K1574" s="164" t="s">
        <v>220</v>
      </c>
      <c r="L1574" s="165">
        <v>5</v>
      </c>
      <c r="M1574" s="165">
        <v>5</v>
      </c>
      <c r="N1574" s="164" t="s">
        <v>1577</v>
      </c>
      <c r="O1574" s="165">
        <v>0</v>
      </c>
      <c r="P1574" s="165">
        <v>0</v>
      </c>
      <c r="Q1574" s="165">
        <v>21</v>
      </c>
      <c r="R1574" s="164" t="s">
        <v>200</v>
      </c>
      <c r="S1574" s="164" t="s">
        <v>201</v>
      </c>
      <c r="T1574" s="165">
        <v>412</v>
      </c>
      <c r="U1574" s="164" t="s">
        <v>200</v>
      </c>
      <c r="V1574" s="164" t="s">
        <v>1636</v>
      </c>
      <c r="W1574" s="165">
        <v>2</v>
      </c>
      <c r="X1574" s="165">
        <v>4</v>
      </c>
      <c r="Y1574" s="164" t="s">
        <v>203</v>
      </c>
      <c r="Z1574" s="164" t="s">
        <v>195</v>
      </c>
      <c r="AA1574" s="164" t="s">
        <v>196</v>
      </c>
      <c r="AB1574" s="164" t="s">
        <v>187</v>
      </c>
      <c r="AC1574" s="164" t="s">
        <v>187</v>
      </c>
      <c r="AD1574" s="165">
        <v>1</v>
      </c>
      <c r="AE1574" s="164" t="s">
        <v>187</v>
      </c>
      <c r="AF1574" s="165">
        <v>24.904395728186302</v>
      </c>
      <c r="AG1574" s="166">
        <v>67.074963943497195</v>
      </c>
      <c r="AO1574" s="121"/>
      <c r="AT1574" s="111"/>
      <c r="AX1574" s="121"/>
    </row>
    <row r="1575" spans="1:50" s="110" customFormat="1" ht="20" customHeight="1">
      <c r="A1575" s="125" t="s">
        <v>231</v>
      </c>
      <c r="B1575" s="126" t="s">
        <v>66</v>
      </c>
      <c r="C1575" s="127">
        <v>16339</v>
      </c>
      <c r="D1575" s="163">
        <v>111475</v>
      </c>
      <c r="E1575" s="164" t="s">
        <v>2281</v>
      </c>
      <c r="F1575" s="164" t="s">
        <v>2281</v>
      </c>
      <c r="G1575" s="165">
        <v>900</v>
      </c>
      <c r="H1575" s="165">
        <v>1</v>
      </c>
      <c r="I1575" s="164" t="s">
        <v>187</v>
      </c>
      <c r="J1575" s="164" t="s">
        <v>222</v>
      </c>
      <c r="K1575" s="164" t="s">
        <v>223</v>
      </c>
      <c r="L1575" s="165">
        <v>4</v>
      </c>
      <c r="M1575" s="165">
        <v>5</v>
      </c>
      <c r="N1575" s="164" t="s">
        <v>1577</v>
      </c>
      <c r="O1575" s="165">
        <v>0</v>
      </c>
      <c r="P1575" s="165">
        <v>0</v>
      </c>
      <c r="Q1575" s="165">
        <v>21</v>
      </c>
      <c r="R1575" s="164" t="s">
        <v>200</v>
      </c>
      <c r="S1575" s="164" t="s">
        <v>201</v>
      </c>
      <c r="T1575" s="165">
        <v>412</v>
      </c>
      <c r="U1575" s="164" t="s">
        <v>200</v>
      </c>
      <c r="V1575" s="164" t="s">
        <v>1636</v>
      </c>
      <c r="W1575" s="165">
        <v>2</v>
      </c>
      <c r="X1575" s="165">
        <v>4</v>
      </c>
      <c r="Y1575" s="164" t="s">
        <v>203</v>
      </c>
      <c r="Z1575" s="164" t="s">
        <v>195</v>
      </c>
      <c r="AA1575" s="164" t="s">
        <v>196</v>
      </c>
      <c r="AB1575" s="164" t="s">
        <v>187</v>
      </c>
      <c r="AC1575" s="164" t="s">
        <v>187</v>
      </c>
      <c r="AD1575" s="165">
        <v>1</v>
      </c>
      <c r="AE1575" s="164" t="s">
        <v>187</v>
      </c>
      <c r="AF1575" s="165">
        <v>32.4061016416683</v>
      </c>
      <c r="AG1575" s="166">
        <v>74.633073222972996</v>
      </c>
      <c r="AO1575" s="121"/>
      <c r="AT1575" s="111"/>
      <c r="AX1575" s="121"/>
    </row>
    <row r="1576" spans="1:50" s="110" customFormat="1" ht="20" customHeight="1">
      <c r="A1576" s="125" t="s">
        <v>231</v>
      </c>
      <c r="B1576" s="126" t="s">
        <v>66</v>
      </c>
      <c r="C1576" s="127">
        <v>18019</v>
      </c>
      <c r="D1576" s="163">
        <v>113513</v>
      </c>
      <c r="E1576" s="164" t="s">
        <v>2287</v>
      </c>
      <c r="F1576" s="164" t="s">
        <v>2287</v>
      </c>
      <c r="G1576" s="165">
        <v>900</v>
      </c>
      <c r="H1576" s="165">
        <v>1</v>
      </c>
      <c r="I1576" s="164" t="s">
        <v>187</v>
      </c>
      <c r="J1576" s="164" t="s">
        <v>222</v>
      </c>
      <c r="K1576" s="164" t="s">
        <v>223</v>
      </c>
      <c r="L1576" s="165">
        <v>4</v>
      </c>
      <c r="M1576" s="165">
        <v>5</v>
      </c>
      <c r="N1576" s="164" t="s">
        <v>1577</v>
      </c>
      <c r="O1576" s="165">
        <v>0</v>
      </c>
      <c r="P1576" s="165">
        <v>0</v>
      </c>
      <c r="Q1576" s="165">
        <v>21</v>
      </c>
      <c r="R1576" s="164" t="s">
        <v>200</v>
      </c>
      <c r="S1576" s="164" t="s">
        <v>201</v>
      </c>
      <c r="T1576" s="165">
        <v>412</v>
      </c>
      <c r="U1576" s="164" t="s">
        <v>200</v>
      </c>
      <c r="V1576" s="164" t="s">
        <v>1636</v>
      </c>
      <c r="W1576" s="165">
        <v>2</v>
      </c>
      <c r="X1576" s="165">
        <v>4</v>
      </c>
      <c r="Y1576" s="164" t="s">
        <v>203</v>
      </c>
      <c r="Z1576" s="164" t="s">
        <v>195</v>
      </c>
      <c r="AA1576" s="164" t="s">
        <v>196</v>
      </c>
      <c r="AB1576" s="164" t="s">
        <v>187</v>
      </c>
      <c r="AC1576" s="164" t="s">
        <v>187</v>
      </c>
      <c r="AD1576" s="165">
        <v>1</v>
      </c>
      <c r="AE1576" s="164" t="s">
        <v>187</v>
      </c>
      <c r="AF1576" s="165">
        <v>31.572463668090599</v>
      </c>
      <c r="AG1576" s="166">
        <v>73.937009806301504</v>
      </c>
      <c r="AO1576" s="121"/>
      <c r="AT1576" s="111"/>
      <c r="AX1576" s="121"/>
    </row>
    <row r="1577" spans="1:50" s="110" customFormat="1" ht="20" customHeight="1">
      <c r="A1577" s="125" t="s">
        <v>231</v>
      </c>
      <c r="B1577" s="126" t="s">
        <v>66</v>
      </c>
      <c r="C1577" s="127">
        <v>16358</v>
      </c>
      <c r="D1577" s="163">
        <v>111498</v>
      </c>
      <c r="E1577" s="164" t="s">
        <v>2131</v>
      </c>
      <c r="F1577" s="164" t="s">
        <v>2131</v>
      </c>
      <c r="G1577" s="165">
        <v>700</v>
      </c>
      <c r="H1577" s="165">
        <v>1</v>
      </c>
      <c r="I1577" s="164" t="s">
        <v>187</v>
      </c>
      <c r="J1577" s="164" t="s">
        <v>219</v>
      </c>
      <c r="K1577" s="164" t="s">
        <v>220</v>
      </c>
      <c r="L1577" s="165">
        <v>5</v>
      </c>
      <c r="M1577" s="165">
        <v>5</v>
      </c>
      <c r="N1577" s="164" t="s">
        <v>1577</v>
      </c>
      <c r="O1577" s="165">
        <v>0</v>
      </c>
      <c r="P1577" s="165">
        <v>0</v>
      </c>
      <c r="Q1577" s="165">
        <v>21</v>
      </c>
      <c r="R1577" s="164" t="s">
        <v>200</v>
      </c>
      <c r="S1577" s="164" t="s">
        <v>201</v>
      </c>
      <c r="T1577" s="165">
        <v>412</v>
      </c>
      <c r="U1577" s="164" t="s">
        <v>200</v>
      </c>
      <c r="V1577" s="164" t="s">
        <v>1636</v>
      </c>
      <c r="W1577" s="165">
        <v>2</v>
      </c>
      <c r="X1577" s="165">
        <v>4</v>
      </c>
      <c r="Y1577" s="164" t="s">
        <v>203</v>
      </c>
      <c r="Z1577" s="164" t="s">
        <v>195</v>
      </c>
      <c r="AA1577" s="164" t="s">
        <v>196</v>
      </c>
      <c r="AB1577" s="164" t="s">
        <v>187</v>
      </c>
      <c r="AC1577" s="164" t="s">
        <v>187</v>
      </c>
      <c r="AD1577" s="165">
        <v>1</v>
      </c>
      <c r="AE1577" s="164" t="s">
        <v>187</v>
      </c>
      <c r="AF1577" s="165">
        <v>24.506100973707898</v>
      </c>
      <c r="AG1577" s="166">
        <v>67.931287992236193</v>
      </c>
      <c r="AO1577" s="121"/>
      <c r="AT1577" s="111"/>
      <c r="AX1577" s="121"/>
    </row>
    <row r="1578" spans="1:50" s="110" customFormat="1" ht="20" customHeight="1">
      <c r="A1578" s="125" t="s">
        <v>231</v>
      </c>
      <c r="B1578" s="126" t="s">
        <v>66</v>
      </c>
      <c r="C1578" s="127">
        <v>17016</v>
      </c>
      <c r="D1578" s="163">
        <v>112347</v>
      </c>
      <c r="E1578" s="164" t="s">
        <v>2050</v>
      </c>
      <c r="F1578" s="164" t="s">
        <v>2050</v>
      </c>
      <c r="G1578" s="165">
        <v>600</v>
      </c>
      <c r="H1578" s="165">
        <v>1</v>
      </c>
      <c r="I1578" s="164" t="s">
        <v>187</v>
      </c>
      <c r="J1578" s="164" t="s">
        <v>222</v>
      </c>
      <c r="K1578" s="164" t="s">
        <v>223</v>
      </c>
      <c r="L1578" s="165">
        <v>4</v>
      </c>
      <c r="M1578" s="165">
        <v>5</v>
      </c>
      <c r="N1578" s="164" t="s">
        <v>1577</v>
      </c>
      <c r="O1578" s="165">
        <v>0</v>
      </c>
      <c r="P1578" s="165">
        <v>0</v>
      </c>
      <c r="Q1578" s="165">
        <v>21</v>
      </c>
      <c r="R1578" s="164" t="s">
        <v>200</v>
      </c>
      <c r="S1578" s="164" t="s">
        <v>201</v>
      </c>
      <c r="T1578" s="165">
        <v>412</v>
      </c>
      <c r="U1578" s="164" t="s">
        <v>200</v>
      </c>
      <c r="V1578" s="164" t="s">
        <v>1636</v>
      </c>
      <c r="W1578" s="165">
        <v>5</v>
      </c>
      <c r="X1578" s="165">
        <v>4</v>
      </c>
      <c r="Y1578" s="164" t="s">
        <v>203</v>
      </c>
      <c r="Z1578" s="164" t="s">
        <v>195</v>
      </c>
      <c r="AA1578" s="164" t="s">
        <v>196</v>
      </c>
      <c r="AB1578" s="164" t="s">
        <v>187</v>
      </c>
      <c r="AC1578" s="164" t="s">
        <v>187</v>
      </c>
      <c r="AD1578" s="165">
        <v>1</v>
      </c>
      <c r="AE1578" s="164" t="s">
        <v>187</v>
      </c>
      <c r="AF1578" s="165">
        <v>33.433267108563001</v>
      </c>
      <c r="AG1578" s="166">
        <v>73.222015200399298</v>
      </c>
      <c r="AO1578" s="121"/>
      <c r="AT1578" s="111"/>
      <c r="AX1578" s="121"/>
    </row>
    <row r="1579" spans="1:50" s="110" customFormat="1" ht="20" customHeight="1">
      <c r="A1579" s="125" t="s">
        <v>224</v>
      </c>
      <c r="B1579" s="126" t="s">
        <v>68</v>
      </c>
      <c r="C1579" s="127">
        <v>17844</v>
      </c>
      <c r="D1579" s="163">
        <v>113318</v>
      </c>
      <c r="E1579" s="164" t="s">
        <v>4606</v>
      </c>
      <c r="F1579" s="164" t="s">
        <v>4606</v>
      </c>
      <c r="G1579" s="165">
        <v>101000</v>
      </c>
      <c r="H1579" s="165">
        <v>1</v>
      </c>
      <c r="I1579" s="164" t="s">
        <v>187</v>
      </c>
      <c r="J1579" s="164" t="s">
        <v>1989</v>
      </c>
      <c r="K1579" s="164" t="s">
        <v>1990</v>
      </c>
      <c r="L1579" s="165">
        <v>5</v>
      </c>
      <c r="M1579" s="165">
        <v>5</v>
      </c>
      <c r="N1579" s="164" t="s">
        <v>1577</v>
      </c>
      <c r="O1579" s="165">
        <v>0</v>
      </c>
      <c r="P1579" s="165">
        <v>0</v>
      </c>
      <c r="Q1579" s="165">
        <v>21</v>
      </c>
      <c r="R1579" s="164" t="s">
        <v>200</v>
      </c>
      <c r="S1579" s="164" t="s">
        <v>201</v>
      </c>
      <c r="T1579" s="165">
        <v>412</v>
      </c>
      <c r="U1579" s="164" t="s">
        <v>200</v>
      </c>
      <c r="V1579" s="164" t="s">
        <v>1636</v>
      </c>
      <c r="W1579" s="165">
        <v>2</v>
      </c>
      <c r="X1579" s="165">
        <v>4</v>
      </c>
      <c r="Y1579" s="164" t="s">
        <v>203</v>
      </c>
      <c r="Z1579" s="164" t="s">
        <v>195</v>
      </c>
      <c r="AA1579" s="164" t="s">
        <v>196</v>
      </c>
      <c r="AB1579" s="164" t="s">
        <v>187</v>
      </c>
      <c r="AC1579" s="164" t="s">
        <v>187</v>
      </c>
      <c r="AD1579" s="165">
        <v>2</v>
      </c>
      <c r="AE1579" s="164" t="s">
        <v>187</v>
      </c>
      <c r="AF1579" s="165">
        <v>7.0128597818819296</v>
      </c>
      <c r="AG1579" s="166">
        <v>80.766574914537003</v>
      </c>
      <c r="AO1579" s="121"/>
      <c r="AT1579" s="111"/>
      <c r="AX1579" s="121"/>
    </row>
    <row r="1580" spans="1:50" s="110" customFormat="1" ht="20" customHeight="1">
      <c r="A1580" s="125" t="s">
        <v>224</v>
      </c>
      <c r="B1580" s="126" t="s">
        <v>68</v>
      </c>
      <c r="C1580" s="127">
        <v>17886</v>
      </c>
      <c r="D1580" s="163">
        <v>113366</v>
      </c>
      <c r="E1580" s="164" t="s">
        <v>4408</v>
      </c>
      <c r="F1580" s="164" t="s">
        <v>4408</v>
      </c>
      <c r="G1580" s="165">
        <v>46000</v>
      </c>
      <c r="H1580" s="165">
        <v>1</v>
      </c>
      <c r="I1580" s="164" t="s">
        <v>187</v>
      </c>
      <c r="J1580" s="164" t="s">
        <v>1989</v>
      </c>
      <c r="K1580" s="164" t="s">
        <v>1990</v>
      </c>
      <c r="L1580" s="165">
        <v>5</v>
      </c>
      <c r="M1580" s="165">
        <v>5</v>
      </c>
      <c r="N1580" s="164" t="s">
        <v>1577</v>
      </c>
      <c r="O1580" s="165">
        <v>0</v>
      </c>
      <c r="P1580" s="165">
        <v>0</v>
      </c>
      <c r="Q1580" s="165">
        <v>21</v>
      </c>
      <c r="R1580" s="164" t="s">
        <v>200</v>
      </c>
      <c r="S1580" s="164" t="s">
        <v>201</v>
      </c>
      <c r="T1580" s="165">
        <v>412</v>
      </c>
      <c r="U1580" s="164" t="s">
        <v>200</v>
      </c>
      <c r="V1580" s="164" t="s">
        <v>1636</v>
      </c>
      <c r="W1580" s="165">
        <v>2</v>
      </c>
      <c r="X1580" s="165">
        <v>4</v>
      </c>
      <c r="Y1580" s="164" t="s">
        <v>203</v>
      </c>
      <c r="Z1580" s="164" t="s">
        <v>195</v>
      </c>
      <c r="AA1580" s="164" t="s">
        <v>196</v>
      </c>
      <c r="AB1580" s="164" t="s">
        <v>187</v>
      </c>
      <c r="AC1580" s="164" t="s">
        <v>187</v>
      </c>
      <c r="AD1580" s="165">
        <v>1</v>
      </c>
      <c r="AE1580" s="164" t="s">
        <v>187</v>
      </c>
      <c r="AF1580" s="165">
        <v>7.0130980597585602</v>
      </c>
      <c r="AG1580" s="166">
        <v>80.766349206978305</v>
      </c>
      <c r="AO1580" s="121"/>
      <c r="AT1580" s="111"/>
      <c r="AX1580" s="121"/>
    </row>
    <row r="1581" spans="1:50" s="110" customFormat="1" ht="20" customHeight="1">
      <c r="A1581" s="125" t="s">
        <v>224</v>
      </c>
      <c r="B1581" s="126" t="s">
        <v>68</v>
      </c>
      <c r="C1581" s="127">
        <v>16600</v>
      </c>
      <c r="D1581" s="163">
        <v>111805</v>
      </c>
      <c r="E1581" s="164" t="s">
        <v>4174</v>
      </c>
      <c r="F1581" s="164" t="s">
        <v>4174</v>
      </c>
      <c r="G1581" s="165">
        <v>27000</v>
      </c>
      <c r="H1581" s="165">
        <v>1</v>
      </c>
      <c r="I1581" s="164" t="s">
        <v>187</v>
      </c>
      <c r="J1581" s="164" t="s">
        <v>1989</v>
      </c>
      <c r="K1581" s="164" t="s">
        <v>1990</v>
      </c>
      <c r="L1581" s="165">
        <v>5</v>
      </c>
      <c r="M1581" s="165">
        <v>5</v>
      </c>
      <c r="N1581" s="164" t="s">
        <v>1577</v>
      </c>
      <c r="O1581" s="165">
        <v>0.113</v>
      </c>
      <c r="P1581" s="168"/>
      <c r="Q1581" s="165">
        <v>21</v>
      </c>
      <c r="R1581" s="164" t="s">
        <v>200</v>
      </c>
      <c r="S1581" s="164" t="s">
        <v>201</v>
      </c>
      <c r="T1581" s="165">
        <v>412</v>
      </c>
      <c r="U1581" s="164" t="s">
        <v>200</v>
      </c>
      <c r="V1581" s="164" t="s">
        <v>1636</v>
      </c>
      <c r="W1581" s="165">
        <v>2</v>
      </c>
      <c r="X1581" s="165">
        <v>4</v>
      </c>
      <c r="Y1581" s="164" t="s">
        <v>203</v>
      </c>
      <c r="Z1581" s="164" t="s">
        <v>195</v>
      </c>
      <c r="AA1581" s="164" t="s">
        <v>196</v>
      </c>
      <c r="AB1581" s="164" t="s">
        <v>187</v>
      </c>
      <c r="AC1581" s="164" t="s">
        <v>187</v>
      </c>
      <c r="AD1581" s="165">
        <v>1</v>
      </c>
      <c r="AE1581" s="164" t="s">
        <v>209</v>
      </c>
      <c r="AF1581" s="165">
        <v>7.0132115887030499</v>
      </c>
      <c r="AG1581" s="166">
        <v>80.766957993272101</v>
      </c>
      <c r="AO1581" s="121"/>
      <c r="AT1581" s="111"/>
      <c r="AX1581" s="121"/>
    </row>
    <row r="1582" spans="1:50" s="110" customFormat="1" ht="20" customHeight="1">
      <c r="A1582" s="125" t="s">
        <v>224</v>
      </c>
      <c r="B1582" s="126" t="s">
        <v>68</v>
      </c>
      <c r="C1582" s="127">
        <v>17341</v>
      </c>
      <c r="D1582" s="163">
        <v>112724</v>
      </c>
      <c r="E1582" s="164" t="s">
        <v>3041</v>
      </c>
      <c r="F1582" s="164" t="s">
        <v>3041</v>
      </c>
      <c r="G1582" s="165">
        <v>4000</v>
      </c>
      <c r="H1582" s="165">
        <v>1</v>
      </c>
      <c r="I1582" s="164" t="s">
        <v>187</v>
      </c>
      <c r="J1582" s="164" t="s">
        <v>1989</v>
      </c>
      <c r="K1582" s="164" t="s">
        <v>1990</v>
      </c>
      <c r="L1582" s="165">
        <v>5</v>
      </c>
      <c r="M1582" s="165">
        <v>5</v>
      </c>
      <c r="N1582" s="164" t="s">
        <v>1577</v>
      </c>
      <c r="O1582" s="165">
        <v>0</v>
      </c>
      <c r="P1582" s="165">
        <v>0</v>
      </c>
      <c r="Q1582" s="165">
        <v>21</v>
      </c>
      <c r="R1582" s="164" t="s">
        <v>200</v>
      </c>
      <c r="S1582" s="164" t="s">
        <v>201</v>
      </c>
      <c r="T1582" s="165">
        <v>412</v>
      </c>
      <c r="U1582" s="164" t="s">
        <v>200</v>
      </c>
      <c r="V1582" s="164" t="s">
        <v>1636</v>
      </c>
      <c r="W1582" s="165">
        <v>2</v>
      </c>
      <c r="X1582" s="165">
        <v>4</v>
      </c>
      <c r="Y1582" s="164" t="s">
        <v>203</v>
      </c>
      <c r="Z1582" s="164" t="s">
        <v>195</v>
      </c>
      <c r="AA1582" s="164" t="s">
        <v>196</v>
      </c>
      <c r="AB1582" s="164" t="s">
        <v>187</v>
      </c>
      <c r="AC1582" s="164" t="s">
        <v>187</v>
      </c>
      <c r="AD1582" s="165">
        <v>1</v>
      </c>
      <c r="AE1582" s="164" t="s">
        <v>187</v>
      </c>
      <c r="AF1582" s="165">
        <v>7.0125000000000002</v>
      </c>
      <c r="AG1582" s="166">
        <v>80.766170000000002</v>
      </c>
      <c r="AO1582" s="121"/>
      <c r="AT1582" s="111"/>
      <c r="AX1582" s="121"/>
    </row>
    <row r="1583" spans="1:50" s="110" customFormat="1" ht="20" customHeight="1">
      <c r="A1583" s="125" t="s">
        <v>224</v>
      </c>
      <c r="B1583" s="126" t="s">
        <v>68</v>
      </c>
      <c r="C1583" s="127">
        <v>17846</v>
      </c>
      <c r="D1583" s="163">
        <v>113320</v>
      </c>
      <c r="E1583" s="164" t="s">
        <v>2657</v>
      </c>
      <c r="F1583" s="164" t="s">
        <v>2657</v>
      </c>
      <c r="G1583" s="165">
        <v>1800</v>
      </c>
      <c r="H1583" s="165">
        <v>1</v>
      </c>
      <c r="I1583" s="164" t="s">
        <v>187</v>
      </c>
      <c r="J1583" s="164" t="s">
        <v>1989</v>
      </c>
      <c r="K1583" s="164" t="s">
        <v>1990</v>
      </c>
      <c r="L1583" s="165">
        <v>5</v>
      </c>
      <c r="M1583" s="165">
        <v>5</v>
      </c>
      <c r="N1583" s="164" t="s">
        <v>1577</v>
      </c>
      <c r="O1583" s="165">
        <v>0</v>
      </c>
      <c r="P1583" s="165">
        <v>0</v>
      </c>
      <c r="Q1583" s="165">
        <v>21</v>
      </c>
      <c r="R1583" s="164" t="s">
        <v>200</v>
      </c>
      <c r="S1583" s="164" t="s">
        <v>201</v>
      </c>
      <c r="T1583" s="165">
        <v>412</v>
      </c>
      <c r="U1583" s="164" t="s">
        <v>200</v>
      </c>
      <c r="V1583" s="164" t="s">
        <v>1636</v>
      </c>
      <c r="W1583" s="165">
        <v>2</v>
      </c>
      <c r="X1583" s="165">
        <v>4</v>
      </c>
      <c r="Y1583" s="164" t="s">
        <v>203</v>
      </c>
      <c r="Z1583" s="164" t="s">
        <v>195</v>
      </c>
      <c r="AA1583" s="164" t="s">
        <v>196</v>
      </c>
      <c r="AB1583" s="164" t="s">
        <v>187</v>
      </c>
      <c r="AC1583" s="164" t="s">
        <v>187</v>
      </c>
      <c r="AD1583" s="165">
        <v>1</v>
      </c>
      <c r="AE1583" s="164" t="s">
        <v>187</v>
      </c>
      <c r="AF1583" s="165">
        <v>7.06156393797911</v>
      </c>
      <c r="AG1583" s="166">
        <v>81.045257510271895</v>
      </c>
      <c r="AO1583" s="121"/>
      <c r="AT1583" s="111"/>
      <c r="AX1583" s="121"/>
    </row>
    <row r="1584" spans="1:50" s="110" customFormat="1" ht="20" customHeight="1">
      <c r="A1584" s="125" t="s">
        <v>224</v>
      </c>
      <c r="B1584" s="126" t="s">
        <v>68</v>
      </c>
      <c r="C1584" s="127">
        <v>16162</v>
      </c>
      <c r="D1584" s="163">
        <v>111264</v>
      </c>
      <c r="E1584" s="164" t="s">
        <v>2226</v>
      </c>
      <c r="F1584" s="164" t="s">
        <v>2226</v>
      </c>
      <c r="G1584" s="165">
        <v>800</v>
      </c>
      <c r="H1584" s="165">
        <v>1</v>
      </c>
      <c r="I1584" s="164" t="s">
        <v>187</v>
      </c>
      <c r="J1584" s="164" t="s">
        <v>2139</v>
      </c>
      <c r="K1584" s="164" t="s">
        <v>2140</v>
      </c>
      <c r="L1584" s="165">
        <v>5</v>
      </c>
      <c r="M1584" s="165">
        <v>5</v>
      </c>
      <c r="N1584" s="164" t="s">
        <v>1577</v>
      </c>
      <c r="O1584" s="165">
        <v>0</v>
      </c>
      <c r="P1584" s="165">
        <v>0</v>
      </c>
      <c r="Q1584" s="165">
        <v>21</v>
      </c>
      <c r="R1584" s="164" t="s">
        <v>200</v>
      </c>
      <c r="S1584" s="164" t="s">
        <v>201</v>
      </c>
      <c r="T1584" s="165">
        <v>412</v>
      </c>
      <c r="U1584" s="164" t="s">
        <v>200</v>
      </c>
      <c r="V1584" s="164" t="s">
        <v>1636</v>
      </c>
      <c r="W1584" s="165">
        <v>2</v>
      </c>
      <c r="X1584" s="165">
        <v>4</v>
      </c>
      <c r="Y1584" s="164" t="s">
        <v>203</v>
      </c>
      <c r="Z1584" s="164" t="s">
        <v>195</v>
      </c>
      <c r="AA1584" s="164" t="s">
        <v>196</v>
      </c>
      <c r="AB1584" s="164" t="s">
        <v>187</v>
      </c>
      <c r="AC1584" s="164" t="s">
        <v>187</v>
      </c>
      <c r="AD1584" s="165">
        <v>1</v>
      </c>
      <c r="AE1584" s="164" t="s">
        <v>187</v>
      </c>
      <c r="AF1584" s="165">
        <v>7.0615802663405596</v>
      </c>
      <c r="AG1584" s="166">
        <v>81.044746866034998</v>
      </c>
      <c r="AO1584" s="121"/>
      <c r="AT1584" s="111"/>
      <c r="AX1584" s="121"/>
    </row>
    <row r="1585" spans="1:50" s="110" customFormat="1" ht="20" customHeight="1">
      <c r="A1585" s="125" t="s">
        <v>224</v>
      </c>
      <c r="B1585" s="126" t="s">
        <v>68</v>
      </c>
      <c r="C1585" s="127">
        <v>17911</v>
      </c>
      <c r="D1585" s="157">
        <v>113392</v>
      </c>
      <c r="E1585" s="158" t="s">
        <v>3110</v>
      </c>
      <c r="F1585" s="158" t="s">
        <v>3110</v>
      </c>
      <c r="G1585" s="159">
        <v>4500</v>
      </c>
      <c r="H1585" s="159">
        <v>2</v>
      </c>
      <c r="I1585" s="158" t="s">
        <v>209</v>
      </c>
      <c r="J1585" s="158" t="s">
        <v>1989</v>
      </c>
      <c r="K1585" s="158" t="s">
        <v>1990</v>
      </c>
      <c r="L1585" s="159">
        <v>5</v>
      </c>
      <c r="M1585" s="159">
        <v>5</v>
      </c>
      <c r="N1585" s="158" t="s">
        <v>1577</v>
      </c>
      <c r="O1585" s="159">
        <v>11.791</v>
      </c>
      <c r="P1585" s="160"/>
      <c r="Q1585" s="159">
        <v>21</v>
      </c>
      <c r="R1585" s="158" t="s">
        <v>200</v>
      </c>
      <c r="S1585" s="158" t="s">
        <v>201</v>
      </c>
      <c r="T1585" s="159">
        <v>412</v>
      </c>
      <c r="U1585" s="158" t="s">
        <v>200</v>
      </c>
      <c r="V1585" s="158" t="s">
        <v>1636</v>
      </c>
      <c r="W1585" s="159">
        <v>2</v>
      </c>
      <c r="X1585" s="159">
        <v>4</v>
      </c>
      <c r="Y1585" s="158" t="s">
        <v>203</v>
      </c>
      <c r="Z1585" s="158" t="s">
        <v>195</v>
      </c>
      <c r="AA1585" s="158" t="s">
        <v>196</v>
      </c>
      <c r="AB1585" s="158" t="s">
        <v>187</v>
      </c>
      <c r="AC1585" s="158" t="s">
        <v>187</v>
      </c>
      <c r="AD1585" s="160"/>
      <c r="AE1585" s="158" t="s">
        <v>209</v>
      </c>
      <c r="AF1585" s="159">
        <v>7.0131029464752803</v>
      </c>
      <c r="AG1585" s="161">
        <v>80.766429326021196</v>
      </c>
      <c r="AO1585" s="121"/>
      <c r="AT1585" s="111"/>
      <c r="AX1585" s="121"/>
    </row>
    <row r="1586" spans="1:50" s="110" customFormat="1" ht="20" customHeight="1">
      <c r="A1586" s="125" t="s">
        <v>224</v>
      </c>
      <c r="B1586" s="126" t="s">
        <v>68</v>
      </c>
      <c r="C1586" s="127">
        <v>18320</v>
      </c>
      <c r="D1586" s="157">
        <v>113867</v>
      </c>
      <c r="E1586" s="158" t="s">
        <v>2892</v>
      </c>
      <c r="F1586" s="158" t="s">
        <v>2892</v>
      </c>
      <c r="G1586" s="159">
        <v>3000</v>
      </c>
      <c r="H1586" s="159">
        <v>2</v>
      </c>
      <c r="I1586" s="158" t="s">
        <v>209</v>
      </c>
      <c r="J1586" s="158" t="s">
        <v>1989</v>
      </c>
      <c r="K1586" s="158" t="s">
        <v>1990</v>
      </c>
      <c r="L1586" s="159">
        <v>5</v>
      </c>
      <c r="M1586" s="159">
        <v>5</v>
      </c>
      <c r="N1586" s="158" t="s">
        <v>1577</v>
      </c>
      <c r="O1586" s="159">
        <v>9.8610000000000007</v>
      </c>
      <c r="P1586" s="160"/>
      <c r="Q1586" s="159">
        <v>21</v>
      </c>
      <c r="R1586" s="158" t="s">
        <v>200</v>
      </c>
      <c r="S1586" s="158" t="s">
        <v>201</v>
      </c>
      <c r="T1586" s="159">
        <v>412</v>
      </c>
      <c r="U1586" s="158" t="s">
        <v>200</v>
      </c>
      <c r="V1586" s="158" t="s">
        <v>1636</v>
      </c>
      <c r="W1586" s="159">
        <v>2</v>
      </c>
      <c r="X1586" s="159">
        <v>4</v>
      </c>
      <c r="Y1586" s="158" t="s">
        <v>203</v>
      </c>
      <c r="Z1586" s="158" t="s">
        <v>195</v>
      </c>
      <c r="AA1586" s="158" t="s">
        <v>196</v>
      </c>
      <c r="AB1586" s="158" t="s">
        <v>187</v>
      </c>
      <c r="AC1586" s="158" t="s">
        <v>187</v>
      </c>
      <c r="AD1586" s="160"/>
      <c r="AE1586" s="158" t="s">
        <v>209</v>
      </c>
      <c r="AF1586" s="159">
        <v>7.0133947975739801</v>
      </c>
      <c r="AG1586" s="161">
        <v>80.767139748537801</v>
      </c>
      <c r="AO1586" s="121"/>
      <c r="AT1586" s="111"/>
      <c r="AX1586" s="121"/>
    </row>
    <row r="1587" spans="1:50" s="110" customFormat="1" ht="20" customHeight="1">
      <c r="A1587" s="125" t="s">
        <v>224</v>
      </c>
      <c r="B1587" s="126" t="s">
        <v>68</v>
      </c>
      <c r="C1587" s="127">
        <v>18007</v>
      </c>
      <c r="D1587" s="157">
        <v>113500</v>
      </c>
      <c r="E1587" s="158" t="s">
        <v>2500</v>
      </c>
      <c r="F1587" s="158" t="s">
        <v>2500</v>
      </c>
      <c r="G1587" s="159">
        <v>1400</v>
      </c>
      <c r="H1587" s="159">
        <v>2</v>
      </c>
      <c r="I1587" s="158" t="s">
        <v>209</v>
      </c>
      <c r="J1587" s="158" t="s">
        <v>1989</v>
      </c>
      <c r="K1587" s="158" t="s">
        <v>1990</v>
      </c>
      <c r="L1587" s="159">
        <v>5</v>
      </c>
      <c r="M1587" s="159">
        <v>5</v>
      </c>
      <c r="N1587" s="158" t="s">
        <v>1577</v>
      </c>
      <c r="O1587" s="159">
        <v>8.0289999999999999</v>
      </c>
      <c r="P1587" s="160"/>
      <c r="Q1587" s="159">
        <v>21</v>
      </c>
      <c r="R1587" s="158" t="s">
        <v>200</v>
      </c>
      <c r="S1587" s="158" t="s">
        <v>201</v>
      </c>
      <c r="T1587" s="159">
        <v>412</v>
      </c>
      <c r="U1587" s="158" t="s">
        <v>200</v>
      </c>
      <c r="V1587" s="158" t="s">
        <v>1636</v>
      </c>
      <c r="W1587" s="159">
        <v>2</v>
      </c>
      <c r="X1587" s="159">
        <v>4</v>
      </c>
      <c r="Y1587" s="158" t="s">
        <v>203</v>
      </c>
      <c r="Z1587" s="158" t="s">
        <v>195</v>
      </c>
      <c r="AA1587" s="158" t="s">
        <v>196</v>
      </c>
      <c r="AB1587" s="158" t="s">
        <v>187</v>
      </c>
      <c r="AC1587" s="158" t="s">
        <v>187</v>
      </c>
      <c r="AD1587" s="160"/>
      <c r="AE1587" s="158" t="s">
        <v>209</v>
      </c>
      <c r="AF1587" s="159">
        <v>7.0126956285751598</v>
      </c>
      <c r="AG1587" s="161">
        <v>80.767056548654907</v>
      </c>
      <c r="AO1587" s="121"/>
      <c r="AT1587" s="111"/>
      <c r="AX1587" s="121"/>
    </row>
    <row r="1588" spans="1:50" s="110" customFormat="1" ht="20" customHeight="1">
      <c r="A1588" s="125" t="s">
        <v>224</v>
      </c>
      <c r="B1588" s="126" t="s">
        <v>68</v>
      </c>
      <c r="C1588" s="127">
        <v>18072</v>
      </c>
      <c r="D1588" s="157">
        <v>113572</v>
      </c>
      <c r="E1588" s="158" t="s">
        <v>2396</v>
      </c>
      <c r="F1588" s="158" t="s">
        <v>2397</v>
      </c>
      <c r="G1588" s="159">
        <v>1100</v>
      </c>
      <c r="H1588" s="159">
        <v>2</v>
      </c>
      <c r="I1588" s="158" t="s">
        <v>209</v>
      </c>
      <c r="J1588" s="158" t="s">
        <v>1989</v>
      </c>
      <c r="K1588" s="158" t="s">
        <v>1990</v>
      </c>
      <c r="L1588" s="159">
        <v>5</v>
      </c>
      <c r="M1588" s="159">
        <v>5</v>
      </c>
      <c r="N1588" s="158" t="s">
        <v>1577</v>
      </c>
      <c r="O1588" s="159">
        <v>6.25</v>
      </c>
      <c r="P1588" s="160"/>
      <c r="Q1588" s="159">
        <v>21</v>
      </c>
      <c r="R1588" s="158" t="s">
        <v>200</v>
      </c>
      <c r="S1588" s="158" t="s">
        <v>201</v>
      </c>
      <c r="T1588" s="159">
        <v>412</v>
      </c>
      <c r="U1588" s="158" t="s">
        <v>200</v>
      </c>
      <c r="V1588" s="158" t="s">
        <v>1636</v>
      </c>
      <c r="W1588" s="159">
        <v>2</v>
      </c>
      <c r="X1588" s="159">
        <v>4</v>
      </c>
      <c r="Y1588" s="158" t="s">
        <v>203</v>
      </c>
      <c r="Z1588" s="158" t="s">
        <v>195</v>
      </c>
      <c r="AA1588" s="158" t="s">
        <v>196</v>
      </c>
      <c r="AB1588" s="158" t="s">
        <v>187</v>
      </c>
      <c r="AC1588" s="158" t="s">
        <v>187</v>
      </c>
      <c r="AD1588" s="160"/>
      <c r="AE1588" s="158" t="s">
        <v>209</v>
      </c>
      <c r="AF1588" s="159">
        <v>7.0133207593008597</v>
      </c>
      <c r="AG1588" s="161">
        <v>80.766991430405497</v>
      </c>
      <c r="AO1588" s="121"/>
      <c r="AT1588" s="111"/>
      <c r="AX1588" s="121"/>
    </row>
    <row r="1589" spans="1:50" s="110" customFormat="1" ht="20" customHeight="1">
      <c r="A1589" s="125" t="s">
        <v>224</v>
      </c>
      <c r="B1589" s="126" t="s">
        <v>68</v>
      </c>
      <c r="C1589" s="127">
        <v>17037</v>
      </c>
      <c r="D1589" s="157">
        <v>112373</v>
      </c>
      <c r="E1589" s="158" t="s">
        <v>2341</v>
      </c>
      <c r="F1589" s="158" t="s">
        <v>2341</v>
      </c>
      <c r="G1589" s="159">
        <v>1000</v>
      </c>
      <c r="H1589" s="159">
        <v>2</v>
      </c>
      <c r="I1589" s="158" t="s">
        <v>209</v>
      </c>
      <c r="J1589" s="158" t="s">
        <v>1989</v>
      </c>
      <c r="K1589" s="158" t="s">
        <v>1990</v>
      </c>
      <c r="L1589" s="159">
        <v>5</v>
      </c>
      <c r="M1589" s="159">
        <v>5</v>
      </c>
      <c r="N1589" s="158" t="s">
        <v>1577</v>
      </c>
      <c r="O1589" s="159">
        <v>7.4459999999999997</v>
      </c>
      <c r="P1589" s="160"/>
      <c r="Q1589" s="159">
        <v>21</v>
      </c>
      <c r="R1589" s="158" t="s">
        <v>200</v>
      </c>
      <c r="S1589" s="158" t="s">
        <v>201</v>
      </c>
      <c r="T1589" s="159">
        <v>412</v>
      </c>
      <c r="U1589" s="158" t="s">
        <v>200</v>
      </c>
      <c r="V1589" s="158" t="s">
        <v>1636</v>
      </c>
      <c r="W1589" s="159">
        <v>2</v>
      </c>
      <c r="X1589" s="159">
        <v>4</v>
      </c>
      <c r="Y1589" s="158" t="s">
        <v>203</v>
      </c>
      <c r="Z1589" s="158" t="s">
        <v>195</v>
      </c>
      <c r="AA1589" s="158" t="s">
        <v>196</v>
      </c>
      <c r="AB1589" s="158" t="s">
        <v>187</v>
      </c>
      <c r="AC1589" s="158" t="s">
        <v>187</v>
      </c>
      <c r="AD1589" s="160"/>
      <c r="AE1589" s="158" t="s">
        <v>209</v>
      </c>
      <c r="AF1589" s="159">
        <v>7.06128809280301</v>
      </c>
      <c r="AG1589" s="161">
        <v>81.0446225236998</v>
      </c>
      <c r="AO1589" s="121"/>
      <c r="AT1589" s="111"/>
      <c r="AX1589" s="121"/>
    </row>
    <row r="1590" spans="1:50" s="110" customFormat="1" ht="20" customHeight="1">
      <c r="A1590" s="125" t="s">
        <v>486</v>
      </c>
      <c r="B1590" s="126" t="s">
        <v>57</v>
      </c>
      <c r="C1590" s="127">
        <v>17852</v>
      </c>
      <c r="D1590" s="163">
        <v>113327</v>
      </c>
      <c r="E1590" s="164" t="s">
        <v>3149</v>
      </c>
      <c r="F1590" s="164" t="s">
        <v>3149</v>
      </c>
      <c r="G1590" s="165">
        <v>4800</v>
      </c>
      <c r="H1590" s="165">
        <v>1</v>
      </c>
      <c r="I1590" s="164" t="s">
        <v>187</v>
      </c>
      <c r="J1590" s="164" t="s">
        <v>198</v>
      </c>
      <c r="K1590" s="164" t="s">
        <v>199</v>
      </c>
      <c r="L1590" s="165">
        <v>5</v>
      </c>
      <c r="M1590" s="165">
        <v>5</v>
      </c>
      <c r="N1590" s="164" t="s">
        <v>1577</v>
      </c>
      <c r="O1590" s="165">
        <v>0</v>
      </c>
      <c r="P1590" s="165">
        <v>0</v>
      </c>
      <c r="Q1590" s="165">
        <v>21</v>
      </c>
      <c r="R1590" s="164" t="s">
        <v>200</v>
      </c>
      <c r="S1590" s="164" t="s">
        <v>201</v>
      </c>
      <c r="T1590" s="165">
        <v>413</v>
      </c>
      <c r="U1590" s="164" t="s">
        <v>200</v>
      </c>
      <c r="V1590" s="164" t="s">
        <v>1189</v>
      </c>
      <c r="W1590" s="165">
        <v>3</v>
      </c>
      <c r="X1590" s="165">
        <v>4</v>
      </c>
      <c r="Y1590" s="164" t="s">
        <v>203</v>
      </c>
      <c r="Z1590" s="164" t="s">
        <v>195</v>
      </c>
      <c r="AA1590" s="164" t="s">
        <v>196</v>
      </c>
      <c r="AB1590" s="164" t="s">
        <v>187</v>
      </c>
      <c r="AC1590" s="164" t="s">
        <v>187</v>
      </c>
      <c r="AD1590" s="165">
        <v>1</v>
      </c>
      <c r="AE1590" s="164" t="s">
        <v>187</v>
      </c>
      <c r="AF1590" s="165">
        <v>24.014885556054701</v>
      </c>
      <c r="AG1590" s="166">
        <v>90.806449843163904</v>
      </c>
      <c r="AO1590" s="121"/>
      <c r="AT1590" s="111"/>
      <c r="AX1590" s="121"/>
    </row>
    <row r="1591" spans="1:50" s="110" customFormat="1" ht="20" customHeight="1">
      <c r="A1591" s="125" t="s">
        <v>486</v>
      </c>
      <c r="B1591" s="126" t="s">
        <v>57</v>
      </c>
      <c r="C1591" s="127">
        <v>14513</v>
      </c>
      <c r="D1591" s="163">
        <v>108268</v>
      </c>
      <c r="E1591" s="164" t="s">
        <v>4882</v>
      </c>
      <c r="F1591" s="164" t="s">
        <v>4882</v>
      </c>
      <c r="G1591" s="165">
        <v>1526000</v>
      </c>
      <c r="H1591" s="165">
        <v>1</v>
      </c>
      <c r="I1591" s="164" t="s">
        <v>187</v>
      </c>
      <c r="J1591" s="164" t="s">
        <v>198</v>
      </c>
      <c r="K1591" s="164" t="s">
        <v>199</v>
      </c>
      <c r="L1591" s="165">
        <v>5</v>
      </c>
      <c r="M1591" s="165">
        <v>5</v>
      </c>
      <c r="N1591" s="164" t="s">
        <v>1577</v>
      </c>
      <c r="O1591" s="165">
        <v>0.5</v>
      </c>
      <c r="P1591" s="168"/>
      <c r="Q1591" s="165">
        <v>21</v>
      </c>
      <c r="R1591" s="164" t="s">
        <v>200</v>
      </c>
      <c r="S1591" s="164" t="s">
        <v>201</v>
      </c>
      <c r="T1591" s="165">
        <v>414</v>
      </c>
      <c r="U1591" s="164" t="s">
        <v>200</v>
      </c>
      <c r="V1591" s="164" t="s">
        <v>4237</v>
      </c>
      <c r="W1591" s="165">
        <v>4</v>
      </c>
      <c r="X1591" s="165">
        <v>4</v>
      </c>
      <c r="Y1591" s="164" t="s">
        <v>203</v>
      </c>
      <c r="Z1591" s="164" t="s">
        <v>195</v>
      </c>
      <c r="AA1591" s="164" t="s">
        <v>196</v>
      </c>
      <c r="AB1591" s="164" t="s">
        <v>187</v>
      </c>
      <c r="AC1591" s="164" t="s">
        <v>187</v>
      </c>
      <c r="AD1591" s="165">
        <v>31</v>
      </c>
      <c r="AE1591" s="164" t="s">
        <v>209</v>
      </c>
      <c r="AF1591" s="165">
        <v>25.865819485299799</v>
      </c>
      <c r="AG1591" s="166">
        <v>88.895085588020393</v>
      </c>
      <c r="AO1591" s="121"/>
      <c r="AT1591" s="111"/>
      <c r="AX1591" s="121"/>
    </row>
    <row r="1592" spans="1:50" s="110" customFormat="1" ht="20" customHeight="1">
      <c r="A1592" s="125" t="s">
        <v>486</v>
      </c>
      <c r="B1592" s="126" t="s">
        <v>57</v>
      </c>
      <c r="C1592" s="127">
        <v>21775</v>
      </c>
      <c r="D1592" s="167"/>
      <c r="E1592" s="164" t="s">
        <v>4795</v>
      </c>
      <c r="F1592" s="164" t="s">
        <v>4795</v>
      </c>
      <c r="G1592" s="165">
        <v>301000</v>
      </c>
      <c r="H1592" s="165">
        <v>1</v>
      </c>
      <c r="I1592" s="164" t="s">
        <v>187</v>
      </c>
      <c r="J1592" s="164" t="s">
        <v>198</v>
      </c>
      <c r="K1592" s="164" t="s">
        <v>199</v>
      </c>
      <c r="L1592" s="165">
        <v>5</v>
      </c>
      <c r="M1592" s="165">
        <v>5</v>
      </c>
      <c r="N1592" s="164" t="s">
        <v>1577</v>
      </c>
      <c r="O1592" s="165">
        <v>0.32900000000000001</v>
      </c>
      <c r="P1592" s="168"/>
      <c r="Q1592" s="165">
        <v>21</v>
      </c>
      <c r="R1592" s="164" t="s">
        <v>200</v>
      </c>
      <c r="S1592" s="164" t="s">
        <v>201</v>
      </c>
      <c r="T1592" s="165">
        <v>414</v>
      </c>
      <c r="U1592" s="164" t="s">
        <v>200</v>
      </c>
      <c r="V1592" s="164" t="s">
        <v>4237</v>
      </c>
      <c r="W1592" s="165">
        <v>3</v>
      </c>
      <c r="X1592" s="165">
        <v>4</v>
      </c>
      <c r="Y1592" s="164" t="s">
        <v>203</v>
      </c>
      <c r="Z1592" s="164" t="s">
        <v>195</v>
      </c>
      <c r="AA1592" s="164" t="s">
        <v>196</v>
      </c>
      <c r="AB1592" s="164" t="s">
        <v>187</v>
      </c>
      <c r="AC1592" s="164" t="s">
        <v>187</v>
      </c>
      <c r="AD1592" s="165">
        <v>6</v>
      </c>
      <c r="AE1592" s="164" t="s">
        <v>209</v>
      </c>
      <c r="AF1592" s="165">
        <v>25.618770000000001</v>
      </c>
      <c r="AG1592" s="166">
        <v>88.79392</v>
      </c>
      <c r="AO1592" s="121"/>
      <c r="AT1592" s="111"/>
      <c r="AX1592" s="121"/>
    </row>
    <row r="1593" spans="1:50" s="110" customFormat="1" ht="20" customHeight="1">
      <c r="A1593" s="125" t="s">
        <v>486</v>
      </c>
      <c r="B1593" s="126" t="s">
        <v>57</v>
      </c>
      <c r="C1593" s="127">
        <v>21353</v>
      </c>
      <c r="D1593" s="163">
        <v>118178</v>
      </c>
      <c r="E1593" s="164" t="s">
        <v>4236</v>
      </c>
      <c r="F1593" s="164" t="s">
        <v>4236</v>
      </c>
      <c r="G1593" s="165">
        <v>31000</v>
      </c>
      <c r="H1593" s="165">
        <v>1</v>
      </c>
      <c r="I1593" s="164" t="s">
        <v>187</v>
      </c>
      <c r="J1593" s="164" t="s">
        <v>198</v>
      </c>
      <c r="K1593" s="164" t="s">
        <v>199</v>
      </c>
      <c r="L1593" s="165">
        <v>5</v>
      </c>
      <c r="M1593" s="165">
        <v>5</v>
      </c>
      <c r="N1593" s="164" t="s">
        <v>1577</v>
      </c>
      <c r="O1593" s="165">
        <v>0</v>
      </c>
      <c r="P1593" s="165">
        <v>0</v>
      </c>
      <c r="Q1593" s="165">
        <v>21</v>
      </c>
      <c r="R1593" s="164" t="s">
        <v>200</v>
      </c>
      <c r="S1593" s="164" t="s">
        <v>201</v>
      </c>
      <c r="T1593" s="165">
        <v>414</v>
      </c>
      <c r="U1593" s="164" t="s">
        <v>200</v>
      </c>
      <c r="V1593" s="164" t="s">
        <v>4237</v>
      </c>
      <c r="W1593" s="165">
        <v>2</v>
      </c>
      <c r="X1593" s="165">
        <v>4</v>
      </c>
      <c r="Y1593" s="164" t="s">
        <v>203</v>
      </c>
      <c r="Z1593" s="164" t="s">
        <v>195</v>
      </c>
      <c r="AA1593" s="164" t="s">
        <v>196</v>
      </c>
      <c r="AB1593" s="164" t="s">
        <v>187</v>
      </c>
      <c r="AC1593" s="164" t="s">
        <v>187</v>
      </c>
      <c r="AD1593" s="165">
        <v>1</v>
      </c>
      <c r="AE1593" s="164" t="s">
        <v>187</v>
      </c>
      <c r="AF1593" s="165">
        <v>25.788920000000001</v>
      </c>
      <c r="AG1593" s="166">
        <v>89.694999999999993</v>
      </c>
      <c r="AO1593" s="121"/>
      <c r="AT1593" s="111"/>
      <c r="AX1593" s="121"/>
    </row>
    <row r="1594" spans="1:50" s="110" customFormat="1" ht="20" customHeight="1">
      <c r="A1594" s="125" t="s">
        <v>486</v>
      </c>
      <c r="B1594" s="126" t="s">
        <v>57</v>
      </c>
      <c r="C1594" s="127">
        <v>21315</v>
      </c>
      <c r="D1594" s="163">
        <v>118149</v>
      </c>
      <c r="E1594" s="164" t="s">
        <v>2690</v>
      </c>
      <c r="F1594" s="164" t="s">
        <v>2690</v>
      </c>
      <c r="G1594" s="165">
        <v>2000</v>
      </c>
      <c r="H1594" s="165">
        <v>1</v>
      </c>
      <c r="I1594" s="164" t="s">
        <v>187</v>
      </c>
      <c r="J1594" s="164" t="s">
        <v>198</v>
      </c>
      <c r="K1594" s="164" t="s">
        <v>199</v>
      </c>
      <c r="L1594" s="165">
        <v>5</v>
      </c>
      <c r="M1594" s="165">
        <v>5</v>
      </c>
      <c r="N1594" s="164" t="s">
        <v>1577</v>
      </c>
      <c r="O1594" s="165">
        <v>0</v>
      </c>
      <c r="P1594" s="165">
        <v>0</v>
      </c>
      <c r="Q1594" s="165">
        <v>21</v>
      </c>
      <c r="R1594" s="164" t="s">
        <v>200</v>
      </c>
      <c r="S1594" s="164" t="s">
        <v>201</v>
      </c>
      <c r="T1594" s="165">
        <v>415</v>
      </c>
      <c r="U1594" s="164" t="s">
        <v>200</v>
      </c>
      <c r="V1594" s="164" t="s">
        <v>2691</v>
      </c>
      <c r="W1594" s="165">
        <v>2</v>
      </c>
      <c r="X1594" s="165">
        <v>4</v>
      </c>
      <c r="Y1594" s="164" t="s">
        <v>203</v>
      </c>
      <c r="Z1594" s="164" t="s">
        <v>195</v>
      </c>
      <c r="AA1594" s="164" t="s">
        <v>196</v>
      </c>
      <c r="AB1594" s="164" t="s">
        <v>187</v>
      </c>
      <c r="AC1594" s="164" t="s">
        <v>187</v>
      </c>
      <c r="AD1594" s="165">
        <v>1</v>
      </c>
      <c r="AE1594" s="164" t="s">
        <v>187</v>
      </c>
      <c r="AF1594" s="165">
        <v>24.37622</v>
      </c>
      <c r="AG1594" s="166">
        <v>89.084000000000003</v>
      </c>
      <c r="AO1594" s="121"/>
      <c r="AT1594" s="111"/>
      <c r="AX1594" s="121"/>
    </row>
    <row r="1595" spans="1:50" s="110" customFormat="1" ht="20" customHeight="1">
      <c r="A1595" s="125" t="s">
        <v>486</v>
      </c>
      <c r="B1595" s="126" t="s">
        <v>57</v>
      </c>
      <c r="C1595" s="127">
        <v>16318</v>
      </c>
      <c r="D1595" s="163">
        <v>111452</v>
      </c>
      <c r="E1595" s="164" t="s">
        <v>3761</v>
      </c>
      <c r="F1595" s="164" t="s">
        <v>3761</v>
      </c>
      <c r="G1595" s="165">
        <v>49000</v>
      </c>
      <c r="H1595" s="165">
        <v>1</v>
      </c>
      <c r="I1595" s="164" t="s">
        <v>187</v>
      </c>
      <c r="J1595" s="164" t="s">
        <v>198</v>
      </c>
      <c r="K1595" s="164" t="s">
        <v>199</v>
      </c>
      <c r="L1595" s="165">
        <v>5</v>
      </c>
      <c r="M1595" s="165">
        <v>5</v>
      </c>
      <c r="N1595" s="164" t="s">
        <v>1577</v>
      </c>
      <c r="O1595" s="165">
        <v>0</v>
      </c>
      <c r="P1595" s="165">
        <v>0</v>
      </c>
      <c r="Q1595" s="165">
        <v>21</v>
      </c>
      <c r="R1595" s="164" t="s">
        <v>200</v>
      </c>
      <c r="S1595" s="164" t="s">
        <v>201</v>
      </c>
      <c r="T1595" s="165">
        <v>416</v>
      </c>
      <c r="U1595" s="164" t="s">
        <v>200</v>
      </c>
      <c r="V1595" s="164" t="s">
        <v>2066</v>
      </c>
      <c r="W1595" s="165">
        <v>6</v>
      </c>
      <c r="X1595" s="165">
        <v>4</v>
      </c>
      <c r="Y1595" s="164" t="s">
        <v>203</v>
      </c>
      <c r="Z1595" s="164" t="s">
        <v>195</v>
      </c>
      <c r="AA1595" s="164" t="s">
        <v>196</v>
      </c>
      <c r="AB1595" s="164" t="s">
        <v>187</v>
      </c>
      <c r="AC1595" s="164" t="s">
        <v>187</v>
      </c>
      <c r="AD1595" s="165">
        <v>1</v>
      </c>
      <c r="AE1595" s="164" t="s">
        <v>187</v>
      </c>
      <c r="AF1595" s="165">
        <v>24.420334985064098</v>
      </c>
      <c r="AG1595" s="166">
        <v>90.986613362552504</v>
      </c>
      <c r="AO1595" s="121"/>
      <c r="AT1595" s="111"/>
      <c r="AX1595" s="121"/>
    </row>
    <row r="1596" spans="1:50" s="110" customFormat="1" ht="20" customHeight="1">
      <c r="A1596" s="125" t="s">
        <v>486</v>
      </c>
      <c r="B1596" s="126" t="s">
        <v>57</v>
      </c>
      <c r="C1596" s="127">
        <v>19698</v>
      </c>
      <c r="D1596" s="163">
        <v>115150</v>
      </c>
      <c r="E1596" s="164" t="s">
        <v>3400</v>
      </c>
      <c r="F1596" s="164" t="s">
        <v>3400</v>
      </c>
      <c r="G1596" s="165">
        <v>6900</v>
      </c>
      <c r="H1596" s="165">
        <v>1</v>
      </c>
      <c r="I1596" s="164" t="s">
        <v>187</v>
      </c>
      <c r="J1596" s="164" t="s">
        <v>198</v>
      </c>
      <c r="K1596" s="164" t="s">
        <v>199</v>
      </c>
      <c r="L1596" s="165">
        <v>5</v>
      </c>
      <c r="M1596" s="165">
        <v>5</v>
      </c>
      <c r="N1596" s="164" t="s">
        <v>1577</v>
      </c>
      <c r="O1596" s="165">
        <v>0</v>
      </c>
      <c r="P1596" s="165">
        <v>0</v>
      </c>
      <c r="Q1596" s="165">
        <v>21</v>
      </c>
      <c r="R1596" s="164" t="s">
        <v>200</v>
      </c>
      <c r="S1596" s="164" t="s">
        <v>201</v>
      </c>
      <c r="T1596" s="165">
        <v>416</v>
      </c>
      <c r="U1596" s="164" t="s">
        <v>200</v>
      </c>
      <c r="V1596" s="164" t="s">
        <v>2066</v>
      </c>
      <c r="W1596" s="165">
        <v>2</v>
      </c>
      <c r="X1596" s="165">
        <v>4</v>
      </c>
      <c r="Y1596" s="164" t="s">
        <v>203</v>
      </c>
      <c r="Z1596" s="164" t="s">
        <v>195</v>
      </c>
      <c r="AA1596" s="164" t="s">
        <v>196</v>
      </c>
      <c r="AB1596" s="164" t="s">
        <v>187</v>
      </c>
      <c r="AC1596" s="164" t="s">
        <v>187</v>
      </c>
      <c r="AD1596" s="165">
        <v>1</v>
      </c>
      <c r="AE1596" s="164" t="s">
        <v>187</v>
      </c>
      <c r="AF1596" s="165">
        <v>24.416425</v>
      </c>
      <c r="AG1596" s="166">
        <v>89.919144000000003</v>
      </c>
      <c r="AO1596" s="121"/>
      <c r="AT1596" s="111"/>
      <c r="AX1596" s="121"/>
    </row>
    <row r="1597" spans="1:50" s="110" customFormat="1" ht="20" customHeight="1">
      <c r="A1597" s="125" t="s">
        <v>486</v>
      </c>
      <c r="B1597" s="126" t="s">
        <v>57</v>
      </c>
      <c r="C1597" s="127">
        <v>19724</v>
      </c>
      <c r="D1597" s="163">
        <v>115177</v>
      </c>
      <c r="E1597" s="164" t="s">
        <v>3111</v>
      </c>
      <c r="F1597" s="164" t="s">
        <v>3111</v>
      </c>
      <c r="G1597" s="165">
        <v>4600</v>
      </c>
      <c r="H1597" s="165">
        <v>1</v>
      </c>
      <c r="I1597" s="164" t="s">
        <v>187</v>
      </c>
      <c r="J1597" s="164" t="s">
        <v>198</v>
      </c>
      <c r="K1597" s="164" t="s">
        <v>199</v>
      </c>
      <c r="L1597" s="165">
        <v>5</v>
      </c>
      <c r="M1597" s="165">
        <v>5</v>
      </c>
      <c r="N1597" s="164" t="s">
        <v>1577</v>
      </c>
      <c r="O1597" s="165">
        <v>0</v>
      </c>
      <c r="P1597" s="165">
        <v>0</v>
      </c>
      <c r="Q1597" s="165">
        <v>21</v>
      </c>
      <c r="R1597" s="164" t="s">
        <v>200</v>
      </c>
      <c r="S1597" s="164" t="s">
        <v>201</v>
      </c>
      <c r="T1597" s="165">
        <v>416</v>
      </c>
      <c r="U1597" s="164" t="s">
        <v>200</v>
      </c>
      <c r="V1597" s="164" t="s">
        <v>2066</v>
      </c>
      <c r="W1597" s="165">
        <v>2</v>
      </c>
      <c r="X1597" s="165">
        <v>4</v>
      </c>
      <c r="Y1597" s="164" t="s">
        <v>203</v>
      </c>
      <c r="Z1597" s="164" t="s">
        <v>195</v>
      </c>
      <c r="AA1597" s="164" t="s">
        <v>196</v>
      </c>
      <c r="AB1597" s="164" t="s">
        <v>187</v>
      </c>
      <c r="AC1597" s="164" t="s">
        <v>187</v>
      </c>
      <c r="AD1597" s="165">
        <v>1</v>
      </c>
      <c r="AE1597" s="164" t="s">
        <v>187</v>
      </c>
      <c r="AF1597" s="165">
        <v>24.815829999999998</v>
      </c>
      <c r="AG1597" s="166">
        <v>89.777011999999999</v>
      </c>
      <c r="AO1597" s="121"/>
      <c r="AT1597" s="111"/>
      <c r="AX1597" s="121"/>
    </row>
    <row r="1598" spans="1:50" s="110" customFormat="1" ht="20" customHeight="1">
      <c r="A1598" s="125" t="s">
        <v>486</v>
      </c>
      <c r="B1598" s="126" t="s">
        <v>57</v>
      </c>
      <c r="C1598" s="127">
        <v>19705</v>
      </c>
      <c r="D1598" s="163">
        <v>115157</v>
      </c>
      <c r="E1598" s="164" t="s">
        <v>3075</v>
      </c>
      <c r="F1598" s="164" t="s">
        <v>3075</v>
      </c>
      <c r="G1598" s="165">
        <v>4300</v>
      </c>
      <c r="H1598" s="165">
        <v>1</v>
      </c>
      <c r="I1598" s="164" t="s">
        <v>187</v>
      </c>
      <c r="J1598" s="164" t="s">
        <v>198</v>
      </c>
      <c r="K1598" s="164" t="s">
        <v>199</v>
      </c>
      <c r="L1598" s="165">
        <v>5</v>
      </c>
      <c r="M1598" s="165">
        <v>5</v>
      </c>
      <c r="N1598" s="164" t="s">
        <v>1577</v>
      </c>
      <c r="O1598" s="165">
        <v>0</v>
      </c>
      <c r="P1598" s="165">
        <v>0</v>
      </c>
      <c r="Q1598" s="165">
        <v>21</v>
      </c>
      <c r="R1598" s="164" t="s">
        <v>200</v>
      </c>
      <c r="S1598" s="164" t="s">
        <v>201</v>
      </c>
      <c r="T1598" s="165">
        <v>416</v>
      </c>
      <c r="U1598" s="164" t="s">
        <v>200</v>
      </c>
      <c r="V1598" s="164" t="s">
        <v>2066</v>
      </c>
      <c r="W1598" s="165">
        <v>3</v>
      </c>
      <c r="X1598" s="165">
        <v>4</v>
      </c>
      <c r="Y1598" s="164" t="s">
        <v>203</v>
      </c>
      <c r="Z1598" s="164" t="s">
        <v>195</v>
      </c>
      <c r="AA1598" s="164" t="s">
        <v>196</v>
      </c>
      <c r="AB1598" s="164" t="s">
        <v>187</v>
      </c>
      <c r="AC1598" s="164" t="s">
        <v>187</v>
      </c>
      <c r="AD1598" s="165">
        <v>1</v>
      </c>
      <c r="AE1598" s="164" t="s">
        <v>187</v>
      </c>
      <c r="AF1598" s="165">
        <v>24.195392078039099</v>
      </c>
      <c r="AG1598" s="166">
        <v>89.409451481086194</v>
      </c>
      <c r="AO1598" s="121"/>
      <c r="AT1598" s="111"/>
      <c r="AX1598" s="121"/>
    </row>
    <row r="1599" spans="1:50" s="110" customFormat="1" ht="20" customHeight="1">
      <c r="A1599" s="125" t="s">
        <v>486</v>
      </c>
      <c r="B1599" s="126" t="s">
        <v>57</v>
      </c>
      <c r="C1599" s="127">
        <v>19688</v>
      </c>
      <c r="D1599" s="163">
        <v>115140</v>
      </c>
      <c r="E1599" s="164" t="s">
        <v>2764</v>
      </c>
      <c r="F1599" s="164" t="s">
        <v>2764</v>
      </c>
      <c r="G1599" s="165">
        <v>2300</v>
      </c>
      <c r="H1599" s="165">
        <v>1</v>
      </c>
      <c r="I1599" s="164" t="s">
        <v>187</v>
      </c>
      <c r="J1599" s="164" t="s">
        <v>198</v>
      </c>
      <c r="K1599" s="164" t="s">
        <v>199</v>
      </c>
      <c r="L1599" s="165">
        <v>5</v>
      </c>
      <c r="M1599" s="165">
        <v>5</v>
      </c>
      <c r="N1599" s="164" t="s">
        <v>1577</v>
      </c>
      <c r="O1599" s="165">
        <v>0</v>
      </c>
      <c r="P1599" s="165">
        <v>0</v>
      </c>
      <c r="Q1599" s="165">
        <v>21</v>
      </c>
      <c r="R1599" s="164" t="s">
        <v>200</v>
      </c>
      <c r="S1599" s="164" t="s">
        <v>201</v>
      </c>
      <c r="T1599" s="165">
        <v>416</v>
      </c>
      <c r="U1599" s="164" t="s">
        <v>200</v>
      </c>
      <c r="V1599" s="164" t="s">
        <v>2066</v>
      </c>
      <c r="W1599" s="165">
        <v>4</v>
      </c>
      <c r="X1599" s="165">
        <v>4</v>
      </c>
      <c r="Y1599" s="164" t="s">
        <v>203</v>
      </c>
      <c r="Z1599" s="164" t="s">
        <v>195</v>
      </c>
      <c r="AA1599" s="164" t="s">
        <v>196</v>
      </c>
      <c r="AB1599" s="164" t="s">
        <v>187</v>
      </c>
      <c r="AC1599" s="164" t="s">
        <v>187</v>
      </c>
      <c r="AD1599" s="165">
        <v>1</v>
      </c>
      <c r="AE1599" s="164" t="s">
        <v>187</v>
      </c>
      <c r="AF1599" s="165">
        <v>24.0776445249987</v>
      </c>
      <c r="AG1599" s="166">
        <v>90.012010606012595</v>
      </c>
      <c r="AO1599" s="121"/>
      <c r="AT1599" s="111"/>
      <c r="AX1599" s="121"/>
    </row>
    <row r="1600" spans="1:50" s="110" customFormat="1" ht="20" customHeight="1">
      <c r="A1600" s="125" t="s">
        <v>486</v>
      </c>
      <c r="B1600" s="126" t="s">
        <v>57</v>
      </c>
      <c r="C1600" s="127">
        <v>19691</v>
      </c>
      <c r="D1600" s="163">
        <v>115143</v>
      </c>
      <c r="E1600" s="164" t="s">
        <v>2472</v>
      </c>
      <c r="F1600" s="164" t="s">
        <v>2472</v>
      </c>
      <c r="G1600" s="165">
        <v>1400</v>
      </c>
      <c r="H1600" s="165">
        <v>1</v>
      </c>
      <c r="I1600" s="164" t="s">
        <v>187</v>
      </c>
      <c r="J1600" s="164" t="s">
        <v>198</v>
      </c>
      <c r="K1600" s="164" t="s">
        <v>199</v>
      </c>
      <c r="L1600" s="165">
        <v>5</v>
      </c>
      <c r="M1600" s="165">
        <v>5</v>
      </c>
      <c r="N1600" s="164" t="s">
        <v>1577</v>
      </c>
      <c r="O1600" s="165">
        <v>0</v>
      </c>
      <c r="P1600" s="165">
        <v>0</v>
      </c>
      <c r="Q1600" s="165">
        <v>21</v>
      </c>
      <c r="R1600" s="164" t="s">
        <v>200</v>
      </c>
      <c r="S1600" s="164" t="s">
        <v>201</v>
      </c>
      <c r="T1600" s="165">
        <v>416</v>
      </c>
      <c r="U1600" s="164" t="s">
        <v>200</v>
      </c>
      <c r="V1600" s="164" t="s">
        <v>2066</v>
      </c>
      <c r="W1600" s="165">
        <v>2</v>
      </c>
      <c r="X1600" s="165">
        <v>4</v>
      </c>
      <c r="Y1600" s="164" t="s">
        <v>203</v>
      </c>
      <c r="Z1600" s="164" t="s">
        <v>195</v>
      </c>
      <c r="AA1600" s="164" t="s">
        <v>196</v>
      </c>
      <c r="AB1600" s="164" t="s">
        <v>187</v>
      </c>
      <c r="AC1600" s="164" t="s">
        <v>187</v>
      </c>
      <c r="AD1600" s="165">
        <v>1</v>
      </c>
      <c r="AE1600" s="164" t="s">
        <v>187</v>
      </c>
      <c r="AF1600" s="165">
        <v>24.050097138001899</v>
      </c>
      <c r="AG1600" s="166">
        <v>90.435777871233299</v>
      </c>
      <c r="AO1600" s="121"/>
      <c r="AT1600" s="111"/>
      <c r="AX1600" s="121"/>
    </row>
    <row r="1601" spans="1:50" s="110" customFormat="1" ht="20" customHeight="1">
      <c r="A1601" s="125" t="s">
        <v>486</v>
      </c>
      <c r="B1601" s="126" t="s">
        <v>57</v>
      </c>
      <c r="C1601" s="127">
        <v>19721</v>
      </c>
      <c r="D1601" s="163">
        <v>115174</v>
      </c>
      <c r="E1601" s="164" t="s">
        <v>2065</v>
      </c>
      <c r="F1601" s="164" t="s">
        <v>2065</v>
      </c>
      <c r="G1601" s="165">
        <v>700</v>
      </c>
      <c r="H1601" s="165">
        <v>1</v>
      </c>
      <c r="I1601" s="164" t="s">
        <v>187</v>
      </c>
      <c r="J1601" s="164" t="s">
        <v>198</v>
      </c>
      <c r="K1601" s="164" t="s">
        <v>199</v>
      </c>
      <c r="L1601" s="165">
        <v>5</v>
      </c>
      <c r="M1601" s="165">
        <v>5</v>
      </c>
      <c r="N1601" s="164" t="s">
        <v>1577</v>
      </c>
      <c r="O1601" s="165">
        <v>0</v>
      </c>
      <c r="P1601" s="165">
        <v>0</v>
      </c>
      <c r="Q1601" s="165">
        <v>21</v>
      </c>
      <c r="R1601" s="164" t="s">
        <v>200</v>
      </c>
      <c r="S1601" s="164" t="s">
        <v>201</v>
      </c>
      <c r="T1601" s="165">
        <v>416</v>
      </c>
      <c r="U1601" s="164" t="s">
        <v>200</v>
      </c>
      <c r="V1601" s="164" t="s">
        <v>2066</v>
      </c>
      <c r="W1601" s="165">
        <v>3</v>
      </c>
      <c r="X1601" s="165">
        <v>4</v>
      </c>
      <c r="Y1601" s="164" t="s">
        <v>203</v>
      </c>
      <c r="Z1601" s="164" t="s">
        <v>195</v>
      </c>
      <c r="AA1601" s="164" t="s">
        <v>196</v>
      </c>
      <c r="AB1601" s="164" t="s">
        <v>187</v>
      </c>
      <c r="AC1601" s="164" t="s">
        <v>187</v>
      </c>
      <c r="AD1601" s="165">
        <v>1</v>
      </c>
      <c r="AE1601" s="164" t="s">
        <v>187</v>
      </c>
      <c r="AF1601" s="165">
        <v>24.019932704459801</v>
      </c>
      <c r="AG1601" s="166">
        <v>90.856362639193406</v>
      </c>
      <c r="AO1601" s="121"/>
      <c r="AT1601" s="111"/>
      <c r="AX1601" s="121"/>
    </row>
    <row r="1602" spans="1:50" s="110" customFormat="1" ht="20" customHeight="1">
      <c r="A1602" s="125" t="s">
        <v>231</v>
      </c>
      <c r="B1602" s="126" t="s">
        <v>66</v>
      </c>
      <c r="C1602" s="127">
        <v>16318</v>
      </c>
      <c r="D1602" s="163">
        <v>111452</v>
      </c>
      <c r="E1602" s="164" t="s">
        <v>3761</v>
      </c>
      <c r="F1602" s="164" t="s">
        <v>3761</v>
      </c>
      <c r="G1602" s="165">
        <v>12000</v>
      </c>
      <c r="H1602" s="165">
        <v>1</v>
      </c>
      <c r="I1602" s="164" t="s">
        <v>187</v>
      </c>
      <c r="J1602" s="164" t="s">
        <v>219</v>
      </c>
      <c r="K1602" s="164" t="s">
        <v>220</v>
      </c>
      <c r="L1602" s="165">
        <v>5</v>
      </c>
      <c r="M1602" s="165">
        <v>5</v>
      </c>
      <c r="N1602" s="164" t="s">
        <v>1577</v>
      </c>
      <c r="O1602" s="165">
        <v>0</v>
      </c>
      <c r="P1602" s="165">
        <v>0</v>
      </c>
      <c r="Q1602" s="165">
        <v>21</v>
      </c>
      <c r="R1602" s="164" t="s">
        <v>200</v>
      </c>
      <c r="S1602" s="164" t="s">
        <v>201</v>
      </c>
      <c r="T1602" s="165">
        <v>416</v>
      </c>
      <c r="U1602" s="164" t="s">
        <v>200</v>
      </c>
      <c r="V1602" s="164" t="s">
        <v>2066</v>
      </c>
      <c r="W1602" s="165">
        <v>6</v>
      </c>
      <c r="X1602" s="165">
        <v>4</v>
      </c>
      <c r="Y1602" s="164" t="s">
        <v>203</v>
      </c>
      <c r="Z1602" s="164" t="s">
        <v>195</v>
      </c>
      <c r="AA1602" s="164" t="s">
        <v>196</v>
      </c>
      <c r="AB1602" s="164" t="s">
        <v>187</v>
      </c>
      <c r="AC1602" s="164" t="s">
        <v>187</v>
      </c>
      <c r="AD1602" s="165">
        <v>1</v>
      </c>
      <c r="AE1602" s="164" t="s">
        <v>187</v>
      </c>
      <c r="AF1602" s="165">
        <v>25.4982476093321</v>
      </c>
      <c r="AG1602" s="166">
        <v>68.512861339755702</v>
      </c>
      <c r="AO1602" s="121"/>
      <c r="AT1602" s="111"/>
      <c r="AX1602" s="121"/>
    </row>
    <row r="1603" spans="1:50" s="110" customFormat="1" ht="20" customHeight="1">
      <c r="A1603" s="125" t="s">
        <v>224</v>
      </c>
      <c r="B1603" s="126" t="s">
        <v>68</v>
      </c>
      <c r="C1603" s="127">
        <v>19688</v>
      </c>
      <c r="D1603" s="163">
        <v>115140</v>
      </c>
      <c r="E1603" s="164" t="s">
        <v>2764</v>
      </c>
      <c r="F1603" s="164" t="s">
        <v>2764</v>
      </c>
      <c r="G1603" s="165">
        <v>20000</v>
      </c>
      <c r="H1603" s="165">
        <v>1</v>
      </c>
      <c r="I1603" s="164" t="s">
        <v>187</v>
      </c>
      <c r="J1603" s="164" t="s">
        <v>719</v>
      </c>
      <c r="K1603" s="164" t="s">
        <v>718</v>
      </c>
      <c r="L1603" s="165">
        <v>5</v>
      </c>
      <c r="M1603" s="165">
        <v>5</v>
      </c>
      <c r="N1603" s="164" t="s">
        <v>1577</v>
      </c>
      <c r="O1603" s="165">
        <v>0</v>
      </c>
      <c r="P1603" s="165">
        <v>0</v>
      </c>
      <c r="Q1603" s="165">
        <v>21</v>
      </c>
      <c r="R1603" s="164" t="s">
        <v>200</v>
      </c>
      <c r="S1603" s="164" t="s">
        <v>201</v>
      </c>
      <c r="T1603" s="165">
        <v>416</v>
      </c>
      <c r="U1603" s="164" t="s">
        <v>200</v>
      </c>
      <c r="V1603" s="164" t="s">
        <v>2066</v>
      </c>
      <c r="W1603" s="165">
        <v>4</v>
      </c>
      <c r="X1603" s="165">
        <v>4</v>
      </c>
      <c r="Y1603" s="164" t="s">
        <v>203</v>
      </c>
      <c r="Z1603" s="164" t="s">
        <v>195</v>
      </c>
      <c r="AA1603" s="164" t="s">
        <v>196</v>
      </c>
      <c r="AB1603" s="164" t="s">
        <v>187</v>
      </c>
      <c r="AC1603" s="164" t="s">
        <v>187</v>
      </c>
      <c r="AD1603" s="165">
        <v>1</v>
      </c>
      <c r="AE1603" s="164" t="s">
        <v>187</v>
      </c>
      <c r="AF1603" s="165">
        <v>6.9070679999999998</v>
      </c>
      <c r="AG1603" s="166">
        <v>79.870324999999994</v>
      </c>
      <c r="AO1603" s="121"/>
      <c r="AT1603" s="111"/>
      <c r="AX1603" s="121"/>
    </row>
    <row r="1604" spans="1:50" s="110" customFormat="1" ht="20" customHeight="1">
      <c r="A1604" s="125" t="s">
        <v>224</v>
      </c>
      <c r="B1604" s="126" t="s">
        <v>68</v>
      </c>
      <c r="C1604" s="127">
        <v>16318</v>
      </c>
      <c r="D1604" s="163">
        <v>111452</v>
      </c>
      <c r="E1604" s="164" t="s">
        <v>3761</v>
      </c>
      <c r="F1604" s="164" t="s">
        <v>3761</v>
      </c>
      <c r="G1604" s="165">
        <v>16000</v>
      </c>
      <c r="H1604" s="165">
        <v>1</v>
      </c>
      <c r="I1604" s="164" t="s">
        <v>187</v>
      </c>
      <c r="J1604" s="164" t="s">
        <v>1989</v>
      </c>
      <c r="K1604" s="164" t="s">
        <v>1990</v>
      </c>
      <c r="L1604" s="165">
        <v>5</v>
      </c>
      <c r="M1604" s="165">
        <v>5</v>
      </c>
      <c r="N1604" s="164" t="s">
        <v>1577</v>
      </c>
      <c r="O1604" s="165">
        <v>0</v>
      </c>
      <c r="P1604" s="165">
        <v>0</v>
      </c>
      <c r="Q1604" s="165">
        <v>21</v>
      </c>
      <c r="R1604" s="164" t="s">
        <v>200</v>
      </c>
      <c r="S1604" s="164" t="s">
        <v>201</v>
      </c>
      <c r="T1604" s="165">
        <v>416</v>
      </c>
      <c r="U1604" s="164" t="s">
        <v>200</v>
      </c>
      <c r="V1604" s="164" t="s">
        <v>2066</v>
      </c>
      <c r="W1604" s="165">
        <v>6</v>
      </c>
      <c r="X1604" s="165">
        <v>4</v>
      </c>
      <c r="Y1604" s="164" t="s">
        <v>203</v>
      </c>
      <c r="Z1604" s="164" t="s">
        <v>195</v>
      </c>
      <c r="AA1604" s="164" t="s">
        <v>196</v>
      </c>
      <c r="AB1604" s="164" t="s">
        <v>187</v>
      </c>
      <c r="AC1604" s="164" t="s">
        <v>187</v>
      </c>
      <c r="AD1604" s="165">
        <v>1</v>
      </c>
      <c r="AE1604" s="164" t="s">
        <v>187</v>
      </c>
      <c r="AF1604" s="165">
        <v>7.12507</v>
      </c>
      <c r="AG1604" s="166">
        <v>80.009129999999999</v>
      </c>
      <c r="AO1604" s="121"/>
      <c r="AT1604" s="111"/>
      <c r="AX1604" s="121"/>
    </row>
    <row r="1605" spans="1:50" s="110" customFormat="1" ht="20" customHeight="1">
      <c r="A1605" s="125" t="s">
        <v>224</v>
      </c>
      <c r="B1605" s="126" t="s">
        <v>68</v>
      </c>
      <c r="C1605" s="127">
        <v>19695</v>
      </c>
      <c r="D1605" s="163">
        <v>115147</v>
      </c>
      <c r="E1605" s="164" t="s">
        <v>3324</v>
      </c>
      <c r="F1605" s="164" t="s">
        <v>3324</v>
      </c>
      <c r="G1605" s="165">
        <v>6200</v>
      </c>
      <c r="H1605" s="165">
        <v>1</v>
      </c>
      <c r="I1605" s="164" t="s">
        <v>187</v>
      </c>
      <c r="J1605" s="164" t="s">
        <v>1989</v>
      </c>
      <c r="K1605" s="164" t="s">
        <v>1990</v>
      </c>
      <c r="L1605" s="165">
        <v>5</v>
      </c>
      <c r="M1605" s="165">
        <v>5</v>
      </c>
      <c r="N1605" s="164" t="s">
        <v>1577</v>
      </c>
      <c r="O1605" s="165">
        <v>0</v>
      </c>
      <c r="P1605" s="165">
        <v>0</v>
      </c>
      <c r="Q1605" s="165">
        <v>21</v>
      </c>
      <c r="R1605" s="164" t="s">
        <v>200</v>
      </c>
      <c r="S1605" s="164" t="s">
        <v>201</v>
      </c>
      <c r="T1605" s="165">
        <v>416</v>
      </c>
      <c r="U1605" s="164" t="s">
        <v>200</v>
      </c>
      <c r="V1605" s="164" t="s">
        <v>2066</v>
      </c>
      <c r="W1605" s="165">
        <v>2</v>
      </c>
      <c r="X1605" s="165">
        <v>4</v>
      </c>
      <c r="Y1605" s="164" t="s">
        <v>203</v>
      </c>
      <c r="Z1605" s="164" t="s">
        <v>195</v>
      </c>
      <c r="AA1605" s="164" t="s">
        <v>196</v>
      </c>
      <c r="AB1605" s="164" t="s">
        <v>187</v>
      </c>
      <c r="AC1605" s="164" t="s">
        <v>187</v>
      </c>
      <c r="AD1605" s="165">
        <v>1</v>
      </c>
      <c r="AE1605" s="164" t="s">
        <v>187</v>
      </c>
      <c r="AF1605" s="165">
        <v>7.12507</v>
      </c>
      <c r="AG1605" s="166">
        <v>80.009129999999999</v>
      </c>
      <c r="AO1605" s="121"/>
      <c r="AT1605" s="111"/>
      <c r="AX1605" s="121"/>
    </row>
    <row r="1606" spans="1:50" s="110" customFormat="1" ht="20" customHeight="1">
      <c r="A1606" s="125" t="s">
        <v>224</v>
      </c>
      <c r="B1606" s="126" t="s">
        <v>68</v>
      </c>
      <c r="C1606" s="127">
        <v>19712</v>
      </c>
      <c r="D1606" s="163">
        <v>115164</v>
      </c>
      <c r="E1606" s="164" t="s">
        <v>2676</v>
      </c>
      <c r="F1606" s="164" t="s">
        <v>2676</v>
      </c>
      <c r="G1606" s="165">
        <v>1900</v>
      </c>
      <c r="H1606" s="165">
        <v>1</v>
      </c>
      <c r="I1606" s="164" t="s">
        <v>187</v>
      </c>
      <c r="J1606" s="164" t="s">
        <v>2656</v>
      </c>
      <c r="K1606" s="164" t="s">
        <v>493</v>
      </c>
      <c r="L1606" s="165">
        <v>4</v>
      </c>
      <c r="M1606" s="165">
        <v>5</v>
      </c>
      <c r="N1606" s="164" t="s">
        <v>1577</v>
      </c>
      <c r="O1606" s="165">
        <v>0</v>
      </c>
      <c r="P1606" s="165">
        <v>0</v>
      </c>
      <c r="Q1606" s="165">
        <v>21</v>
      </c>
      <c r="R1606" s="164" t="s">
        <v>200</v>
      </c>
      <c r="S1606" s="164" t="s">
        <v>201</v>
      </c>
      <c r="T1606" s="165">
        <v>416</v>
      </c>
      <c r="U1606" s="164" t="s">
        <v>200</v>
      </c>
      <c r="V1606" s="164" t="s">
        <v>2066</v>
      </c>
      <c r="W1606" s="165">
        <v>3</v>
      </c>
      <c r="X1606" s="165">
        <v>4</v>
      </c>
      <c r="Y1606" s="164" t="s">
        <v>203</v>
      </c>
      <c r="Z1606" s="164" t="s">
        <v>195</v>
      </c>
      <c r="AA1606" s="164" t="s">
        <v>196</v>
      </c>
      <c r="AB1606" s="164" t="s">
        <v>187</v>
      </c>
      <c r="AC1606" s="164" t="s">
        <v>187</v>
      </c>
      <c r="AD1606" s="165">
        <v>1</v>
      </c>
      <c r="AE1606" s="164" t="s">
        <v>187</v>
      </c>
      <c r="AF1606" s="165">
        <v>6.9200889999999999</v>
      </c>
      <c r="AG1606" s="166">
        <v>79.862091000000007</v>
      </c>
      <c r="AO1606" s="121"/>
      <c r="AT1606" s="111"/>
      <c r="AX1606" s="121"/>
    </row>
    <row r="1607" spans="1:50" s="110" customFormat="1" ht="20" customHeight="1">
      <c r="A1607" s="125" t="s">
        <v>224</v>
      </c>
      <c r="B1607" s="126" t="s">
        <v>68</v>
      </c>
      <c r="C1607" s="127">
        <v>19719</v>
      </c>
      <c r="D1607" s="163">
        <v>115172</v>
      </c>
      <c r="E1607" s="164" t="s">
        <v>2655</v>
      </c>
      <c r="F1607" s="164" t="s">
        <v>2655</v>
      </c>
      <c r="G1607" s="165">
        <v>1800</v>
      </c>
      <c r="H1607" s="165">
        <v>1</v>
      </c>
      <c r="I1607" s="164" t="s">
        <v>187</v>
      </c>
      <c r="J1607" s="164" t="s">
        <v>2656</v>
      </c>
      <c r="K1607" s="164" t="s">
        <v>493</v>
      </c>
      <c r="L1607" s="165">
        <v>4</v>
      </c>
      <c r="M1607" s="165">
        <v>5</v>
      </c>
      <c r="N1607" s="164" t="s">
        <v>1577</v>
      </c>
      <c r="O1607" s="165">
        <v>0</v>
      </c>
      <c r="P1607" s="165">
        <v>0</v>
      </c>
      <c r="Q1607" s="165">
        <v>21</v>
      </c>
      <c r="R1607" s="164" t="s">
        <v>200</v>
      </c>
      <c r="S1607" s="164" t="s">
        <v>201</v>
      </c>
      <c r="T1607" s="165">
        <v>416</v>
      </c>
      <c r="U1607" s="164" t="s">
        <v>200</v>
      </c>
      <c r="V1607" s="164" t="s">
        <v>2066</v>
      </c>
      <c r="W1607" s="165">
        <v>2</v>
      </c>
      <c r="X1607" s="165">
        <v>4</v>
      </c>
      <c r="Y1607" s="164" t="s">
        <v>203</v>
      </c>
      <c r="Z1607" s="164" t="s">
        <v>195</v>
      </c>
      <c r="AA1607" s="164" t="s">
        <v>196</v>
      </c>
      <c r="AB1607" s="164" t="s">
        <v>187</v>
      </c>
      <c r="AC1607" s="164" t="s">
        <v>187</v>
      </c>
      <c r="AD1607" s="165">
        <v>1</v>
      </c>
      <c r="AE1607" s="164" t="s">
        <v>187</v>
      </c>
      <c r="AF1607" s="165">
        <v>6.9238229999999996</v>
      </c>
      <c r="AG1607" s="166">
        <v>79.867007000000001</v>
      </c>
      <c r="AO1607" s="121"/>
      <c r="AT1607" s="111"/>
      <c r="AX1607" s="121"/>
    </row>
    <row r="1608" spans="1:50" s="110" customFormat="1" ht="20" customHeight="1">
      <c r="A1608" s="125" t="s">
        <v>224</v>
      </c>
      <c r="B1608" s="126" t="s">
        <v>68</v>
      </c>
      <c r="C1608" s="127">
        <v>19711</v>
      </c>
      <c r="D1608" s="163">
        <v>115163</v>
      </c>
      <c r="E1608" s="164" t="s">
        <v>2463</v>
      </c>
      <c r="F1608" s="164" t="s">
        <v>2463</v>
      </c>
      <c r="G1608" s="165">
        <v>1300</v>
      </c>
      <c r="H1608" s="165">
        <v>1</v>
      </c>
      <c r="I1608" s="164" t="s">
        <v>187</v>
      </c>
      <c r="J1608" s="164" t="s">
        <v>2228</v>
      </c>
      <c r="K1608" s="164" t="s">
        <v>2229</v>
      </c>
      <c r="L1608" s="165">
        <v>5</v>
      </c>
      <c r="M1608" s="165">
        <v>5</v>
      </c>
      <c r="N1608" s="164" t="s">
        <v>1577</v>
      </c>
      <c r="O1608" s="165">
        <v>0</v>
      </c>
      <c r="P1608" s="165">
        <v>0</v>
      </c>
      <c r="Q1608" s="165">
        <v>21</v>
      </c>
      <c r="R1608" s="164" t="s">
        <v>200</v>
      </c>
      <c r="S1608" s="164" t="s">
        <v>201</v>
      </c>
      <c r="T1608" s="165">
        <v>416</v>
      </c>
      <c r="U1608" s="164" t="s">
        <v>200</v>
      </c>
      <c r="V1608" s="164" t="s">
        <v>2066</v>
      </c>
      <c r="W1608" s="165">
        <v>2</v>
      </c>
      <c r="X1608" s="165">
        <v>4</v>
      </c>
      <c r="Y1608" s="164" t="s">
        <v>203</v>
      </c>
      <c r="Z1608" s="164" t="s">
        <v>195</v>
      </c>
      <c r="AA1608" s="164" t="s">
        <v>196</v>
      </c>
      <c r="AB1608" s="164" t="s">
        <v>187</v>
      </c>
      <c r="AC1608" s="164" t="s">
        <v>187</v>
      </c>
      <c r="AD1608" s="165">
        <v>1</v>
      </c>
      <c r="AE1608" s="164" t="s">
        <v>187</v>
      </c>
      <c r="AF1608" s="165">
        <v>6.9114769999999996</v>
      </c>
      <c r="AG1608" s="166">
        <v>79.861879000000002</v>
      </c>
      <c r="AO1608" s="121"/>
      <c r="AT1608" s="111"/>
      <c r="AX1608" s="121"/>
    </row>
    <row r="1609" spans="1:50" s="110" customFormat="1" ht="20" customHeight="1">
      <c r="A1609" s="125" t="s">
        <v>486</v>
      </c>
      <c r="B1609" s="126" t="s">
        <v>57</v>
      </c>
      <c r="C1609" s="127">
        <v>16521</v>
      </c>
      <c r="D1609" s="163">
        <v>111696</v>
      </c>
      <c r="E1609" s="164" t="s">
        <v>3398</v>
      </c>
      <c r="F1609" s="164" t="s">
        <v>3398</v>
      </c>
      <c r="G1609" s="165">
        <v>584000</v>
      </c>
      <c r="H1609" s="165">
        <v>1</v>
      </c>
      <c r="I1609" s="164" t="s">
        <v>187</v>
      </c>
      <c r="J1609" s="164" t="s">
        <v>198</v>
      </c>
      <c r="K1609" s="164" t="s">
        <v>199</v>
      </c>
      <c r="L1609" s="165">
        <v>5</v>
      </c>
      <c r="M1609" s="165">
        <v>5</v>
      </c>
      <c r="N1609" s="164" t="s">
        <v>1577</v>
      </c>
      <c r="O1609" s="165">
        <v>0</v>
      </c>
      <c r="P1609" s="165">
        <v>0</v>
      </c>
      <c r="Q1609" s="165">
        <v>21</v>
      </c>
      <c r="R1609" s="164" t="s">
        <v>200</v>
      </c>
      <c r="S1609" s="164" t="s">
        <v>201</v>
      </c>
      <c r="T1609" s="165">
        <v>417</v>
      </c>
      <c r="U1609" s="164" t="s">
        <v>200</v>
      </c>
      <c r="V1609" s="164" t="s">
        <v>1716</v>
      </c>
      <c r="W1609" s="165">
        <v>7</v>
      </c>
      <c r="X1609" s="165">
        <v>4</v>
      </c>
      <c r="Y1609" s="164" t="s">
        <v>203</v>
      </c>
      <c r="Z1609" s="164" t="s">
        <v>195</v>
      </c>
      <c r="AA1609" s="164" t="s">
        <v>196</v>
      </c>
      <c r="AB1609" s="164" t="s">
        <v>187</v>
      </c>
      <c r="AC1609" s="164" t="s">
        <v>187</v>
      </c>
      <c r="AD1609" s="165">
        <v>12</v>
      </c>
      <c r="AE1609" s="164" t="s">
        <v>187</v>
      </c>
      <c r="AF1609" s="165">
        <v>24.042767663321101</v>
      </c>
      <c r="AG1609" s="166">
        <v>90.439895963264505</v>
      </c>
      <c r="AO1609" s="121"/>
      <c r="AT1609" s="111"/>
      <c r="AX1609" s="121"/>
    </row>
    <row r="1610" spans="1:50" s="110" customFormat="1" ht="20" customHeight="1">
      <c r="A1610" s="125" t="s">
        <v>486</v>
      </c>
      <c r="B1610" s="126" t="s">
        <v>57</v>
      </c>
      <c r="C1610" s="127">
        <v>19972</v>
      </c>
      <c r="D1610" s="163">
        <v>115753</v>
      </c>
      <c r="E1610" s="164" t="s">
        <v>4426</v>
      </c>
      <c r="F1610" s="164" t="s">
        <v>4426</v>
      </c>
      <c r="G1610" s="165">
        <v>51000</v>
      </c>
      <c r="H1610" s="165">
        <v>1</v>
      </c>
      <c r="I1610" s="164" t="s">
        <v>187</v>
      </c>
      <c r="J1610" s="164" t="s">
        <v>198</v>
      </c>
      <c r="K1610" s="164" t="s">
        <v>199</v>
      </c>
      <c r="L1610" s="165">
        <v>5</v>
      </c>
      <c r="M1610" s="165">
        <v>5</v>
      </c>
      <c r="N1610" s="164" t="s">
        <v>1577</v>
      </c>
      <c r="O1610" s="165">
        <v>0</v>
      </c>
      <c r="P1610" s="165">
        <v>0</v>
      </c>
      <c r="Q1610" s="165">
        <v>21</v>
      </c>
      <c r="R1610" s="164" t="s">
        <v>200</v>
      </c>
      <c r="S1610" s="164" t="s">
        <v>201</v>
      </c>
      <c r="T1610" s="165">
        <v>417</v>
      </c>
      <c r="U1610" s="164" t="s">
        <v>200</v>
      </c>
      <c r="V1610" s="164" t="s">
        <v>1716</v>
      </c>
      <c r="W1610" s="165">
        <v>3</v>
      </c>
      <c r="X1610" s="165">
        <v>4</v>
      </c>
      <c r="Y1610" s="164" t="s">
        <v>203</v>
      </c>
      <c r="Z1610" s="164" t="s">
        <v>195</v>
      </c>
      <c r="AA1610" s="164" t="s">
        <v>196</v>
      </c>
      <c r="AB1610" s="164" t="s">
        <v>187</v>
      </c>
      <c r="AC1610" s="164" t="s">
        <v>187</v>
      </c>
      <c r="AD1610" s="165">
        <v>1</v>
      </c>
      <c r="AE1610" s="164" t="s">
        <v>187</v>
      </c>
      <c r="AF1610" s="165">
        <v>24.060904472971099</v>
      </c>
      <c r="AG1610" s="166">
        <v>90.550793731324305</v>
      </c>
      <c r="AO1610" s="121"/>
      <c r="AT1610" s="111"/>
      <c r="AX1610" s="121"/>
    </row>
    <row r="1611" spans="1:50" s="110" customFormat="1" ht="20" customHeight="1">
      <c r="A1611" s="125" t="s">
        <v>486</v>
      </c>
      <c r="B1611" s="126" t="s">
        <v>57</v>
      </c>
      <c r="C1611" s="127">
        <v>19987</v>
      </c>
      <c r="D1611" s="163">
        <v>115772</v>
      </c>
      <c r="E1611" s="164" t="s">
        <v>4180</v>
      </c>
      <c r="F1611" s="164" t="s">
        <v>4180</v>
      </c>
      <c r="G1611" s="165">
        <v>28000</v>
      </c>
      <c r="H1611" s="165">
        <v>1</v>
      </c>
      <c r="I1611" s="164" t="s">
        <v>187</v>
      </c>
      <c r="J1611" s="164" t="s">
        <v>198</v>
      </c>
      <c r="K1611" s="164" t="s">
        <v>199</v>
      </c>
      <c r="L1611" s="165">
        <v>5</v>
      </c>
      <c r="M1611" s="165">
        <v>5</v>
      </c>
      <c r="N1611" s="164" t="s">
        <v>1577</v>
      </c>
      <c r="O1611" s="165">
        <v>0</v>
      </c>
      <c r="P1611" s="165">
        <v>0</v>
      </c>
      <c r="Q1611" s="165">
        <v>21</v>
      </c>
      <c r="R1611" s="164" t="s">
        <v>200</v>
      </c>
      <c r="S1611" s="164" t="s">
        <v>201</v>
      </c>
      <c r="T1611" s="165">
        <v>417</v>
      </c>
      <c r="U1611" s="164" t="s">
        <v>200</v>
      </c>
      <c r="V1611" s="164" t="s">
        <v>1716</v>
      </c>
      <c r="W1611" s="165">
        <v>2</v>
      </c>
      <c r="X1611" s="165">
        <v>4</v>
      </c>
      <c r="Y1611" s="164" t="s">
        <v>203</v>
      </c>
      <c r="Z1611" s="164" t="s">
        <v>195</v>
      </c>
      <c r="AA1611" s="164" t="s">
        <v>196</v>
      </c>
      <c r="AB1611" s="164" t="s">
        <v>187</v>
      </c>
      <c r="AC1611" s="164" t="s">
        <v>187</v>
      </c>
      <c r="AD1611" s="165">
        <v>1</v>
      </c>
      <c r="AE1611" s="164" t="s">
        <v>187</v>
      </c>
      <c r="AF1611" s="165">
        <v>24.118282451062701</v>
      </c>
      <c r="AG1611" s="166">
        <v>90.849616995698099</v>
      </c>
      <c r="AO1611" s="121"/>
      <c r="AT1611" s="111"/>
      <c r="AX1611" s="121"/>
    </row>
    <row r="1612" spans="1:50" s="110" customFormat="1" ht="20" customHeight="1">
      <c r="A1612" s="125" t="s">
        <v>486</v>
      </c>
      <c r="B1612" s="126" t="s">
        <v>57</v>
      </c>
      <c r="C1612" s="127">
        <v>19943</v>
      </c>
      <c r="D1612" s="163">
        <v>115717</v>
      </c>
      <c r="E1612" s="164" t="s">
        <v>4117</v>
      </c>
      <c r="F1612" s="164" t="s">
        <v>4117</v>
      </c>
      <c r="G1612" s="165">
        <v>24000</v>
      </c>
      <c r="H1612" s="165">
        <v>1</v>
      </c>
      <c r="I1612" s="164" t="s">
        <v>187</v>
      </c>
      <c r="J1612" s="164" t="s">
        <v>198</v>
      </c>
      <c r="K1612" s="164" t="s">
        <v>199</v>
      </c>
      <c r="L1612" s="165">
        <v>5</v>
      </c>
      <c r="M1612" s="165">
        <v>5</v>
      </c>
      <c r="N1612" s="164" t="s">
        <v>1577</v>
      </c>
      <c r="O1612" s="165">
        <v>0</v>
      </c>
      <c r="P1612" s="165">
        <v>0</v>
      </c>
      <c r="Q1612" s="165">
        <v>21</v>
      </c>
      <c r="R1612" s="164" t="s">
        <v>200</v>
      </c>
      <c r="S1612" s="164" t="s">
        <v>201</v>
      </c>
      <c r="T1612" s="165">
        <v>417</v>
      </c>
      <c r="U1612" s="164" t="s">
        <v>200</v>
      </c>
      <c r="V1612" s="164" t="s">
        <v>1716</v>
      </c>
      <c r="W1612" s="165">
        <v>3</v>
      </c>
      <c r="X1612" s="165">
        <v>4</v>
      </c>
      <c r="Y1612" s="164" t="s">
        <v>203</v>
      </c>
      <c r="Z1612" s="164" t="s">
        <v>195</v>
      </c>
      <c r="AA1612" s="164" t="s">
        <v>196</v>
      </c>
      <c r="AB1612" s="164" t="s">
        <v>187</v>
      </c>
      <c r="AC1612" s="164" t="s">
        <v>187</v>
      </c>
      <c r="AD1612" s="165">
        <v>1</v>
      </c>
      <c r="AE1612" s="164" t="s">
        <v>187</v>
      </c>
      <c r="AF1612" s="165">
        <v>22.984448159593502</v>
      </c>
      <c r="AG1612" s="166">
        <v>91.974502613846795</v>
      </c>
      <c r="AO1612" s="121"/>
      <c r="AT1612" s="111"/>
      <c r="AX1612" s="121"/>
    </row>
    <row r="1613" spans="1:50" s="110" customFormat="1" ht="20" customHeight="1">
      <c r="A1613" s="125" t="s">
        <v>486</v>
      </c>
      <c r="B1613" s="126" t="s">
        <v>57</v>
      </c>
      <c r="C1613" s="127">
        <v>19960</v>
      </c>
      <c r="D1613" s="163">
        <v>115737</v>
      </c>
      <c r="E1613" s="164" t="s">
        <v>3406</v>
      </c>
      <c r="F1613" s="164" t="s">
        <v>3406</v>
      </c>
      <c r="G1613" s="165">
        <v>7100</v>
      </c>
      <c r="H1613" s="165">
        <v>1</v>
      </c>
      <c r="I1613" s="164" t="s">
        <v>187</v>
      </c>
      <c r="J1613" s="164" t="s">
        <v>198</v>
      </c>
      <c r="K1613" s="164" t="s">
        <v>199</v>
      </c>
      <c r="L1613" s="165">
        <v>5</v>
      </c>
      <c r="M1613" s="165">
        <v>5</v>
      </c>
      <c r="N1613" s="164" t="s">
        <v>1577</v>
      </c>
      <c r="O1613" s="165">
        <v>0</v>
      </c>
      <c r="P1613" s="165">
        <v>0</v>
      </c>
      <c r="Q1613" s="165">
        <v>21</v>
      </c>
      <c r="R1613" s="164" t="s">
        <v>200</v>
      </c>
      <c r="S1613" s="164" t="s">
        <v>201</v>
      </c>
      <c r="T1613" s="165">
        <v>417</v>
      </c>
      <c r="U1613" s="164" t="s">
        <v>200</v>
      </c>
      <c r="V1613" s="164" t="s">
        <v>1716</v>
      </c>
      <c r="W1613" s="165">
        <v>2</v>
      </c>
      <c r="X1613" s="165">
        <v>4</v>
      </c>
      <c r="Y1613" s="164" t="s">
        <v>203</v>
      </c>
      <c r="Z1613" s="164" t="s">
        <v>195</v>
      </c>
      <c r="AA1613" s="164" t="s">
        <v>196</v>
      </c>
      <c r="AB1613" s="164" t="s">
        <v>187</v>
      </c>
      <c r="AC1613" s="164" t="s">
        <v>187</v>
      </c>
      <c r="AD1613" s="165">
        <v>1</v>
      </c>
      <c r="AE1613" s="164" t="s">
        <v>187</v>
      </c>
      <c r="AF1613" s="165">
        <v>25.057956292887901</v>
      </c>
      <c r="AG1613" s="166">
        <v>88.928452080434596</v>
      </c>
      <c r="AO1613" s="121"/>
      <c r="AT1613" s="111"/>
      <c r="AX1613" s="121"/>
    </row>
    <row r="1614" spans="1:50" s="110" customFormat="1" ht="20" customHeight="1">
      <c r="A1614" s="125" t="s">
        <v>486</v>
      </c>
      <c r="B1614" s="126" t="s">
        <v>57</v>
      </c>
      <c r="C1614" s="127">
        <v>19986</v>
      </c>
      <c r="D1614" s="163">
        <v>115771</v>
      </c>
      <c r="E1614" s="164" t="s">
        <v>3378</v>
      </c>
      <c r="F1614" s="164" t="s">
        <v>3378</v>
      </c>
      <c r="G1614" s="165">
        <v>6700</v>
      </c>
      <c r="H1614" s="165">
        <v>1</v>
      </c>
      <c r="I1614" s="164" t="s">
        <v>187</v>
      </c>
      <c r="J1614" s="164" t="s">
        <v>198</v>
      </c>
      <c r="K1614" s="164" t="s">
        <v>199</v>
      </c>
      <c r="L1614" s="165">
        <v>5</v>
      </c>
      <c r="M1614" s="165">
        <v>5</v>
      </c>
      <c r="N1614" s="164" t="s">
        <v>1577</v>
      </c>
      <c r="O1614" s="165">
        <v>0</v>
      </c>
      <c r="P1614" s="165">
        <v>0</v>
      </c>
      <c r="Q1614" s="165">
        <v>21</v>
      </c>
      <c r="R1614" s="164" t="s">
        <v>200</v>
      </c>
      <c r="S1614" s="164" t="s">
        <v>201</v>
      </c>
      <c r="T1614" s="165">
        <v>417</v>
      </c>
      <c r="U1614" s="164" t="s">
        <v>200</v>
      </c>
      <c r="V1614" s="164" t="s">
        <v>1716</v>
      </c>
      <c r="W1614" s="165">
        <v>2</v>
      </c>
      <c r="X1614" s="165">
        <v>4</v>
      </c>
      <c r="Y1614" s="164" t="s">
        <v>203</v>
      </c>
      <c r="Z1614" s="164" t="s">
        <v>195</v>
      </c>
      <c r="AA1614" s="164" t="s">
        <v>196</v>
      </c>
      <c r="AB1614" s="164" t="s">
        <v>187</v>
      </c>
      <c r="AC1614" s="164" t="s">
        <v>187</v>
      </c>
      <c r="AD1614" s="165">
        <v>1</v>
      </c>
      <c r="AE1614" s="164" t="s">
        <v>187</v>
      </c>
      <c r="AF1614" s="165">
        <v>24.050769471821699</v>
      </c>
      <c r="AG1614" s="166">
        <v>90.117626682009103</v>
      </c>
      <c r="AO1614" s="121"/>
      <c r="AT1614" s="111"/>
      <c r="AX1614" s="121"/>
    </row>
    <row r="1615" spans="1:50" s="110" customFormat="1" ht="20" customHeight="1">
      <c r="A1615" s="125" t="s">
        <v>486</v>
      </c>
      <c r="B1615" s="126" t="s">
        <v>57</v>
      </c>
      <c r="C1615" s="127">
        <v>21689</v>
      </c>
      <c r="D1615" s="167"/>
      <c r="E1615" s="164" t="s">
        <v>3356</v>
      </c>
      <c r="F1615" s="164" t="s">
        <v>3356</v>
      </c>
      <c r="G1615" s="165">
        <v>6500</v>
      </c>
      <c r="H1615" s="165">
        <v>1</v>
      </c>
      <c r="I1615" s="164" t="s">
        <v>187</v>
      </c>
      <c r="J1615" s="164" t="s">
        <v>198</v>
      </c>
      <c r="K1615" s="164" t="s">
        <v>199</v>
      </c>
      <c r="L1615" s="165">
        <v>5</v>
      </c>
      <c r="M1615" s="165">
        <v>5</v>
      </c>
      <c r="N1615" s="164" t="s">
        <v>1577</v>
      </c>
      <c r="O1615" s="165">
        <v>0</v>
      </c>
      <c r="P1615" s="165">
        <v>0</v>
      </c>
      <c r="Q1615" s="165">
        <v>21</v>
      </c>
      <c r="R1615" s="164" t="s">
        <v>200</v>
      </c>
      <c r="S1615" s="164" t="s">
        <v>201</v>
      </c>
      <c r="T1615" s="165">
        <v>417</v>
      </c>
      <c r="U1615" s="164" t="s">
        <v>200</v>
      </c>
      <c r="V1615" s="164" t="s">
        <v>1716</v>
      </c>
      <c r="W1615" s="165">
        <v>2</v>
      </c>
      <c r="X1615" s="165">
        <v>4</v>
      </c>
      <c r="Y1615" s="164" t="s">
        <v>203</v>
      </c>
      <c r="Z1615" s="164" t="s">
        <v>195</v>
      </c>
      <c r="AA1615" s="164" t="s">
        <v>196</v>
      </c>
      <c r="AB1615" s="164" t="s">
        <v>187</v>
      </c>
      <c r="AC1615" s="164" t="s">
        <v>187</v>
      </c>
      <c r="AD1615" s="165">
        <v>1</v>
      </c>
      <c r="AE1615" s="164" t="s">
        <v>187</v>
      </c>
      <c r="AF1615" s="165">
        <v>23.747450000000001</v>
      </c>
      <c r="AG1615" s="166">
        <v>90.575749999999999</v>
      </c>
      <c r="AO1615" s="121"/>
      <c r="AT1615" s="111"/>
      <c r="AX1615" s="121"/>
    </row>
    <row r="1616" spans="1:50" s="110" customFormat="1" ht="20" customHeight="1">
      <c r="A1616" s="125" t="s">
        <v>486</v>
      </c>
      <c r="B1616" s="126" t="s">
        <v>57</v>
      </c>
      <c r="C1616" s="127">
        <v>19951</v>
      </c>
      <c r="D1616" s="163">
        <v>115727</v>
      </c>
      <c r="E1616" s="164" t="s">
        <v>3357</v>
      </c>
      <c r="F1616" s="164" t="s">
        <v>3357</v>
      </c>
      <c r="G1616" s="165">
        <v>6500</v>
      </c>
      <c r="H1616" s="165">
        <v>1</v>
      </c>
      <c r="I1616" s="164" t="s">
        <v>187</v>
      </c>
      <c r="J1616" s="164" t="s">
        <v>198</v>
      </c>
      <c r="K1616" s="164" t="s">
        <v>199</v>
      </c>
      <c r="L1616" s="165">
        <v>5</v>
      </c>
      <c r="M1616" s="165">
        <v>5</v>
      </c>
      <c r="N1616" s="164" t="s">
        <v>1577</v>
      </c>
      <c r="O1616" s="165">
        <v>0</v>
      </c>
      <c r="P1616" s="165">
        <v>0</v>
      </c>
      <c r="Q1616" s="165">
        <v>21</v>
      </c>
      <c r="R1616" s="164" t="s">
        <v>200</v>
      </c>
      <c r="S1616" s="164" t="s">
        <v>201</v>
      </c>
      <c r="T1616" s="165">
        <v>417</v>
      </c>
      <c r="U1616" s="164" t="s">
        <v>200</v>
      </c>
      <c r="V1616" s="164" t="s">
        <v>1716</v>
      </c>
      <c r="W1616" s="165">
        <v>3</v>
      </c>
      <c r="X1616" s="165">
        <v>4</v>
      </c>
      <c r="Y1616" s="164" t="s">
        <v>203</v>
      </c>
      <c r="Z1616" s="164" t="s">
        <v>195</v>
      </c>
      <c r="AA1616" s="164" t="s">
        <v>196</v>
      </c>
      <c r="AB1616" s="164" t="s">
        <v>187</v>
      </c>
      <c r="AC1616" s="164" t="s">
        <v>187</v>
      </c>
      <c r="AD1616" s="165">
        <v>1</v>
      </c>
      <c r="AE1616" s="164" t="s">
        <v>187</v>
      </c>
      <c r="AF1616" s="165">
        <v>24.712919556499099</v>
      </c>
      <c r="AG1616" s="166">
        <v>88.667694409056296</v>
      </c>
      <c r="AO1616" s="121"/>
      <c r="AT1616" s="111"/>
      <c r="AX1616" s="121"/>
    </row>
    <row r="1617" spans="1:50" s="110" customFormat="1" ht="20" customHeight="1">
      <c r="A1617" s="125" t="s">
        <v>486</v>
      </c>
      <c r="B1617" s="126" t="s">
        <v>57</v>
      </c>
      <c r="C1617" s="127">
        <v>19977</v>
      </c>
      <c r="D1617" s="163">
        <v>115758</v>
      </c>
      <c r="E1617" s="164" t="s">
        <v>3263</v>
      </c>
      <c r="F1617" s="164" t="s">
        <v>3263</v>
      </c>
      <c r="G1617" s="165">
        <v>5600</v>
      </c>
      <c r="H1617" s="165">
        <v>1</v>
      </c>
      <c r="I1617" s="164" t="s">
        <v>187</v>
      </c>
      <c r="J1617" s="164" t="s">
        <v>198</v>
      </c>
      <c r="K1617" s="164" t="s">
        <v>199</v>
      </c>
      <c r="L1617" s="165">
        <v>5</v>
      </c>
      <c r="M1617" s="165">
        <v>5</v>
      </c>
      <c r="N1617" s="164" t="s">
        <v>1577</v>
      </c>
      <c r="O1617" s="165">
        <v>0</v>
      </c>
      <c r="P1617" s="165">
        <v>0</v>
      </c>
      <c r="Q1617" s="165">
        <v>21</v>
      </c>
      <c r="R1617" s="164" t="s">
        <v>200</v>
      </c>
      <c r="S1617" s="164" t="s">
        <v>201</v>
      </c>
      <c r="T1617" s="165">
        <v>417</v>
      </c>
      <c r="U1617" s="164" t="s">
        <v>200</v>
      </c>
      <c r="V1617" s="164" t="s">
        <v>1716</v>
      </c>
      <c r="W1617" s="165">
        <v>3</v>
      </c>
      <c r="X1617" s="165">
        <v>4</v>
      </c>
      <c r="Y1617" s="164" t="s">
        <v>203</v>
      </c>
      <c r="Z1617" s="164" t="s">
        <v>195</v>
      </c>
      <c r="AA1617" s="164" t="s">
        <v>196</v>
      </c>
      <c r="AB1617" s="164" t="s">
        <v>187</v>
      </c>
      <c r="AC1617" s="164" t="s">
        <v>187</v>
      </c>
      <c r="AD1617" s="165">
        <v>1</v>
      </c>
      <c r="AE1617" s="164" t="s">
        <v>187</v>
      </c>
      <c r="AF1617" s="165">
        <v>24.096603422809402</v>
      </c>
      <c r="AG1617" s="166">
        <v>90.595638387713194</v>
      </c>
      <c r="AO1617" s="121"/>
      <c r="AT1617" s="111"/>
      <c r="AX1617" s="121"/>
    </row>
    <row r="1618" spans="1:50" s="110" customFormat="1" ht="20" customHeight="1">
      <c r="A1618" s="125" t="s">
        <v>486</v>
      </c>
      <c r="B1618" s="126" t="s">
        <v>57</v>
      </c>
      <c r="C1618" s="127">
        <v>19985</v>
      </c>
      <c r="D1618" s="163">
        <v>115769</v>
      </c>
      <c r="E1618" s="164" t="s">
        <v>3027</v>
      </c>
      <c r="F1618" s="164" t="s">
        <v>3027</v>
      </c>
      <c r="G1618" s="165">
        <v>4000</v>
      </c>
      <c r="H1618" s="165">
        <v>1</v>
      </c>
      <c r="I1618" s="164" t="s">
        <v>187</v>
      </c>
      <c r="J1618" s="164" t="s">
        <v>198</v>
      </c>
      <c r="K1618" s="164" t="s">
        <v>199</v>
      </c>
      <c r="L1618" s="165">
        <v>5</v>
      </c>
      <c r="M1618" s="165">
        <v>5</v>
      </c>
      <c r="N1618" s="164" t="s">
        <v>1577</v>
      </c>
      <c r="O1618" s="165">
        <v>0</v>
      </c>
      <c r="P1618" s="165">
        <v>0</v>
      </c>
      <c r="Q1618" s="165">
        <v>21</v>
      </c>
      <c r="R1618" s="164" t="s">
        <v>200</v>
      </c>
      <c r="S1618" s="164" t="s">
        <v>201</v>
      </c>
      <c r="T1618" s="165">
        <v>417</v>
      </c>
      <c r="U1618" s="164" t="s">
        <v>200</v>
      </c>
      <c r="V1618" s="164" t="s">
        <v>1716</v>
      </c>
      <c r="W1618" s="165">
        <v>2</v>
      </c>
      <c r="X1618" s="165">
        <v>4</v>
      </c>
      <c r="Y1618" s="164" t="s">
        <v>203</v>
      </c>
      <c r="Z1618" s="164" t="s">
        <v>195</v>
      </c>
      <c r="AA1618" s="164" t="s">
        <v>196</v>
      </c>
      <c r="AB1618" s="164" t="s">
        <v>187</v>
      </c>
      <c r="AC1618" s="164" t="s">
        <v>187</v>
      </c>
      <c r="AD1618" s="165">
        <v>1</v>
      </c>
      <c r="AE1618" s="164" t="s">
        <v>187</v>
      </c>
      <c r="AF1618" s="165">
        <v>24.4822156696031</v>
      </c>
      <c r="AG1618" s="166">
        <v>88.893179615308597</v>
      </c>
      <c r="AO1618" s="121"/>
      <c r="AT1618" s="111"/>
      <c r="AX1618" s="121"/>
    </row>
    <row r="1619" spans="1:50" s="110" customFormat="1" ht="20" customHeight="1">
      <c r="A1619" s="125" t="s">
        <v>486</v>
      </c>
      <c r="B1619" s="126" t="s">
        <v>57</v>
      </c>
      <c r="C1619" s="127">
        <v>20345</v>
      </c>
      <c r="D1619" s="163">
        <v>116129</v>
      </c>
      <c r="E1619" s="164" t="s">
        <v>2854</v>
      </c>
      <c r="F1619" s="164" t="s">
        <v>2854</v>
      </c>
      <c r="G1619" s="165">
        <v>2800</v>
      </c>
      <c r="H1619" s="165">
        <v>1</v>
      </c>
      <c r="I1619" s="164" t="s">
        <v>187</v>
      </c>
      <c r="J1619" s="164" t="s">
        <v>198</v>
      </c>
      <c r="K1619" s="164" t="s">
        <v>199</v>
      </c>
      <c r="L1619" s="165">
        <v>5</v>
      </c>
      <c r="M1619" s="165">
        <v>5</v>
      </c>
      <c r="N1619" s="164" t="s">
        <v>1577</v>
      </c>
      <c r="O1619" s="165">
        <v>0</v>
      </c>
      <c r="P1619" s="165">
        <v>0</v>
      </c>
      <c r="Q1619" s="165">
        <v>21</v>
      </c>
      <c r="R1619" s="164" t="s">
        <v>200</v>
      </c>
      <c r="S1619" s="164" t="s">
        <v>201</v>
      </c>
      <c r="T1619" s="165">
        <v>417</v>
      </c>
      <c r="U1619" s="164" t="s">
        <v>200</v>
      </c>
      <c r="V1619" s="164" t="s">
        <v>1716</v>
      </c>
      <c r="W1619" s="165">
        <v>2</v>
      </c>
      <c r="X1619" s="165">
        <v>4</v>
      </c>
      <c r="Y1619" s="164" t="s">
        <v>203</v>
      </c>
      <c r="Z1619" s="164" t="s">
        <v>195</v>
      </c>
      <c r="AA1619" s="164" t="s">
        <v>196</v>
      </c>
      <c r="AB1619" s="164" t="s">
        <v>187</v>
      </c>
      <c r="AC1619" s="164" t="s">
        <v>187</v>
      </c>
      <c r="AD1619" s="165">
        <v>1</v>
      </c>
      <c r="AE1619" s="164" t="s">
        <v>187</v>
      </c>
      <c r="AF1619" s="165">
        <v>24.1941447984238</v>
      </c>
      <c r="AG1619" s="166">
        <v>90.914065724685102</v>
      </c>
      <c r="AO1619" s="121"/>
      <c r="AT1619" s="111"/>
      <c r="AX1619" s="121"/>
    </row>
    <row r="1620" spans="1:50" s="110" customFormat="1" ht="20" customHeight="1">
      <c r="A1620" s="125" t="s">
        <v>486</v>
      </c>
      <c r="B1620" s="126" t="s">
        <v>57</v>
      </c>
      <c r="C1620" s="127">
        <v>19974</v>
      </c>
      <c r="D1620" s="163">
        <v>115755</v>
      </c>
      <c r="E1620" s="164" t="s">
        <v>2823</v>
      </c>
      <c r="F1620" s="164" t="s">
        <v>2823</v>
      </c>
      <c r="G1620" s="165">
        <v>2600</v>
      </c>
      <c r="H1620" s="165">
        <v>1</v>
      </c>
      <c r="I1620" s="164" t="s">
        <v>187</v>
      </c>
      <c r="J1620" s="164" t="s">
        <v>198</v>
      </c>
      <c r="K1620" s="164" t="s">
        <v>199</v>
      </c>
      <c r="L1620" s="165">
        <v>5</v>
      </c>
      <c r="M1620" s="165">
        <v>5</v>
      </c>
      <c r="N1620" s="164" t="s">
        <v>1577</v>
      </c>
      <c r="O1620" s="165">
        <v>0</v>
      </c>
      <c r="P1620" s="165">
        <v>0</v>
      </c>
      <c r="Q1620" s="165">
        <v>21</v>
      </c>
      <c r="R1620" s="164" t="s">
        <v>200</v>
      </c>
      <c r="S1620" s="164" t="s">
        <v>201</v>
      </c>
      <c r="T1620" s="165">
        <v>417</v>
      </c>
      <c r="U1620" s="164" t="s">
        <v>200</v>
      </c>
      <c r="V1620" s="164" t="s">
        <v>1716</v>
      </c>
      <c r="W1620" s="165">
        <v>3</v>
      </c>
      <c r="X1620" s="165">
        <v>4</v>
      </c>
      <c r="Y1620" s="164" t="s">
        <v>203</v>
      </c>
      <c r="Z1620" s="164" t="s">
        <v>195</v>
      </c>
      <c r="AA1620" s="164" t="s">
        <v>196</v>
      </c>
      <c r="AB1620" s="164" t="s">
        <v>187</v>
      </c>
      <c r="AC1620" s="164" t="s">
        <v>187</v>
      </c>
      <c r="AD1620" s="165">
        <v>1</v>
      </c>
      <c r="AE1620" s="164" t="s">
        <v>187</v>
      </c>
      <c r="AF1620" s="165">
        <v>22.686317947404898</v>
      </c>
      <c r="AG1620" s="166">
        <v>92.357456254519306</v>
      </c>
      <c r="AO1620" s="121"/>
      <c r="AT1620" s="111"/>
      <c r="AX1620" s="121"/>
    </row>
    <row r="1621" spans="1:50" s="110" customFormat="1" ht="20" customHeight="1">
      <c r="A1621" s="125" t="s">
        <v>486</v>
      </c>
      <c r="B1621" s="126" t="s">
        <v>57</v>
      </c>
      <c r="C1621" s="127">
        <v>19949</v>
      </c>
      <c r="D1621" s="163">
        <v>115725</v>
      </c>
      <c r="E1621" s="164" t="s">
        <v>2683</v>
      </c>
      <c r="F1621" s="164" t="s">
        <v>2683</v>
      </c>
      <c r="G1621" s="165">
        <v>2000</v>
      </c>
      <c r="H1621" s="165">
        <v>1</v>
      </c>
      <c r="I1621" s="164" t="s">
        <v>187</v>
      </c>
      <c r="J1621" s="164" t="s">
        <v>198</v>
      </c>
      <c r="K1621" s="164" t="s">
        <v>199</v>
      </c>
      <c r="L1621" s="165">
        <v>5</v>
      </c>
      <c r="M1621" s="165">
        <v>5</v>
      </c>
      <c r="N1621" s="164" t="s">
        <v>1577</v>
      </c>
      <c r="O1621" s="165">
        <v>0</v>
      </c>
      <c r="P1621" s="165">
        <v>0</v>
      </c>
      <c r="Q1621" s="165">
        <v>21</v>
      </c>
      <c r="R1621" s="164" t="s">
        <v>200</v>
      </c>
      <c r="S1621" s="164" t="s">
        <v>201</v>
      </c>
      <c r="T1621" s="165">
        <v>417</v>
      </c>
      <c r="U1621" s="164" t="s">
        <v>200</v>
      </c>
      <c r="V1621" s="164" t="s">
        <v>1716</v>
      </c>
      <c r="W1621" s="165">
        <v>3</v>
      </c>
      <c r="X1621" s="165">
        <v>4</v>
      </c>
      <c r="Y1621" s="164" t="s">
        <v>203</v>
      </c>
      <c r="Z1621" s="164" t="s">
        <v>195</v>
      </c>
      <c r="AA1621" s="164" t="s">
        <v>196</v>
      </c>
      <c r="AB1621" s="164" t="s">
        <v>187</v>
      </c>
      <c r="AC1621" s="164" t="s">
        <v>187</v>
      </c>
      <c r="AD1621" s="165">
        <v>1</v>
      </c>
      <c r="AE1621" s="164" t="s">
        <v>187</v>
      </c>
      <c r="AF1621" s="165">
        <v>24.284591684637899</v>
      </c>
      <c r="AG1621" s="166">
        <v>90.7140785262512</v>
      </c>
      <c r="AO1621" s="121"/>
      <c r="AT1621" s="111"/>
      <c r="AX1621" s="121"/>
    </row>
    <row r="1622" spans="1:50" s="110" customFormat="1" ht="20" customHeight="1">
      <c r="A1622" s="125" t="s">
        <v>486</v>
      </c>
      <c r="B1622" s="126" t="s">
        <v>57</v>
      </c>
      <c r="C1622" s="127">
        <v>21690</v>
      </c>
      <c r="D1622" s="167"/>
      <c r="E1622" s="164" t="s">
        <v>1915</v>
      </c>
      <c r="F1622" s="164" t="s">
        <v>1915</v>
      </c>
      <c r="G1622" s="165">
        <v>500</v>
      </c>
      <c r="H1622" s="165">
        <v>1</v>
      </c>
      <c r="I1622" s="164" t="s">
        <v>187</v>
      </c>
      <c r="J1622" s="164" t="s">
        <v>198</v>
      </c>
      <c r="K1622" s="164" t="s">
        <v>199</v>
      </c>
      <c r="L1622" s="165">
        <v>5</v>
      </c>
      <c r="M1622" s="165">
        <v>5</v>
      </c>
      <c r="N1622" s="164" t="s">
        <v>1577</v>
      </c>
      <c r="O1622" s="165">
        <v>0</v>
      </c>
      <c r="P1622" s="165">
        <v>0</v>
      </c>
      <c r="Q1622" s="165">
        <v>21</v>
      </c>
      <c r="R1622" s="164" t="s">
        <v>200</v>
      </c>
      <c r="S1622" s="164" t="s">
        <v>201</v>
      </c>
      <c r="T1622" s="165">
        <v>417</v>
      </c>
      <c r="U1622" s="164" t="s">
        <v>200</v>
      </c>
      <c r="V1622" s="164" t="s">
        <v>1716</v>
      </c>
      <c r="W1622" s="165">
        <v>3</v>
      </c>
      <c r="X1622" s="165">
        <v>4</v>
      </c>
      <c r="Y1622" s="164" t="s">
        <v>203</v>
      </c>
      <c r="Z1622" s="164" t="s">
        <v>195</v>
      </c>
      <c r="AA1622" s="164" t="s">
        <v>196</v>
      </c>
      <c r="AB1622" s="164" t="s">
        <v>187</v>
      </c>
      <c r="AC1622" s="164" t="s">
        <v>187</v>
      </c>
      <c r="AD1622" s="165">
        <v>1</v>
      </c>
      <c r="AE1622" s="164" t="s">
        <v>187</v>
      </c>
      <c r="AF1622" s="165">
        <v>23.795660000000002</v>
      </c>
      <c r="AG1622" s="166">
        <v>90.263570000000001</v>
      </c>
      <c r="AO1622" s="121"/>
      <c r="AT1622" s="111"/>
      <c r="AX1622" s="121"/>
    </row>
    <row r="1623" spans="1:50" s="110" customFormat="1" ht="20" customHeight="1">
      <c r="A1623" s="125" t="s">
        <v>231</v>
      </c>
      <c r="B1623" s="126" t="s">
        <v>66</v>
      </c>
      <c r="C1623" s="127">
        <v>16521</v>
      </c>
      <c r="D1623" s="163">
        <v>111696</v>
      </c>
      <c r="E1623" s="164" t="s">
        <v>3398</v>
      </c>
      <c r="F1623" s="164" t="s">
        <v>3398</v>
      </c>
      <c r="G1623" s="165">
        <v>6800</v>
      </c>
      <c r="H1623" s="165">
        <v>1</v>
      </c>
      <c r="I1623" s="164" t="s">
        <v>187</v>
      </c>
      <c r="J1623" s="164" t="s">
        <v>219</v>
      </c>
      <c r="K1623" s="164" t="s">
        <v>220</v>
      </c>
      <c r="L1623" s="165">
        <v>5</v>
      </c>
      <c r="M1623" s="165">
        <v>5</v>
      </c>
      <c r="N1623" s="164" t="s">
        <v>1577</v>
      </c>
      <c r="O1623" s="165">
        <v>0</v>
      </c>
      <c r="P1623" s="165">
        <v>0</v>
      </c>
      <c r="Q1623" s="165">
        <v>21</v>
      </c>
      <c r="R1623" s="164" t="s">
        <v>200</v>
      </c>
      <c r="S1623" s="164" t="s">
        <v>201</v>
      </c>
      <c r="T1623" s="165">
        <v>417</v>
      </c>
      <c r="U1623" s="164" t="s">
        <v>200</v>
      </c>
      <c r="V1623" s="164" t="s">
        <v>1716</v>
      </c>
      <c r="W1623" s="165">
        <v>7</v>
      </c>
      <c r="X1623" s="165">
        <v>4</v>
      </c>
      <c r="Y1623" s="164" t="s">
        <v>203</v>
      </c>
      <c r="Z1623" s="164" t="s">
        <v>195</v>
      </c>
      <c r="AA1623" s="164" t="s">
        <v>196</v>
      </c>
      <c r="AB1623" s="164" t="s">
        <v>187</v>
      </c>
      <c r="AC1623" s="164" t="s">
        <v>187</v>
      </c>
      <c r="AD1623" s="165">
        <v>1</v>
      </c>
      <c r="AE1623" s="164" t="s">
        <v>187</v>
      </c>
      <c r="AF1623" s="165">
        <v>27.556941992916599</v>
      </c>
      <c r="AG1623" s="166">
        <v>69.111913387348693</v>
      </c>
      <c r="AO1623" s="121"/>
      <c r="AT1623" s="111"/>
      <c r="AX1623" s="121"/>
    </row>
    <row r="1624" spans="1:50" s="110" customFormat="1" ht="20" customHeight="1">
      <c r="A1624" s="125" t="s">
        <v>231</v>
      </c>
      <c r="B1624" s="126" t="s">
        <v>66</v>
      </c>
      <c r="C1624" s="127">
        <v>19929</v>
      </c>
      <c r="D1624" s="163">
        <v>115698</v>
      </c>
      <c r="E1624" s="164" t="s">
        <v>2336</v>
      </c>
      <c r="F1624" s="164" t="s">
        <v>2336</v>
      </c>
      <c r="G1624" s="165">
        <v>1000</v>
      </c>
      <c r="H1624" s="165">
        <v>1</v>
      </c>
      <c r="I1624" s="164" t="s">
        <v>187</v>
      </c>
      <c r="J1624" s="164" t="s">
        <v>219</v>
      </c>
      <c r="K1624" s="164" t="s">
        <v>220</v>
      </c>
      <c r="L1624" s="165">
        <v>5</v>
      </c>
      <c r="M1624" s="165">
        <v>5</v>
      </c>
      <c r="N1624" s="164" t="s">
        <v>1577</v>
      </c>
      <c r="O1624" s="165">
        <v>0</v>
      </c>
      <c r="P1624" s="165">
        <v>0</v>
      </c>
      <c r="Q1624" s="165">
        <v>21</v>
      </c>
      <c r="R1624" s="164" t="s">
        <v>200</v>
      </c>
      <c r="S1624" s="164" t="s">
        <v>201</v>
      </c>
      <c r="T1624" s="165">
        <v>417</v>
      </c>
      <c r="U1624" s="164" t="s">
        <v>200</v>
      </c>
      <c r="V1624" s="164" t="s">
        <v>1716</v>
      </c>
      <c r="W1624" s="165">
        <v>2</v>
      </c>
      <c r="X1624" s="165">
        <v>4</v>
      </c>
      <c r="Y1624" s="164" t="s">
        <v>203</v>
      </c>
      <c r="Z1624" s="164" t="s">
        <v>195</v>
      </c>
      <c r="AA1624" s="164" t="s">
        <v>196</v>
      </c>
      <c r="AB1624" s="164" t="s">
        <v>187</v>
      </c>
      <c r="AC1624" s="164" t="s">
        <v>187</v>
      </c>
      <c r="AD1624" s="165">
        <v>1</v>
      </c>
      <c r="AE1624" s="164" t="s">
        <v>187</v>
      </c>
      <c r="AF1624" s="165">
        <v>24.907648565191799</v>
      </c>
      <c r="AG1624" s="166">
        <v>67.076647769959493</v>
      </c>
      <c r="AO1624" s="121"/>
      <c r="AT1624" s="111"/>
      <c r="AX1624" s="121"/>
    </row>
    <row r="1625" spans="1:50" s="110" customFormat="1" ht="20" customHeight="1">
      <c r="A1625" s="125" t="s">
        <v>224</v>
      </c>
      <c r="B1625" s="126" t="s">
        <v>68</v>
      </c>
      <c r="C1625" s="127">
        <v>16521</v>
      </c>
      <c r="D1625" s="163">
        <v>111696</v>
      </c>
      <c r="E1625" s="164" t="s">
        <v>3398</v>
      </c>
      <c r="F1625" s="164" t="s">
        <v>3398</v>
      </c>
      <c r="G1625" s="165">
        <v>101000</v>
      </c>
      <c r="H1625" s="165">
        <v>1</v>
      </c>
      <c r="I1625" s="164" t="s">
        <v>187</v>
      </c>
      <c r="J1625" s="164" t="s">
        <v>1989</v>
      </c>
      <c r="K1625" s="164" t="s">
        <v>1990</v>
      </c>
      <c r="L1625" s="165">
        <v>5</v>
      </c>
      <c r="M1625" s="165">
        <v>5</v>
      </c>
      <c r="N1625" s="164" t="s">
        <v>1577</v>
      </c>
      <c r="O1625" s="165">
        <v>0.23300000000000001</v>
      </c>
      <c r="P1625" s="168"/>
      <c r="Q1625" s="165">
        <v>21</v>
      </c>
      <c r="R1625" s="164" t="s">
        <v>200</v>
      </c>
      <c r="S1625" s="164" t="s">
        <v>201</v>
      </c>
      <c r="T1625" s="165">
        <v>417</v>
      </c>
      <c r="U1625" s="164" t="s">
        <v>200</v>
      </c>
      <c r="V1625" s="164" t="s">
        <v>1716</v>
      </c>
      <c r="W1625" s="165">
        <v>7</v>
      </c>
      <c r="X1625" s="165">
        <v>4</v>
      </c>
      <c r="Y1625" s="164" t="s">
        <v>203</v>
      </c>
      <c r="Z1625" s="164" t="s">
        <v>195</v>
      </c>
      <c r="AA1625" s="164" t="s">
        <v>196</v>
      </c>
      <c r="AB1625" s="164" t="s">
        <v>187</v>
      </c>
      <c r="AC1625" s="164" t="s">
        <v>187</v>
      </c>
      <c r="AD1625" s="165">
        <v>2</v>
      </c>
      <c r="AE1625" s="164" t="s">
        <v>209</v>
      </c>
      <c r="AF1625" s="165">
        <v>9.5382300000000004</v>
      </c>
      <c r="AG1625" s="166">
        <v>80.230029999999999</v>
      </c>
      <c r="AO1625" s="121"/>
      <c r="AT1625" s="111"/>
      <c r="AX1625" s="121"/>
    </row>
    <row r="1626" spans="1:50" s="110" customFormat="1" ht="20" customHeight="1">
      <c r="A1626" s="125" t="s">
        <v>224</v>
      </c>
      <c r="B1626" s="126" t="s">
        <v>68</v>
      </c>
      <c r="C1626" s="127">
        <v>21524</v>
      </c>
      <c r="D1626" s="163">
        <v>118291</v>
      </c>
      <c r="E1626" s="164" t="s">
        <v>4249</v>
      </c>
      <c r="F1626" s="164" t="s">
        <v>4249</v>
      </c>
      <c r="G1626" s="165">
        <v>31000</v>
      </c>
      <c r="H1626" s="165">
        <v>1</v>
      </c>
      <c r="I1626" s="164" t="s">
        <v>187</v>
      </c>
      <c r="J1626" s="164" t="s">
        <v>1989</v>
      </c>
      <c r="K1626" s="164" t="s">
        <v>1990</v>
      </c>
      <c r="L1626" s="165">
        <v>5</v>
      </c>
      <c r="M1626" s="165">
        <v>5</v>
      </c>
      <c r="N1626" s="164" t="s">
        <v>1577</v>
      </c>
      <c r="O1626" s="165">
        <v>0.44700000000000001</v>
      </c>
      <c r="P1626" s="168"/>
      <c r="Q1626" s="165">
        <v>21</v>
      </c>
      <c r="R1626" s="164" t="s">
        <v>200</v>
      </c>
      <c r="S1626" s="164" t="s">
        <v>201</v>
      </c>
      <c r="T1626" s="165">
        <v>417</v>
      </c>
      <c r="U1626" s="164" t="s">
        <v>200</v>
      </c>
      <c r="V1626" s="164" t="s">
        <v>1716</v>
      </c>
      <c r="W1626" s="165">
        <v>1</v>
      </c>
      <c r="X1626" s="165">
        <v>4</v>
      </c>
      <c r="Y1626" s="164" t="s">
        <v>203</v>
      </c>
      <c r="Z1626" s="164" t="s">
        <v>195</v>
      </c>
      <c r="AA1626" s="164" t="s">
        <v>196</v>
      </c>
      <c r="AB1626" s="164" t="s">
        <v>187</v>
      </c>
      <c r="AC1626" s="164" t="s">
        <v>187</v>
      </c>
      <c r="AD1626" s="165">
        <v>1</v>
      </c>
      <c r="AE1626" s="164" t="s">
        <v>209</v>
      </c>
      <c r="AF1626" s="165">
        <v>7.019828285</v>
      </c>
      <c r="AG1626" s="166">
        <v>80.846984919999997</v>
      </c>
      <c r="AO1626" s="121"/>
      <c r="AT1626" s="111"/>
      <c r="AX1626" s="121"/>
    </row>
    <row r="1627" spans="1:50" s="110" customFormat="1" ht="20" customHeight="1">
      <c r="A1627" s="125" t="s">
        <v>224</v>
      </c>
      <c r="B1627" s="126" t="s">
        <v>68</v>
      </c>
      <c r="C1627" s="127">
        <v>17747</v>
      </c>
      <c r="D1627" s="163">
        <v>113205</v>
      </c>
      <c r="E1627" s="164" t="s">
        <v>3042</v>
      </c>
      <c r="F1627" s="164" t="s">
        <v>3042</v>
      </c>
      <c r="G1627" s="165">
        <v>4000</v>
      </c>
      <c r="H1627" s="165">
        <v>1</v>
      </c>
      <c r="I1627" s="164" t="s">
        <v>187</v>
      </c>
      <c r="J1627" s="164" t="s">
        <v>1989</v>
      </c>
      <c r="K1627" s="164" t="s">
        <v>1990</v>
      </c>
      <c r="L1627" s="165">
        <v>5</v>
      </c>
      <c r="M1627" s="165">
        <v>5</v>
      </c>
      <c r="N1627" s="164" t="s">
        <v>1577</v>
      </c>
      <c r="O1627" s="165">
        <v>0.51</v>
      </c>
      <c r="P1627" s="168"/>
      <c r="Q1627" s="165">
        <v>21</v>
      </c>
      <c r="R1627" s="164" t="s">
        <v>200</v>
      </c>
      <c r="S1627" s="164" t="s">
        <v>201</v>
      </c>
      <c r="T1627" s="165">
        <v>418</v>
      </c>
      <c r="U1627" s="164" t="s">
        <v>200</v>
      </c>
      <c r="V1627" s="164" t="s">
        <v>3043</v>
      </c>
      <c r="W1627" s="165">
        <v>2</v>
      </c>
      <c r="X1627" s="165">
        <v>4</v>
      </c>
      <c r="Y1627" s="164" t="s">
        <v>203</v>
      </c>
      <c r="Z1627" s="164" t="s">
        <v>195</v>
      </c>
      <c r="AA1627" s="164" t="s">
        <v>196</v>
      </c>
      <c r="AB1627" s="164" t="s">
        <v>187</v>
      </c>
      <c r="AC1627" s="164" t="s">
        <v>187</v>
      </c>
      <c r="AD1627" s="165">
        <v>1</v>
      </c>
      <c r="AE1627" s="164" t="s">
        <v>209</v>
      </c>
      <c r="AF1627" s="165">
        <v>7.0127642085681101</v>
      </c>
      <c r="AG1627" s="166">
        <v>80.767086214402497</v>
      </c>
      <c r="AO1627" s="121"/>
      <c r="AT1627" s="111"/>
      <c r="AX1627" s="121"/>
    </row>
    <row r="1628" spans="1:50" s="110" customFormat="1" ht="20" customHeight="1">
      <c r="A1628" s="125" t="s">
        <v>486</v>
      </c>
      <c r="B1628" s="126" t="s">
        <v>57</v>
      </c>
      <c r="C1628" s="127">
        <v>17150</v>
      </c>
      <c r="D1628" s="163">
        <v>112500</v>
      </c>
      <c r="E1628" s="164" t="s">
        <v>2609</v>
      </c>
      <c r="F1628" s="164" t="s">
        <v>2609</v>
      </c>
      <c r="G1628" s="165">
        <v>1700</v>
      </c>
      <c r="H1628" s="165">
        <v>1</v>
      </c>
      <c r="I1628" s="164" t="s">
        <v>187</v>
      </c>
      <c r="J1628" s="164" t="s">
        <v>198</v>
      </c>
      <c r="K1628" s="164" t="s">
        <v>199</v>
      </c>
      <c r="L1628" s="165">
        <v>5</v>
      </c>
      <c r="M1628" s="165">
        <v>5</v>
      </c>
      <c r="N1628" s="164" t="s">
        <v>1577</v>
      </c>
      <c r="O1628" s="165">
        <v>0</v>
      </c>
      <c r="P1628" s="165">
        <v>0</v>
      </c>
      <c r="Q1628" s="165">
        <v>21</v>
      </c>
      <c r="R1628" s="164" t="s">
        <v>200</v>
      </c>
      <c r="S1628" s="164" t="s">
        <v>201</v>
      </c>
      <c r="T1628" s="165">
        <v>419</v>
      </c>
      <c r="U1628" s="164" t="s">
        <v>200</v>
      </c>
      <c r="V1628" s="164" t="s">
        <v>2610</v>
      </c>
      <c r="W1628" s="165">
        <v>2</v>
      </c>
      <c r="X1628" s="165">
        <v>4</v>
      </c>
      <c r="Y1628" s="164" t="s">
        <v>203</v>
      </c>
      <c r="Z1628" s="164" t="s">
        <v>195</v>
      </c>
      <c r="AA1628" s="164" t="s">
        <v>196</v>
      </c>
      <c r="AB1628" s="164" t="s">
        <v>187</v>
      </c>
      <c r="AC1628" s="164" t="s">
        <v>187</v>
      </c>
      <c r="AD1628" s="165">
        <v>1</v>
      </c>
      <c r="AE1628" s="164" t="s">
        <v>187</v>
      </c>
      <c r="AF1628" s="165">
        <v>22.760686074009499</v>
      </c>
      <c r="AG1628" s="166">
        <v>89.627601038398794</v>
      </c>
      <c r="AO1628" s="121"/>
      <c r="AT1628" s="111"/>
      <c r="AX1628" s="121"/>
    </row>
    <row r="1629" spans="1:50" s="110" customFormat="1" ht="20" customHeight="1">
      <c r="A1629" s="125" t="s">
        <v>231</v>
      </c>
      <c r="B1629" s="126" t="s">
        <v>66</v>
      </c>
      <c r="C1629" s="127">
        <v>17161</v>
      </c>
      <c r="D1629" s="163">
        <v>112512</v>
      </c>
      <c r="E1629" s="164" t="s">
        <v>3238</v>
      </c>
      <c r="F1629" s="164" t="s">
        <v>3238</v>
      </c>
      <c r="G1629" s="165">
        <v>5300</v>
      </c>
      <c r="H1629" s="165">
        <v>1</v>
      </c>
      <c r="I1629" s="164" t="s">
        <v>187</v>
      </c>
      <c r="J1629" s="164" t="s">
        <v>222</v>
      </c>
      <c r="K1629" s="164" t="s">
        <v>223</v>
      </c>
      <c r="L1629" s="165">
        <v>4</v>
      </c>
      <c r="M1629" s="165">
        <v>5</v>
      </c>
      <c r="N1629" s="164" t="s">
        <v>1577</v>
      </c>
      <c r="O1629" s="165">
        <v>1.4219999999999999</v>
      </c>
      <c r="P1629" s="168"/>
      <c r="Q1629" s="165">
        <v>21</v>
      </c>
      <c r="R1629" s="164" t="s">
        <v>200</v>
      </c>
      <c r="S1629" s="164" t="s">
        <v>201</v>
      </c>
      <c r="T1629" s="165">
        <v>419</v>
      </c>
      <c r="U1629" s="164" t="s">
        <v>200</v>
      </c>
      <c r="V1629" s="164" t="s">
        <v>2610</v>
      </c>
      <c r="W1629" s="165">
        <v>2</v>
      </c>
      <c r="X1629" s="165">
        <v>4</v>
      </c>
      <c r="Y1629" s="164" t="s">
        <v>203</v>
      </c>
      <c r="Z1629" s="164" t="s">
        <v>195</v>
      </c>
      <c r="AA1629" s="164" t="s">
        <v>196</v>
      </c>
      <c r="AB1629" s="164" t="s">
        <v>187</v>
      </c>
      <c r="AC1629" s="164" t="s">
        <v>187</v>
      </c>
      <c r="AD1629" s="165">
        <v>1</v>
      </c>
      <c r="AE1629" s="164" t="s">
        <v>209</v>
      </c>
      <c r="AF1629" s="165">
        <v>32.407104366319203</v>
      </c>
      <c r="AG1629" s="166">
        <v>74.641475151651804</v>
      </c>
      <c r="AO1629" s="121"/>
      <c r="AT1629" s="111"/>
      <c r="AX1629" s="121"/>
    </row>
    <row r="1630" spans="1:50" s="110" customFormat="1" ht="20" customHeight="1">
      <c r="A1630" s="125" t="s">
        <v>224</v>
      </c>
      <c r="B1630" s="126" t="s">
        <v>68</v>
      </c>
      <c r="C1630" s="127">
        <v>17459</v>
      </c>
      <c r="D1630" s="157">
        <v>112867</v>
      </c>
      <c r="E1630" s="158" t="s">
        <v>4595</v>
      </c>
      <c r="F1630" s="158" t="s">
        <v>4595</v>
      </c>
      <c r="G1630" s="159">
        <v>98000</v>
      </c>
      <c r="H1630" s="159">
        <v>2</v>
      </c>
      <c r="I1630" s="158" t="s">
        <v>209</v>
      </c>
      <c r="J1630" s="158" t="s">
        <v>1989</v>
      </c>
      <c r="K1630" s="158" t="s">
        <v>1990</v>
      </c>
      <c r="L1630" s="159">
        <v>5</v>
      </c>
      <c r="M1630" s="159">
        <v>5</v>
      </c>
      <c r="N1630" s="158" t="s">
        <v>1577</v>
      </c>
      <c r="O1630" s="159">
        <v>13.510999999999999</v>
      </c>
      <c r="P1630" s="160"/>
      <c r="Q1630" s="159">
        <v>21</v>
      </c>
      <c r="R1630" s="158" t="s">
        <v>200</v>
      </c>
      <c r="S1630" s="158" t="s">
        <v>201</v>
      </c>
      <c r="T1630" s="159">
        <v>419</v>
      </c>
      <c r="U1630" s="158" t="s">
        <v>200</v>
      </c>
      <c r="V1630" s="158" t="s">
        <v>2610</v>
      </c>
      <c r="W1630" s="159">
        <v>2</v>
      </c>
      <c r="X1630" s="159">
        <v>4</v>
      </c>
      <c r="Y1630" s="158" t="s">
        <v>203</v>
      </c>
      <c r="Z1630" s="158" t="s">
        <v>195</v>
      </c>
      <c r="AA1630" s="158" t="s">
        <v>196</v>
      </c>
      <c r="AB1630" s="158" t="s">
        <v>187</v>
      </c>
      <c r="AC1630" s="158" t="s">
        <v>187</v>
      </c>
      <c r="AD1630" s="160"/>
      <c r="AE1630" s="158" t="s">
        <v>209</v>
      </c>
      <c r="AF1630" s="159">
        <v>7.0125000000000002</v>
      </c>
      <c r="AG1630" s="161">
        <v>80.766170000000002</v>
      </c>
      <c r="AO1630" s="121"/>
      <c r="AT1630" s="111"/>
      <c r="AX1630" s="121"/>
    </row>
    <row r="1631" spans="1:50" s="110" customFormat="1" ht="20" customHeight="1">
      <c r="A1631" s="125" t="s">
        <v>224</v>
      </c>
      <c r="B1631" s="126" t="s">
        <v>68</v>
      </c>
      <c r="C1631" s="127">
        <v>18317</v>
      </c>
      <c r="D1631" s="157">
        <v>113864</v>
      </c>
      <c r="E1631" s="158" t="s">
        <v>4229</v>
      </c>
      <c r="F1631" s="158" t="s">
        <v>4229</v>
      </c>
      <c r="G1631" s="159">
        <v>30000</v>
      </c>
      <c r="H1631" s="159">
        <v>2</v>
      </c>
      <c r="I1631" s="158" t="s">
        <v>209</v>
      </c>
      <c r="J1631" s="158" t="s">
        <v>1989</v>
      </c>
      <c r="K1631" s="158" t="s">
        <v>1990</v>
      </c>
      <c r="L1631" s="159">
        <v>5</v>
      </c>
      <c r="M1631" s="159">
        <v>5</v>
      </c>
      <c r="N1631" s="158" t="s">
        <v>1577</v>
      </c>
      <c r="O1631" s="159">
        <v>12.472</v>
      </c>
      <c r="P1631" s="160"/>
      <c r="Q1631" s="159">
        <v>21</v>
      </c>
      <c r="R1631" s="158" t="s">
        <v>200</v>
      </c>
      <c r="S1631" s="158" t="s">
        <v>201</v>
      </c>
      <c r="T1631" s="159">
        <v>419</v>
      </c>
      <c r="U1631" s="158" t="s">
        <v>200</v>
      </c>
      <c r="V1631" s="158" t="s">
        <v>2610</v>
      </c>
      <c r="W1631" s="159">
        <v>2</v>
      </c>
      <c r="X1631" s="159">
        <v>4</v>
      </c>
      <c r="Y1631" s="158" t="s">
        <v>203</v>
      </c>
      <c r="Z1631" s="158" t="s">
        <v>195</v>
      </c>
      <c r="AA1631" s="158" t="s">
        <v>196</v>
      </c>
      <c r="AB1631" s="158" t="s">
        <v>187</v>
      </c>
      <c r="AC1631" s="158" t="s">
        <v>187</v>
      </c>
      <c r="AD1631" s="160"/>
      <c r="AE1631" s="158" t="s">
        <v>209</v>
      </c>
      <c r="AF1631" s="159">
        <v>7.0125000000000002</v>
      </c>
      <c r="AG1631" s="161">
        <v>80.766170000000002</v>
      </c>
      <c r="AO1631" s="121"/>
      <c r="AT1631" s="111"/>
      <c r="AX1631" s="121"/>
    </row>
    <row r="1632" spans="1:50" s="110" customFormat="1" ht="20" customHeight="1">
      <c r="A1632" s="125" t="s">
        <v>486</v>
      </c>
      <c r="B1632" s="126" t="s">
        <v>57</v>
      </c>
      <c r="C1632" s="127">
        <v>17928</v>
      </c>
      <c r="D1632" s="163">
        <v>113412</v>
      </c>
      <c r="E1632" s="164" t="s">
        <v>2758</v>
      </c>
      <c r="F1632" s="164" t="s">
        <v>2758</v>
      </c>
      <c r="G1632" s="165">
        <v>30000</v>
      </c>
      <c r="H1632" s="165">
        <v>1</v>
      </c>
      <c r="I1632" s="164" t="s">
        <v>187</v>
      </c>
      <c r="J1632" s="164" t="s">
        <v>198</v>
      </c>
      <c r="K1632" s="164" t="s">
        <v>199</v>
      </c>
      <c r="L1632" s="165">
        <v>5</v>
      </c>
      <c r="M1632" s="165">
        <v>5</v>
      </c>
      <c r="N1632" s="164" t="s">
        <v>1577</v>
      </c>
      <c r="O1632" s="165">
        <v>2.5000000000000001E-2</v>
      </c>
      <c r="P1632" s="168"/>
      <c r="Q1632" s="165">
        <v>21</v>
      </c>
      <c r="R1632" s="164" t="s">
        <v>200</v>
      </c>
      <c r="S1632" s="164" t="s">
        <v>201</v>
      </c>
      <c r="T1632" s="165">
        <v>420</v>
      </c>
      <c r="U1632" s="164" t="s">
        <v>200</v>
      </c>
      <c r="V1632" s="164" t="s">
        <v>2759</v>
      </c>
      <c r="W1632" s="165">
        <v>6</v>
      </c>
      <c r="X1632" s="165">
        <v>4</v>
      </c>
      <c r="Y1632" s="164" t="s">
        <v>203</v>
      </c>
      <c r="Z1632" s="164" t="s">
        <v>195</v>
      </c>
      <c r="AA1632" s="164" t="s">
        <v>196</v>
      </c>
      <c r="AB1632" s="164" t="s">
        <v>187</v>
      </c>
      <c r="AC1632" s="164" t="s">
        <v>187</v>
      </c>
      <c r="AD1632" s="165">
        <v>1</v>
      </c>
      <c r="AE1632" s="164" t="s">
        <v>187</v>
      </c>
      <c r="AF1632" s="165">
        <v>25.923960938767799</v>
      </c>
      <c r="AG1632" s="166">
        <v>88.850075083960505</v>
      </c>
      <c r="AO1632" s="121"/>
      <c r="AT1632" s="111"/>
      <c r="AX1632" s="121"/>
    </row>
    <row r="1633" spans="1:50" s="110" customFormat="1" ht="20" customHeight="1">
      <c r="A1633" s="125" t="s">
        <v>231</v>
      </c>
      <c r="B1633" s="126" t="s">
        <v>66</v>
      </c>
      <c r="C1633" s="127">
        <v>17928</v>
      </c>
      <c r="D1633" s="157">
        <v>113412</v>
      </c>
      <c r="E1633" s="158" t="s">
        <v>2758</v>
      </c>
      <c r="F1633" s="158" t="s">
        <v>2758</v>
      </c>
      <c r="G1633" s="159">
        <v>11000</v>
      </c>
      <c r="H1633" s="159">
        <v>2</v>
      </c>
      <c r="I1633" s="158" t="s">
        <v>209</v>
      </c>
      <c r="J1633" s="158" t="s">
        <v>219</v>
      </c>
      <c r="K1633" s="158" t="s">
        <v>220</v>
      </c>
      <c r="L1633" s="159">
        <v>5</v>
      </c>
      <c r="M1633" s="159">
        <v>5</v>
      </c>
      <c r="N1633" s="158" t="s">
        <v>1577</v>
      </c>
      <c r="O1633" s="159">
        <v>6.9089999999999998</v>
      </c>
      <c r="P1633" s="160"/>
      <c r="Q1633" s="159">
        <v>21</v>
      </c>
      <c r="R1633" s="158" t="s">
        <v>200</v>
      </c>
      <c r="S1633" s="158" t="s">
        <v>201</v>
      </c>
      <c r="T1633" s="159">
        <v>420</v>
      </c>
      <c r="U1633" s="158" t="s">
        <v>200</v>
      </c>
      <c r="V1633" s="158" t="s">
        <v>2759</v>
      </c>
      <c r="W1633" s="159">
        <v>6</v>
      </c>
      <c r="X1633" s="159">
        <v>4</v>
      </c>
      <c r="Y1633" s="158" t="s">
        <v>203</v>
      </c>
      <c r="Z1633" s="158" t="s">
        <v>195</v>
      </c>
      <c r="AA1633" s="158" t="s">
        <v>196</v>
      </c>
      <c r="AB1633" s="158" t="s">
        <v>187</v>
      </c>
      <c r="AC1633" s="158" t="s">
        <v>187</v>
      </c>
      <c r="AD1633" s="160"/>
      <c r="AE1633" s="158" t="s">
        <v>209</v>
      </c>
      <c r="AF1633" s="159">
        <v>25.319544926276301</v>
      </c>
      <c r="AG1633" s="161">
        <v>69.153619270612396</v>
      </c>
      <c r="AO1633" s="121"/>
      <c r="AT1633" s="111"/>
      <c r="AX1633" s="121"/>
    </row>
    <row r="1634" spans="1:50" s="110" customFormat="1" ht="20" customHeight="1">
      <c r="A1634" s="125" t="s">
        <v>224</v>
      </c>
      <c r="B1634" s="126" t="s">
        <v>68</v>
      </c>
      <c r="C1634" s="127">
        <v>17928</v>
      </c>
      <c r="D1634" s="163">
        <v>113412</v>
      </c>
      <c r="E1634" s="164" t="s">
        <v>2758</v>
      </c>
      <c r="F1634" s="164" t="s">
        <v>2758</v>
      </c>
      <c r="G1634" s="165">
        <v>2200</v>
      </c>
      <c r="H1634" s="165">
        <v>1</v>
      </c>
      <c r="I1634" s="164" t="s">
        <v>187</v>
      </c>
      <c r="J1634" s="164" t="s">
        <v>2228</v>
      </c>
      <c r="K1634" s="164" t="s">
        <v>2229</v>
      </c>
      <c r="L1634" s="165">
        <v>5</v>
      </c>
      <c r="M1634" s="165">
        <v>5</v>
      </c>
      <c r="N1634" s="164" t="s">
        <v>1577</v>
      </c>
      <c r="O1634" s="165">
        <v>0</v>
      </c>
      <c r="P1634" s="165">
        <v>0</v>
      </c>
      <c r="Q1634" s="165">
        <v>21</v>
      </c>
      <c r="R1634" s="164" t="s">
        <v>200</v>
      </c>
      <c r="S1634" s="164" t="s">
        <v>201</v>
      </c>
      <c r="T1634" s="165">
        <v>420</v>
      </c>
      <c r="U1634" s="164" t="s">
        <v>200</v>
      </c>
      <c r="V1634" s="164" t="s">
        <v>2759</v>
      </c>
      <c r="W1634" s="165">
        <v>6</v>
      </c>
      <c r="X1634" s="165">
        <v>4</v>
      </c>
      <c r="Y1634" s="164" t="s">
        <v>203</v>
      </c>
      <c r="Z1634" s="164" t="s">
        <v>195</v>
      </c>
      <c r="AA1634" s="164" t="s">
        <v>196</v>
      </c>
      <c r="AB1634" s="164" t="s">
        <v>187</v>
      </c>
      <c r="AC1634" s="164" t="s">
        <v>187</v>
      </c>
      <c r="AD1634" s="165">
        <v>1</v>
      </c>
      <c r="AE1634" s="164" t="s">
        <v>187</v>
      </c>
      <c r="AF1634" s="165">
        <v>7.7886122408968497</v>
      </c>
      <c r="AG1634" s="166">
        <v>81.498075733403297</v>
      </c>
      <c r="AO1634" s="121"/>
      <c r="AT1634" s="111"/>
      <c r="AX1634" s="121"/>
    </row>
    <row r="1635" spans="1:50" s="110" customFormat="1" ht="20" customHeight="1">
      <c r="A1635" s="125" t="s">
        <v>231</v>
      </c>
      <c r="B1635" s="126" t="s">
        <v>66</v>
      </c>
      <c r="C1635" s="127">
        <v>16332</v>
      </c>
      <c r="D1635" s="163">
        <v>111468</v>
      </c>
      <c r="E1635" s="164" t="s">
        <v>3396</v>
      </c>
      <c r="F1635" s="164" t="s">
        <v>3396</v>
      </c>
      <c r="G1635" s="165">
        <v>6800</v>
      </c>
      <c r="H1635" s="165">
        <v>1</v>
      </c>
      <c r="I1635" s="164" t="s">
        <v>187</v>
      </c>
      <c r="J1635" s="164" t="s">
        <v>219</v>
      </c>
      <c r="K1635" s="164" t="s">
        <v>220</v>
      </c>
      <c r="L1635" s="165">
        <v>5</v>
      </c>
      <c r="M1635" s="165">
        <v>5</v>
      </c>
      <c r="N1635" s="164" t="s">
        <v>1577</v>
      </c>
      <c r="O1635" s="165">
        <v>0</v>
      </c>
      <c r="P1635" s="165">
        <v>0</v>
      </c>
      <c r="Q1635" s="165">
        <v>21</v>
      </c>
      <c r="R1635" s="164" t="s">
        <v>200</v>
      </c>
      <c r="S1635" s="164" t="s">
        <v>201</v>
      </c>
      <c r="T1635" s="165">
        <v>421</v>
      </c>
      <c r="U1635" s="164" t="s">
        <v>200</v>
      </c>
      <c r="V1635" s="164" t="s">
        <v>3397</v>
      </c>
      <c r="W1635" s="165">
        <v>3</v>
      </c>
      <c r="X1635" s="165">
        <v>4</v>
      </c>
      <c r="Y1635" s="164" t="s">
        <v>203</v>
      </c>
      <c r="Z1635" s="164" t="s">
        <v>195</v>
      </c>
      <c r="AA1635" s="164" t="s">
        <v>196</v>
      </c>
      <c r="AB1635" s="164" t="s">
        <v>187</v>
      </c>
      <c r="AC1635" s="164" t="s">
        <v>187</v>
      </c>
      <c r="AD1635" s="165">
        <v>1</v>
      </c>
      <c r="AE1635" s="164" t="s">
        <v>187</v>
      </c>
      <c r="AF1635" s="165">
        <v>24.9044803306193</v>
      </c>
      <c r="AG1635" s="166">
        <v>67.068185536679096</v>
      </c>
      <c r="AO1635" s="121"/>
      <c r="AT1635" s="111"/>
      <c r="AX1635" s="121"/>
    </row>
    <row r="1636" spans="1:50" s="110" customFormat="1" ht="20" customHeight="1">
      <c r="A1636" s="125" t="s">
        <v>486</v>
      </c>
      <c r="B1636" s="126" t="s">
        <v>57</v>
      </c>
      <c r="C1636" s="127">
        <v>16429</v>
      </c>
      <c r="D1636" s="163">
        <v>111580</v>
      </c>
      <c r="E1636" s="164" t="s">
        <v>3498</v>
      </c>
      <c r="F1636" s="164" t="s">
        <v>3498</v>
      </c>
      <c r="G1636" s="165">
        <v>8300</v>
      </c>
      <c r="H1636" s="165">
        <v>1</v>
      </c>
      <c r="I1636" s="164" t="s">
        <v>187</v>
      </c>
      <c r="J1636" s="164" t="s">
        <v>198</v>
      </c>
      <c r="K1636" s="164" t="s">
        <v>199</v>
      </c>
      <c r="L1636" s="165">
        <v>5</v>
      </c>
      <c r="M1636" s="165">
        <v>5</v>
      </c>
      <c r="N1636" s="164" t="s">
        <v>1577</v>
      </c>
      <c r="O1636" s="165">
        <v>0</v>
      </c>
      <c r="P1636" s="165">
        <v>0</v>
      </c>
      <c r="Q1636" s="165">
        <v>21</v>
      </c>
      <c r="R1636" s="164" t="s">
        <v>200</v>
      </c>
      <c r="S1636" s="164" t="s">
        <v>201</v>
      </c>
      <c r="T1636" s="165">
        <v>422</v>
      </c>
      <c r="U1636" s="164" t="s">
        <v>200</v>
      </c>
      <c r="V1636" s="164" t="s">
        <v>3499</v>
      </c>
      <c r="W1636" s="165">
        <v>3</v>
      </c>
      <c r="X1636" s="165">
        <v>4</v>
      </c>
      <c r="Y1636" s="164" t="s">
        <v>203</v>
      </c>
      <c r="Z1636" s="164" t="s">
        <v>195</v>
      </c>
      <c r="AA1636" s="164" t="s">
        <v>196</v>
      </c>
      <c r="AB1636" s="164" t="s">
        <v>187</v>
      </c>
      <c r="AC1636" s="164" t="s">
        <v>187</v>
      </c>
      <c r="AD1636" s="165">
        <v>1</v>
      </c>
      <c r="AE1636" s="164" t="s">
        <v>187</v>
      </c>
      <c r="AF1636" s="165">
        <v>24.869434479575801</v>
      </c>
      <c r="AG1636" s="166">
        <v>89.547178965478395</v>
      </c>
      <c r="AO1636" s="121"/>
      <c r="AT1636" s="111"/>
      <c r="AX1636" s="121"/>
    </row>
    <row r="1637" spans="1:50" s="110" customFormat="1" ht="20" customHeight="1">
      <c r="A1637" s="125" t="s">
        <v>231</v>
      </c>
      <c r="B1637" s="126" t="s">
        <v>66</v>
      </c>
      <c r="C1637" s="127">
        <v>12329</v>
      </c>
      <c r="D1637" s="163">
        <v>104206</v>
      </c>
      <c r="E1637" s="164" t="s">
        <v>2600</v>
      </c>
      <c r="F1637" s="164" t="s">
        <v>2600</v>
      </c>
      <c r="G1637" s="165">
        <v>66000</v>
      </c>
      <c r="H1637" s="165">
        <v>1</v>
      </c>
      <c r="I1637" s="164" t="s">
        <v>187</v>
      </c>
      <c r="J1637" s="164" t="s">
        <v>219</v>
      </c>
      <c r="K1637" s="164" t="s">
        <v>220</v>
      </c>
      <c r="L1637" s="165">
        <v>5</v>
      </c>
      <c r="M1637" s="165">
        <v>5</v>
      </c>
      <c r="N1637" s="164" t="s">
        <v>1577</v>
      </c>
      <c r="O1637" s="165">
        <v>3.427</v>
      </c>
      <c r="P1637" s="168"/>
      <c r="Q1637" s="165">
        <v>21</v>
      </c>
      <c r="R1637" s="164" t="s">
        <v>200</v>
      </c>
      <c r="S1637" s="164" t="s">
        <v>201</v>
      </c>
      <c r="T1637" s="165">
        <v>427</v>
      </c>
      <c r="U1637" s="164" t="s">
        <v>200</v>
      </c>
      <c r="V1637" s="164" t="s">
        <v>1811</v>
      </c>
      <c r="W1637" s="165">
        <v>4</v>
      </c>
      <c r="X1637" s="165">
        <v>4</v>
      </c>
      <c r="Y1637" s="164" t="s">
        <v>203</v>
      </c>
      <c r="Z1637" s="164" t="s">
        <v>195</v>
      </c>
      <c r="AA1637" s="164" t="s">
        <v>196</v>
      </c>
      <c r="AB1637" s="164" t="s">
        <v>187</v>
      </c>
      <c r="AC1637" s="164" t="s">
        <v>187</v>
      </c>
      <c r="AD1637" s="165">
        <v>1</v>
      </c>
      <c r="AE1637" s="164" t="s">
        <v>209</v>
      </c>
      <c r="AF1637" s="165">
        <v>31.5330675384992</v>
      </c>
      <c r="AG1637" s="166">
        <v>73.471435160767101</v>
      </c>
      <c r="AO1637" s="121"/>
      <c r="AT1637" s="111"/>
      <c r="AX1637" s="121"/>
    </row>
    <row r="1638" spans="1:50" s="110" customFormat="1" ht="20" customHeight="1">
      <c r="A1638" s="125" t="s">
        <v>231</v>
      </c>
      <c r="B1638" s="126" t="s">
        <v>66</v>
      </c>
      <c r="C1638" s="127">
        <v>20012</v>
      </c>
      <c r="D1638" s="163">
        <v>115920</v>
      </c>
      <c r="E1638" s="164" t="s">
        <v>2337</v>
      </c>
      <c r="F1638" s="164" t="s">
        <v>2337</v>
      </c>
      <c r="G1638" s="165">
        <v>1000</v>
      </c>
      <c r="H1638" s="165">
        <v>1</v>
      </c>
      <c r="I1638" s="164" t="s">
        <v>187</v>
      </c>
      <c r="J1638" s="164" t="s">
        <v>222</v>
      </c>
      <c r="K1638" s="164" t="s">
        <v>223</v>
      </c>
      <c r="L1638" s="165">
        <v>4</v>
      </c>
      <c r="M1638" s="165">
        <v>5</v>
      </c>
      <c r="N1638" s="164" t="s">
        <v>1577</v>
      </c>
      <c r="O1638" s="165">
        <v>0</v>
      </c>
      <c r="P1638" s="165">
        <v>0</v>
      </c>
      <c r="Q1638" s="165">
        <v>21</v>
      </c>
      <c r="R1638" s="164" t="s">
        <v>200</v>
      </c>
      <c r="S1638" s="164" t="s">
        <v>201</v>
      </c>
      <c r="T1638" s="165">
        <v>427</v>
      </c>
      <c r="U1638" s="164" t="s">
        <v>200</v>
      </c>
      <c r="V1638" s="164" t="s">
        <v>1811</v>
      </c>
      <c r="W1638" s="165">
        <v>2</v>
      </c>
      <c r="X1638" s="165">
        <v>4</v>
      </c>
      <c r="Y1638" s="164" t="s">
        <v>203</v>
      </c>
      <c r="Z1638" s="164" t="s">
        <v>195</v>
      </c>
      <c r="AA1638" s="164" t="s">
        <v>196</v>
      </c>
      <c r="AB1638" s="164" t="s">
        <v>187</v>
      </c>
      <c r="AC1638" s="164" t="s">
        <v>187</v>
      </c>
      <c r="AD1638" s="165">
        <v>1</v>
      </c>
      <c r="AE1638" s="164" t="s">
        <v>187</v>
      </c>
      <c r="AF1638" s="165">
        <v>25.4978813663617</v>
      </c>
      <c r="AG1638" s="166">
        <v>68.514253507485506</v>
      </c>
      <c r="AO1638" s="121"/>
      <c r="AT1638" s="111"/>
      <c r="AX1638" s="121"/>
    </row>
    <row r="1639" spans="1:50" s="110" customFormat="1" ht="20" customHeight="1">
      <c r="A1639" s="125" t="s">
        <v>231</v>
      </c>
      <c r="B1639" s="126" t="s">
        <v>66</v>
      </c>
      <c r="C1639" s="127">
        <v>19861</v>
      </c>
      <c r="D1639" s="163">
        <v>115875</v>
      </c>
      <c r="E1639" s="164" t="s">
        <v>2284</v>
      </c>
      <c r="F1639" s="164" t="s">
        <v>2284</v>
      </c>
      <c r="G1639" s="165">
        <v>900</v>
      </c>
      <c r="H1639" s="165">
        <v>1</v>
      </c>
      <c r="I1639" s="164" t="s">
        <v>187</v>
      </c>
      <c r="J1639" s="164" t="s">
        <v>222</v>
      </c>
      <c r="K1639" s="164" t="s">
        <v>223</v>
      </c>
      <c r="L1639" s="165">
        <v>4</v>
      </c>
      <c r="M1639" s="165">
        <v>5</v>
      </c>
      <c r="N1639" s="164" t="s">
        <v>1577</v>
      </c>
      <c r="O1639" s="165">
        <v>0</v>
      </c>
      <c r="P1639" s="165">
        <v>0</v>
      </c>
      <c r="Q1639" s="165">
        <v>21</v>
      </c>
      <c r="R1639" s="164" t="s">
        <v>200</v>
      </c>
      <c r="S1639" s="164" t="s">
        <v>201</v>
      </c>
      <c r="T1639" s="165">
        <v>427</v>
      </c>
      <c r="U1639" s="164" t="s">
        <v>200</v>
      </c>
      <c r="V1639" s="164" t="s">
        <v>1811</v>
      </c>
      <c r="W1639" s="165">
        <v>2</v>
      </c>
      <c r="X1639" s="165">
        <v>4</v>
      </c>
      <c r="Y1639" s="164" t="s">
        <v>203</v>
      </c>
      <c r="Z1639" s="164" t="s">
        <v>195</v>
      </c>
      <c r="AA1639" s="164" t="s">
        <v>196</v>
      </c>
      <c r="AB1639" s="164" t="s">
        <v>187</v>
      </c>
      <c r="AC1639" s="164" t="s">
        <v>187</v>
      </c>
      <c r="AD1639" s="165">
        <v>1</v>
      </c>
      <c r="AE1639" s="164" t="s">
        <v>187</v>
      </c>
      <c r="AF1639" s="165">
        <v>28.4686454075086</v>
      </c>
      <c r="AG1639" s="166">
        <v>70.477758742625198</v>
      </c>
      <c r="AO1639" s="121"/>
      <c r="AT1639" s="111"/>
      <c r="AX1639" s="121"/>
    </row>
    <row r="1640" spans="1:50" s="110" customFormat="1" ht="20" customHeight="1">
      <c r="A1640" s="125" t="s">
        <v>231</v>
      </c>
      <c r="B1640" s="126" t="s">
        <v>66</v>
      </c>
      <c r="C1640" s="127">
        <v>19901</v>
      </c>
      <c r="D1640" s="163">
        <v>115894</v>
      </c>
      <c r="E1640" s="164" t="s">
        <v>2285</v>
      </c>
      <c r="F1640" s="164" t="s">
        <v>2285</v>
      </c>
      <c r="G1640" s="165">
        <v>900</v>
      </c>
      <c r="H1640" s="165">
        <v>1</v>
      </c>
      <c r="I1640" s="164" t="s">
        <v>187</v>
      </c>
      <c r="J1640" s="164" t="s">
        <v>222</v>
      </c>
      <c r="K1640" s="164" t="s">
        <v>223</v>
      </c>
      <c r="L1640" s="165">
        <v>4</v>
      </c>
      <c r="M1640" s="165">
        <v>5</v>
      </c>
      <c r="N1640" s="164" t="s">
        <v>1577</v>
      </c>
      <c r="O1640" s="165">
        <v>0</v>
      </c>
      <c r="P1640" s="165">
        <v>0</v>
      </c>
      <c r="Q1640" s="165">
        <v>21</v>
      </c>
      <c r="R1640" s="164" t="s">
        <v>200</v>
      </c>
      <c r="S1640" s="164" t="s">
        <v>201</v>
      </c>
      <c r="T1640" s="165">
        <v>427</v>
      </c>
      <c r="U1640" s="164" t="s">
        <v>200</v>
      </c>
      <c r="V1640" s="164" t="s">
        <v>1811</v>
      </c>
      <c r="W1640" s="165">
        <v>2</v>
      </c>
      <c r="X1640" s="165">
        <v>4</v>
      </c>
      <c r="Y1640" s="164" t="s">
        <v>203</v>
      </c>
      <c r="Z1640" s="164" t="s">
        <v>195</v>
      </c>
      <c r="AA1640" s="164" t="s">
        <v>196</v>
      </c>
      <c r="AB1640" s="164" t="s">
        <v>187</v>
      </c>
      <c r="AC1640" s="164" t="s">
        <v>187</v>
      </c>
      <c r="AD1640" s="165">
        <v>1</v>
      </c>
      <c r="AE1640" s="164" t="s">
        <v>187</v>
      </c>
      <c r="AF1640" s="165">
        <v>25.491137113096499</v>
      </c>
      <c r="AG1640" s="166">
        <v>68.508940535464802</v>
      </c>
      <c r="AO1640" s="121"/>
      <c r="AT1640" s="111"/>
      <c r="AX1640" s="121"/>
    </row>
    <row r="1641" spans="1:50" s="110" customFormat="1" ht="20" customHeight="1">
      <c r="A1641" s="125" t="s">
        <v>231</v>
      </c>
      <c r="B1641" s="126" t="s">
        <v>66</v>
      </c>
      <c r="C1641" s="127">
        <v>19839</v>
      </c>
      <c r="D1641" s="163">
        <v>115868</v>
      </c>
      <c r="E1641" s="164" t="s">
        <v>2048</v>
      </c>
      <c r="F1641" s="164" t="s">
        <v>2049</v>
      </c>
      <c r="G1641" s="165">
        <v>600</v>
      </c>
      <c r="H1641" s="165">
        <v>1</v>
      </c>
      <c r="I1641" s="164" t="s">
        <v>187</v>
      </c>
      <c r="J1641" s="164" t="s">
        <v>222</v>
      </c>
      <c r="K1641" s="164" t="s">
        <v>223</v>
      </c>
      <c r="L1641" s="165">
        <v>4</v>
      </c>
      <c r="M1641" s="165">
        <v>5</v>
      </c>
      <c r="N1641" s="164" t="s">
        <v>1577</v>
      </c>
      <c r="O1641" s="165">
        <v>0</v>
      </c>
      <c r="P1641" s="165">
        <v>0</v>
      </c>
      <c r="Q1641" s="165">
        <v>21</v>
      </c>
      <c r="R1641" s="164" t="s">
        <v>200</v>
      </c>
      <c r="S1641" s="164" t="s">
        <v>201</v>
      </c>
      <c r="T1641" s="165">
        <v>427</v>
      </c>
      <c r="U1641" s="164" t="s">
        <v>200</v>
      </c>
      <c r="V1641" s="164" t="s">
        <v>1811</v>
      </c>
      <c r="W1641" s="165">
        <v>2</v>
      </c>
      <c r="X1641" s="165">
        <v>4</v>
      </c>
      <c r="Y1641" s="164" t="s">
        <v>203</v>
      </c>
      <c r="Z1641" s="164" t="s">
        <v>195</v>
      </c>
      <c r="AA1641" s="164" t="s">
        <v>196</v>
      </c>
      <c r="AB1641" s="164" t="s">
        <v>187</v>
      </c>
      <c r="AC1641" s="164" t="s">
        <v>187</v>
      </c>
      <c r="AD1641" s="165">
        <v>1</v>
      </c>
      <c r="AE1641" s="164" t="s">
        <v>187</v>
      </c>
      <c r="AF1641" s="165">
        <v>25.49062</v>
      </c>
      <c r="AG1641" s="166">
        <v>68.50658</v>
      </c>
      <c r="AO1641" s="121"/>
      <c r="AT1641" s="111"/>
      <c r="AX1641" s="121"/>
    </row>
    <row r="1642" spans="1:50" s="110" customFormat="1" ht="20" customHeight="1">
      <c r="A1642" s="125" t="s">
        <v>231</v>
      </c>
      <c r="B1642" s="126" t="s">
        <v>66</v>
      </c>
      <c r="C1642" s="127">
        <v>19818</v>
      </c>
      <c r="D1642" s="163">
        <v>115856</v>
      </c>
      <c r="E1642" s="164" t="s">
        <v>1809</v>
      </c>
      <c r="F1642" s="164" t="s">
        <v>1810</v>
      </c>
      <c r="G1642" s="165">
        <v>300</v>
      </c>
      <c r="H1642" s="165">
        <v>1</v>
      </c>
      <c r="I1642" s="164" t="s">
        <v>187</v>
      </c>
      <c r="J1642" s="164" t="s">
        <v>222</v>
      </c>
      <c r="K1642" s="164" t="s">
        <v>223</v>
      </c>
      <c r="L1642" s="165">
        <v>4</v>
      </c>
      <c r="M1642" s="165">
        <v>5</v>
      </c>
      <c r="N1642" s="164" t="s">
        <v>1577</v>
      </c>
      <c r="O1642" s="165">
        <v>0</v>
      </c>
      <c r="P1642" s="165">
        <v>0</v>
      </c>
      <c r="Q1642" s="165">
        <v>21</v>
      </c>
      <c r="R1642" s="164" t="s">
        <v>200</v>
      </c>
      <c r="S1642" s="164" t="s">
        <v>201</v>
      </c>
      <c r="T1642" s="165">
        <v>427</v>
      </c>
      <c r="U1642" s="164" t="s">
        <v>200</v>
      </c>
      <c r="V1642" s="164" t="s">
        <v>1811</v>
      </c>
      <c r="W1642" s="165">
        <v>2</v>
      </c>
      <c r="X1642" s="165">
        <v>4</v>
      </c>
      <c r="Y1642" s="164" t="s">
        <v>203</v>
      </c>
      <c r="Z1642" s="164" t="s">
        <v>195</v>
      </c>
      <c r="AA1642" s="164" t="s">
        <v>196</v>
      </c>
      <c r="AB1642" s="164" t="s">
        <v>187</v>
      </c>
      <c r="AC1642" s="164" t="s">
        <v>187</v>
      </c>
      <c r="AD1642" s="165">
        <v>1</v>
      </c>
      <c r="AE1642" s="164" t="s">
        <v>187</v>
      </c>
      <c r="AF1642" s="165">
        <v>32.401649999999997</v>
      </c>
      <c r="AG1642" s="166">
        <v>74.631540000000001</v>
      </c>
      <c r="AO1642" s="121"/>
      <c r="AT1642" s="111"/>
      <c r="AX1642" s="121"/>
    </row>
    <row r="1643" spans="1:50" s="110" customFormat="1" ht="20" customHeight="1">
      <c r="A1643" s="125" t="s">
        <v>224</v>
      </c>
      <c r="B1643" s="126" t="s">
        <v>68</v>
      </c>
      <c r="C1643" s="127">
        <v>12329</v>
      </c>
      <c r="D1643" s="163">
        <v>104206</v>
      </c>
      <c r="E1643" s="164" t="s">
        <v>2600</v>
      </c>
      <c r="F1643" s="164" t="s">
        <v>2600</v>
      </c>
      <c r="G1643" s="165">
        <v>1600</v>
      </c>
      <c r="H1643" s="165">
        <v>1</v>
      </c>
      <c r="I1643" s="164" t="s">
        <v>187</v>
      </c>
      <c r="J1643" s="164" t="s">
        <v>2601</v>
      </c>
      <c r="K1643" s="164" t="s">
        <v>2602</v>
      </c>
      <c r="L1643" s="165">
        <v>5</v>
      </c>
      <c r="M1643" s="165">
        <v>5</v>
      </c>
      <c r="N1643" s="164" t="s">
        <v>1577</v>
      </c>
      <c r="O1643" s="165">
        <v>0</v>
      </c>
      <c r="P1643" s="165">
        <v>0</v>
      </c>
      <c r="Q1643" s="165">
        <v>21</v>
      </c>
      <c r="R1643" s="164" t="s">
        <v>200</v>
      </c>
      <c r="S1643" s="164" t="s">
        <v>201</v>
      </c>
      <c r="T1643" s="165">
        <v>427</v>
      </c>
      <c r="U1643" s="164" t="s">
        <v>200</v>
      </c>
      <c r="V1643" s="164" t="s">
        <v>1811</v>
      </c>
      <c r="W1643" s="165">
        <v>4</v>
      </c>
      <c r="X1643" s="165">
        <v>4</v>
      </c>
      <c r="Y1643" s="164" t="s">
        <v>203</v>
      </c>
      <c r="Z1643" s="164" t="s">
        <v>195</v>
      </c>
      <c r="AA1643" s="164" t="s">
        <v>196</v>
      </c>
      <c r="AB1643" s="164" t="s">
        <v>187</v>
      </c>
      <c r="AC1643" s="164" t="s">
        <v>187</v>
      </c>
      <c r="AD1643" s="165">
        <v>1</v>
      </c>
      <c r="AE1643" s="164" t="s">
        <v>187</v>
      </c>
      <c r="AF1643" s="165">
        <v>7.7888729766020299</v>
      </c>
      <c r="AG1643" s="166">
        <v>81.497773392511803</v>
      </c>
      <c r="AO1643" s="121"/>
      <c r="AT1643" s="111"/>
      <c r="AX1643" s="121"/>
    </row>
    <row r="1644" spans="1:50" s="110" customFormat="1" ht="20" customHeight="1">
      <c r="A1644" s="125" t="s">
        <v>486</v>
      </c>
      <c r="B1644" s="126" t="s">
        <v>57</v>
      </c>
      <c r="C1644" s="127">
        <v>17044</v>
      </c>
      <c r="D1644" s="163">
        <v>112380</v>
      </c>
      <c r="E1644" s="164" t="s">
        <v>4555</v>
      </c>
      <c r="F1644" s="164" t="s">
        <v>4555</v>
      </c>
      <c r="G1644" s="165">
        <v>83000</v>
      </c>
      <c r="H1644" s="165">
        <v>1</v>
      </c>
      <c r="I1644" s="164" t="s">
        <v>187</v>
      </c>
      <c r="J1644" s="164" t="s">
        <v>198</v>
      </c>
      <c r="K1644" s="164" t="s">
        <v>199</v>
      </c>
      <c r="L1644" s="165">
        <v>5</v>
      </c>
      <c r="M1644" s="165">
        <v>5</v>
      </c>
      <c r="N1644" s="164" t="s">
        <v>1577</v>
      </c>
      <c r="O1644" s="165">
        <v>0</v>
      </c>
      <c r="P1644" s="165">
        <v>0</v>
      </c>
      <c r="Q1644" s="165">
        <v>21</v>
      </c>
      <c r="R1644" s="164" t="s">
        <v>200</v>
      </c>
      <c r="S1644" s="164" t="s">
        <v>201</v>
      </c>
      <c r="T1644" s="165">
        <v>429</v>
      </c>
      <c r="U1644" s="164" t="s">
        <v>200</v>
      </c>
      <c r="V1644" s="164" t="s">
        <v>4556</v>
      </c>
      <c r="W1644" s="165">
        <v>3</v>
      </c>
      <c r="X1644" s="165">
        <v>4</v>
      </c>
      <c r="Y1644" s="164" t="s">
        <v>203</v>
      </c>
      <c r="Z1644" s="164" t="s">
        <v>195</v>
      </c>
      <c r="AA1644" s="164" t="s">
        <v>196</v>
      </c>
      <c r="AB1644" s="164" t="s">
        <v>187</v>
      </c>
      <c r="AC1644" s="164" t="s">
        <v>187</v>
      </c>
      <c r="AD1644" s="165">
        <v>2</v>
      </c>
      <c r="AE1644" s="164" t="s">
        <v>187</v>
      </c>
      <c r="AF1644" s="165">
        <v>25.7271447727442</v>
      </c>
      <c r="AG1644" s="166">
        <v>89.290303979749297</v>
      </c>
      <c r="AO1644" s="121"/>
      <c r="AT1644" s="111"/>
      <c r="AX1644" s="121"/>
    </row>
    <row r="1645" spans="1:50" s="110" customFormat="1" ht="20" customHeight="1">
      <c r="A1645" s="125" t="s">
        <v>224</v>
      </c>
      <c r="B1645" s="126" t="s">
        <v>68</v>
      </c>
      <c r="C1645" s="127">
        <v>19597</v>
      </c>
      <c r="D1645" s="163">
        <v>113756</v>
      </c>
      <c r="E1645" s="164" t="s">
        <v>2464</v>
      </c>
      <c r="F1645" s="164" t="s">
        <v>2464</v>
      </c>
      <c r="G1645" s="165">
        <v>1300</v>
      </c>
      <c r="H1645" s="165">
        <v>1</v>
      </c>
      <c r="I1645" s="164" t="s">
        <v>187</v>
      </c>
      <c r="J1645" s="164" t="s">
        <v>2139</v>
      </c>
      <c r="K1645" s="164" t="s">
        <v>2140</v>
      </c>
      <c r="L1645" s="165">
        <v>5</v>
      </c>
      <c r="M1645" s="165">
        <v>5</v>
      </c>
      <c r="N1645" s="164" t="s">
        <v>1577</v>
      </c>
      <c r="O1645" s="165">
        <v>0</v>
      </c>
      <c r="P1645" s="165">
        <v>0</v>
      </c>
      <c r="Q1645" s="165">
        <v>21</v>
      </c>
      <c r="R1645" s="164" t="s">
        <v>200</v>
      </c>
      <c r="S1645" s="164" t="s">
        <v>201</v>
      </c>
      <c r="T1645" s="165">
        <v>430</v>
      </c>
      <c r="U1645" s="164" t="s">
        <v>200</v>
      </c>
      <c r="V1645" s="164" t="s">
        <v>2465</v>
      </c>
      <c r="W1645" s="165">
        <v>2</v>
      </c>
      <c r="X1645" s="165">
        <v>4</v>
      </c>
      <c r="Y1645" s="164" t="s">
        <v>203</v>
      </c>
      <c r="Z1645" s="164" t="s">
        <v>195</v>
      </c>
      <c r="AA1645" s="164" t="s">
        <v>196</v>
      </c>
      <c r="AB1645" s="164" t="s">
        <v>187</v>
      </c>
      <c r="AC1645" s="164" t="s">
        <v>187</v>
      </c>
      <c r="AD1645" s="165">
        <v>1</v>
      </c>
      <c r="AE1645" s="164" t="s">
        <v>187</v>
      </c>
      <c r="AF1645" s="165">
        <v>7.0126288258785303</v>
      </c>
      <c r="AG1645" s="166">
        <v>80.766957280072305</v>
      </c>
      <c r="AO1645" s="121"/>
      <c r="AT1645" s="111"/>
      <c r="AX1645" s="121"/>
    </row>
    <row r="1646" spans="1:50" s="110" customFormat="1" ht="20" customHeight="1">
      <c r="A1646" s="125" t="s">
        <v>486</v>
      </c>
      <c r="B1646" s="126" t="s">
        <v>57</v>
      </c>
      <c r="C1646" s="127">
        <v>17124</v>
      </c>
      <c r="D1646" s="163">
        <v>112470</v>
      </c>
      <c r="E1646" s="164" t="s">
        <v>4886</v>
      </c>
      <c r="F1646" s="164" t="s">
        <v>4886</v>
      </c>
      <c r="G1646" s="165">
        <v>1813000</v>
      </c>
      <c r="H1646" s="165">
        <v>1</v>
      </c>
      <c r="I1646" s="164" t="s">
        <v>187</v>
      </c>
      <c r="J1646" s="164" t="s">
        <v>198</v>
      </c>
      <c r="K1646" s="164" t="s">
        <v>199</v>
      </c>
      <c r="L1646" s="165">
        <v>5</v>
      </c>
      <c r="M1646" s="165">
        <v>5</v>
      </c>
      <c r="N1646" s="164" t="s">
        <v>1577</v>
      </c>
      <c r="O1646" s="165">
        <v>0</v>
      </c>
      <c r="P1646" s="165">
        <v>0</v>
      </c>
      <c r="Q1646" s="165">
        <v>21</v>
      </c>
      <c r="R1646" s="164" t="s">
        <v>200</v>
      </c>
      <c r="S1646" s="164" t="s">
        <v>201</v>
      </c>
      <c r="T1646" s="165">
        <v>431</v>
      </c>
      <c r="U1646" s="164" t="s">
        <v>200</v>
      </c>
      <c r="V1646" s="164" t="s">
        <v>4715</v>
      </c>
      <c r="W1646" s="165">
        <v>4</v>
      </c>
      <c r="X1646" s="165">
        <v>4</v>
      </c>
      <c r="Y1646" s="164" t="s">
        <v>203</v>
      </c>
      <c r="Z1646" s="164" t="s">
        <v>195</v>
      </c>
      <c r="AA1646" s="164" t="s">
        <v>196</v>
      </c>
      <c r="AB1646" s="164" t="s">
        <v>187</v>
      </c>
      <c r="AC1646" s="164" t="s">
        <v>187</v>
      </c>
      <c r="AD1646" s="165">
        <v>36</v>
      </c>
      <c r="AE1646" s="164" t="s">
        <v>187</v>
      </c>
      <c r="AF1646" s="165">
        <v>22.904939040561299</v>
      </c>
      <c r="AG1646" s="166">
        <v>92.170611040710796</v>
      </c>
      <c r="AO1646" s="121"/>
      <c r="AT1646" s="111"/>
      <c r="AX1646" s="121"/>
    </row>
    <row r="1647" spans="1:50" s="110" customFormat="1" ht="20" customHeight="1">
      <c r="A1647" s="125" t="s">
        <v>486</v>
      </c>
      <c r="B1647" s="126" t="s">
        <v>57</v>
      </c>
      <c r="C1647" s="127">
        <v>21156</v>
      </c>
      <c r="D1647" s="163">
        <v>117979</v>
      </c>
      <c r="E1647" s="164" t="s">
        <v>4714</v>
      </c>
      <c r="F1647" s="164" t="s">
        <v>4714</v>
      </c>
      <c r="G1647" s="165">
        <v>181000</v>
      </c>
      <c r="H1647" s="165">
        <v>1</v>
      </c>
      <c r="I1647" s="164" t="s">
        <v>187</v>
      </c>
      <c r="J1647" s="164" t="s">
        <v>198</v>
      </c>
      <c r="K1647" s="164" t="s">
        <v>199</v>
      </c>
      <c r="L1647" s="165">
        <v>5</v>
      </c>
      <c r="M1647" s="165">
        <v>5</v>
      </c>
      <c r="N1647" s="164" t="s">
        <v>1577</v>
      </c>
      <c r="O1647" s="165">
        <v>0</v>
      </c>
      <c r="P1647" s="165">
        <v>0</v>
      </c>
      <c r="Q1647" s="165">
        <v>21</v>
      </c>
      <c r="R1647" s="164" t="s">
        <v>200</v>
      </c>
      <c r="S1647" s="164" t="s">
        <v>201</v>
      </c>
      <c r="T1647" s="165">
        <v>431</v>
      </c>
      <c r="U1647" s="164" t="s">
        <v>200</v>
      </c>
      <c r="V1647" s="164" t="s">
        <v>4715</v>
      </c>
      <c r="W1647" s="165">
        <v>3</v>
      </c>
      <c r="X1647" s="165">
        <v>4</v>
      </c>
      <c r="Y1647" s="164" t="s">
        <v>203</v>
      </c>
      <c r="Z1647" s="164" t="s">
        <v>195</v>
      </c>
      <c r="AA1647" s="164" t="s">
        <v>196</v>
      </c>
      <c r="AB1647" s="164" t="s">
        <v>187</v>
      </c>
      <c r="AC1647" s="164" t="s">
        <v>187</v>
      </c>
      <c r="AD1647" s="165">
        <v>4</v>
      </c>
      <c r="AE1647" s="164" t="s">
        <v>187</v>
      </c>
      <c r="AF1647" s="165">
        <v>22.449726349708101</v>
      </c>
      <c r="AG1647" s="166">
        <v>91.854152439686303</v>
      </c>
      <c r="AO1647" s="121"/>
      <c r="AT1647" s="111"/>
      <c r="AX1647" s="121"/>
    </row>
    <row r="1648" spans="1:50" s="110" customFormat="1" ht="20" customHeight="1">
      <c r="A1648" s="125" t="s">
        <v>486</v>
      </c>
      <c r="B1648" s="126" t="s">
        <v>57</v>
      </c>
      <c r="C1648" s="127">
        <v>17316</v>
      </c>
      <c r="D1648" s="163">
        <v>112696</v>
      </c>
      <c r="E1648" s="164" t="s">
        <v>3325</v>
      </c>
      <c r="F1648" s="164" t="s">
        <v>3325</v>
      </c>
      <c r="G1648" s="165">
        <v>262000</v>
      </c>
      <c r="H1648" s="165">
        <v>1</v>
      </c>
      <c r="I1648" s="164" t="s">
        <v>187</v>
      </c>
      <c r="J1648" s="164" t="s">
        <v>198</v>
      </c>
      <c r="K1648" s="164" t="s">
        <v>199</v>
      </c>
      <c r="L1648" s="165">
        <v>5</v>
      </c>
      <c r="M1648" s="165">
        <v>5</v>
      </c>
      <c r="N1648" s="164" t="s">
        <v>1577</v>
      </c>
      <c r="O1648" s="165">
        <v>0</v>
      </c>
      <c r="P1648" s="165">
        <v>0</v>
      </c>
      <c r="Q1648" s="165">
        <v>21</v>
      </c>
      <c r="R1648" s="164" t="s">
        <v>200</v>
      </c>
      <c r="S1648" s="164" t="s">
        <v>201</v>
      </c>
      <c r="T1648" s="165">
        <v>433</v>
      </c>
      <c r="U1648" s="164" t="s">
        <v>200</v>
      </c>
      <c r="V1648" s="164" t="s">
        <v>3326</v>
      </c>
      <c r="W1648" s="165">
        <v>6</v>
      </c>
      <c r="X1648" s="165">
        <v>4</v>
      </c>
      <c r="Y1648" s="164" t="s">
        <v>203</v>
      </c>
      <c r="Z1648" s="164" t="s">
        <v>195</v>
      </c>
      <c r="AA1648" s="164" t="s">
        <v>196</v>
      </c>
      <c r="AB1648" s="164" t="s">
        <v>187</v>
      </c>
      <c r="AC1648" s="164" t="s">
        <v>187</v>
      </c>
      <c r="AD1648" s="165">
        <v>5</v>
      </c>
      <c r="AE1648" s="164" t="s">
        <v>187</v>
      </c>
      <c r="AF1648" s="165">
        <v>24.3159706771666</v>
      </c>
      <c r="AG1648" s="166">
        <v>90.669147459644904</v>
      </c>
      <c r="AO1648" s="121"/>
      <c r="AT1648" s="111"/>
      <c r="AX1648" s="121"/>
    </row>
    <row r="1649" spans="1:50" s="110" customFormat="1" ht="20" customHeight="1">
      <c r="A1649" s="125" t="s">
        <v>231</v>
      </c>
      <c r="B1649" s="126" t="s">
        <v>66</v>
      </c>
      <c r="C1649" s="127">
        <v>17316</v>
      </c>
      <c r="D1649" s="163">
        <v>112696</v>
      </c>
      <c r="E1649" s="164" t="s">
        <v>3325</v>
      </c>
      <c r="F1649" s="164" t="s">
        <v>3325</v>
      </c>
      <c r="G1649" s="165">
        <v>7900</v>
      </c>
      <c r="H1649" s="165">
        <v>1</v>
      </c>
      <c r="I1649" s="164" t="s">
        <v>187</v>
      </c>
      <c r="J1649" s="164" t="s">
        <v>219</v>
      </c>
      <c r="K1649" s="164" t="s">
        <v>220</v>
      </c>
      <c r="L1649" s="165">
        <v>5</v>
      </c>
      <c r="M1649" s="165">
        <v>5</v>
      </c>
      <c r="N1649" s="164" t="s">
        <v>1577</v>
      </c>
      <c r="O1649" s="165">
        <v>0.59299999999999997</v>
      </c>
      <c r="P1649" s="168"/>
      <c r="Q1649" s="165">
        <v>21</v>
      </c>
      <c r="R1649" s="164" t="s">
        <v>200</v>
      </c>
      <c r="S1649" s="164" t="s">
        <v>201</v>
      </c>
      <c r="T1649" s="165">
        <v>433</v>
      </c>
      <c r="U1649" s="164" t="s">
        <v>200</v>
      </c>
      <c r="V1649" s="164" t="s">
        <v>3326</v>
      </c>
      <c r="W1649" s="165">
        <v>6</v>
      </c>
      <c r="X1649" s="165">
        <v>4</v>
      </c>
      <c r="Y1649" s="164" t="s">
        <v>203</v>
      </c>
      <c r="Z1649" s="164" t="s">
        <v>195</v>
      </c>
      <c r="AA1649" s="164" t="s">
        <v>196</v>
      </c>
      <c r="AB1649" s="164" t="s">
        <v>187</v>
      </c>
      <c r="AC1649" s="164" t="s">
        <v>187</v>
      </c>
      <c r="AD1649" s="165">
        <v>1</v>
      </c>
      <c r="AE1649" s="164" t="s">
        <v>209</v>
      </c>
      <c r="AF1649" s="165">
        <v>24.9142177567511</v>
      </c>
      <c r="AG1649" s="166">
        <v>67.069000754295701</v>
      </c>
      <c r="AO1649" s="121"/>
      <c r="AT1649" s="111"/>
      <c r="AX1649" s="121"/>
    </row>
    <row r="1650" spans="1:50" s="110" customFormat="1" ht="20" customHeight="1">
      <c r="A1650" s="125" t="s">
        <v>224</v>
      </c>
      <c r="B1650" s="126" t="s">
        <v>68</v>
      </c>
      <c r="C1650" s="127">
        <v>17316</v>
      </c>
      <c r="D1650" s="157">
        <v>112696</v>
      </c>
      <c r="E1650" s="158" t="s">
        <v>3325</v>
      </c>
      <c r="F1650" s="158" t="s">
        <v>3325</v>
      </c>
      <c r="G1650" s="159">
        <v>6200</v>
      </c>
      <c r="H1650" s="159">
        <v>2</v>
      </c>
      <c r="I1650" s="158" t="s">
        <v>209</v>
      </c>
      <c r="J1650" s="158" t="s">
        <v>1989</v>
      </c>
      <c r="K1650" s="158" t="s">
        <v>1990</v>
      </c>
      <c r="L1650" s="159">
        <v>5</v>
      </c>
      <c r="M1650" s="159">
        <v>5</v>
      </c>
      <c r="N1650" s="158" t="s">
        <v>1577</v>
      </c>
      <c r="O1650" s="159">
        <v>9.5470000000000006</v>
      </c>
      <c r="P1650" s="160"/>
      <c r="Q1650" s="159">
        <v>21</v>
      </c>
      <c r="R1650" s="158" t="s">
        <v>200</v>
      </c>
      <c r="S1650" s="158" t="s">
        <v>201</v>
      </c>
      <c r="T1650" s="159">
        <v>433</v>
      </c>
      <c r="U1650" s="158" t="s">
        <v>200</v>
      </c>
      <c r="V1650" s="158" t="s">
        <v>3326</v>
      </c>
      <c r="W1650" s="159">
        <v>6</v>
      </c>
      <c r="X1650" s="159">
        <v>4</v>
      </c>
      <c r="Y1650" s="158" t="s">
        <v>203</v>
      </c>
      <c r="Z1650" s="158" t="s">
        <v>195</v>
      </c>
      <c r="AA1650" s="158" t="s">
        <v>196</v>
      </c>
      <c r="AB1650" s="158" t="s">
        <v>187</v>
      </c>
      <c r="AC1650" s="158" t="s">
        <v>187</v>
      </c>
      <c r="AD1650" s="160"/>
      <c r="AE1650" s="158" t="s">
        <v>209</v>
      </c>
      <c r="AF1650" s="159">
        <v>7.0125000000000002</v>
      </c>
      <c r="AG1650" s="161">
        <v>80.766000000000005</v>
      </c>
      <c r="AO1650" s="121"/>
      <c r="AT1650" s="111"/>
      <c r="AX1650" s="121"/>
    </row>
    <row r="1651" spans="1:50" s="110" customFormat="1" ht="20" customHeight="1">
      <c r="A1651" s="125" t="s">
        <v>486</v>
      </c>
      <c r="B1651" s="126" t="s">
        <v>57</v>
      </c>
      <c r="C1651" s="127">
        <v>17325</v>
      </c>
      <c r="D1651" s="163">
        <v>112706</v>
      </c>
      <c r="E1651" s="164" t="s">
        <v>1917</v>
      </c>
      <c r="F1651" s="164" t="s">
        <v>1917</v>
      </c>
      <c r="G1651" s="165">
        <v>500</v>
      </c>
      <c r="H1651" s="165">
        <v>1</v>
      </c>
      <c r="I1651" s="164" t="s">
        <v>187</v>
      </c>
      <c r="J1651" s="164" t="s">
        <v>198</v>
      </c>
      <c r="K1651" s="164" t="s">
        <v>199</v>
      </c>
      <c r="L1651" s="165">
        <v>5</v>
      </c>
      <c r="M1651" s="165">
        <v>5</v>
      </c>
      <c r="N1651" s="164" t="s">
        <v>1577</v>
      </c>
      <c r="O1651" s="165">
        <v>0</v>
      </c>
      <c r="P1651" s="165">
        <v>0</v>
      </c>
      <c r="Q1651" s="165">
        <v>21</v>
      </c>
      <c r="R1651" s="164" t="s">
        <v>200</v>
      </c>
      <c r="S1651" s="164" t="s">
        <v>201</v>
      </c>
      <c r="T1651" s="165">
        <v>434</v>
      </c>
      <c r="U1651" s="164" t="s">
        <v>200</v>
      </c>
      <c r="V1651" s="164" t="s">
        <v>1918</v>
      </c>
      <c r="W1651" s="165">
        <v>3</v>
      </c>
      <c r="X1651" s="165">
        <v>4</v>
      </c>
      <c r="Y1651" s="164" t="s">
        <v>203</v>
      </c>
      <c r="Z1651" s="164" t="s">
        <v>195</v>
      </c>
      <c r="AA1651" s="164" t="s">
        <v>196</v>
      </c>
      <c r="AB1651" s="164" t="s">
        <v>187</v>
      </c>
      <c r="AC1651" s="164" t="s">
        <v>187</v>
      </c>
      <c r="AD1651" s="165">
        <v>1</v>
      </c>
      <c r="AE1651" s="164" t="s">
        <v>187</v>
      </c>
      <c r="AF1651" s="165">
        <v>24.041698533822</v>
      </c>
      <c r="AG1651" s="166">
        <v>90.795781110241904</v>
      </c>
      <c r="AO1651" s="121"/>
      <c r="AT1651" s="111"/>
      <c r="AX1651" s="121"/>
    </row>
    <row r="1652" spans="1:50" s="110" customFormat="1" ht="20" customHeight="1">
      <c r="A1652" s="125" t="s">
        <v>231</v>
      </c>
      <c r="B1652" s="126" t="s">
        <v>66</v>
      </c>
      <c r="C1652" s="127">
        <v>17325</v>
      </c>
      <c r="D1652" s="163">
        <v>112706</v>
      </c>
      <c r="E1652" s="164" t="s">
        <v>1917</v>
      </c>
      <c r="F1652" s="164" t="s">
        <v>1917</v>
      </c>
      <c r="G1652" s="165">
        <v>12000</v>
      </c>
      <c r="H1652" s="165">
        <v>1</v>
      </c>
      <c r="I1652" s="164" t="s">
        <v>187</v>
      </c>
      <c r="J1652" s="164" t="s">
        <v>219</v>
      </c>
      <c r="K1652" s="164" t="s">
        <v>220</v>
      </c>
      <c r="L1652" s="165">
        <v>5</v>
      </c>
      <c r="M1652" s="165">
        <v>5</v>
      </c>
      <c r="N1652" s="164" t="s">
        <v>1577</v>
      </c>
      <c r="O1652" s="165">
        <v>0</v>
      </c>
      <c r="P1652" s="165">
        <v>0</v>
      </c>
      <c r="Q1652" s="165">
        <v>21</v>
      </c>
      <c r="R1652" s="164" t="s">
        <v>200</v>
      </c>
      <c r="S1652" s="164" t="s">
        <v>201</v>
      </c>
      <c r="T1652" s="165">
        <v>434</v>
      </c>
      <c r="U1652" s="164" t="s">
        <v>200</v>
      </c>
      <c r="V1652" s="164" t="s">
        <v>1918</v>
      </c>
      <c r="W1652" s="165">
        <v>3</v>
      </c>
      <c r="X1652" s="165">
        <v>4</v>
      </c>
      <c r="Y1652" s="164" t="s">
        <v>203</v>
      </c>
      <c r="Z1652" s="164" t="s">
        <v>195</v>
      </c>
      <c r="AA1652" s="164" t="s">
        <v>196</v>
      </c>
      <c r="AB1652" s="164" t="s">
        <v>187</v>
      </c>
      <c r="AC1652" s="164" t="s">
        <v>187</v>
      </c>
      <c r="AD1652" s="165">
        <v>1</v>
      </c>
      <c r="AE1652" s="164" t="s">
        <v>187</v>
      </c>
      <c r="AF1652" s="165">
        <v>25.499489376623501</v>
      </c>
      <c r="AG1652" s="166">
        <v>68.513855692487496</v>
      </c>
      <c r="AO1652" s="121"/>
      <c r="AT1652" s="111"/>
      <c r="AX1652" s="121"/>
    </row>
    <row r="1653" spans="1:50" s="110" customFormat="1" ht="20" customHeight="1">
      <c r="A1653" s="125" t="s">
        <v>486</v>
      </c>
      <c r="B1653" s="126" t="s">
        <v>57</v>
      </c>
      <c r="C1653" s="127">
        <v>17334</v>
      </c>
      <c r="D1653" s="163">
        <v>112717</v>
      </c>
      <c r="E1653" s="164" t="s">
        <v>4514</v>
      </c>
      <c r="F1653" s="164" t="s">
        <v>4514</v>
      </c>
      <c r="G1653" s="165">
        <v>71000</v>
      </c>
      <c r="H1653" s="165">
        <v>1</v>
      </c>
      <c r="I1653" s="164" t="s">
        <v>187</v>
      </c>
      <c r="J1653" s="164" t="s">
        <v>198</v>
      </c>
      <c r="K1653" s="164" t="s">
        <v>199</v>
      </c>
      <c r="L1653" s="165">
        <v>5</v>
      </c>
      <c r="M1653" s="165">
        <v>5</v>
      </c>
      <c r="N1653" s="164" t="s">
        <v>1577</v>
      </c>
      <c r="O1653" s="165">
        <v>0</v>
      </c>
      <c r="P1653" s="165">
        <v>0</v>
      </c>
      <c r="Q1653" s="165">
        <v>21</v>
      </c>
      <c r="R1653" s="164" t="s">
        <v>200</v>
      </c>
      <c r="S1653" s="164" t="s">
        <v>201</v>
      </c>
      <c r="T1653" s="165">
        <v>435</v>
      </c>
      <c r="U1653" s="164" t="s">
        <v>200</v>
      </c>
      <c r="V1653" s="164" t="s">
        <v>4515</v>
      </c>
      <c r="W1653" s="165">
        <v>3</v>
      </c>
      <c r="X1653" s="165">
        <v>4</v>
      </c>
      <c r="Y1653" s="164" t="s">
        <v>203</v>
      </c>
      <c r="Z1653" s="164" t="s">
        <v>195</v>
      </c>
      <c r="AA1653" s="164" t="s">
        <v>196</v>
      </c>
      <c r="AB1653" s="164" t="s">
        <v>187</v>
      </c>
      <c r="AC1653" s="164" t="s">
        <v>187</v>
      </c>
      <c r="AD1653" s="165">
        <v>1</v>
      </c>
      <c r="AE1653" s="164" t="s">
        <v>187</v>
      </c>
      <c r="AF1653" s="165">
        <v>25.805592184318002</v>
      </c>
      <c r="AG1653" s="166">
        <v>89.039627645717303</v>
      </c>
      <c r="AO1653" s="121"/>
      <c r="AT1653" s="111"/>
      <c r="AX1653" s="121"/>
    </row>
    <row r="1654" spans="1:50" s="110" customFormat="1" ht="20" customHeight="1">
      <c r="A1654" s="125" t="s">
        <v>486</v>
      </c>
      <c r="B1654" s="126" t="s">
        <v>57</v>
      </c>
      <c r="C1654" s="127">
        <v>17411</v>
      </c>
      <c r="D1654" s="163">
        <v>112811</v>
      </c>
      <c r="E1654" s="164" t="s">
        <v>2062</v>
      </c>
      <c r="F1654" s="164" t="s">
        <v>2062</v>
      </c>
      <c r="G1654" s="165">
        <v>688000</v>
      </c>
      <c r="H1654" s="165">
        <v>1</v>
      </c>
      <c r="I1654" s="164" t="s">
        <v>187</v>
      </c>
      <c r="J1654" s="164" t="s">
        <v>198</v>
      </c>
      <c r="K1654" s="164" t="s">
        <v>199</v>
      </c>
      <c r="L1654" s="165">
        <v>5</v>
      </c>
      <c r="M1654" s="165">
        <v>5</v>
      </c>
      <c r="N1654" s="164" t="s">
        <v>1577</v>
      </c>
      <c r="O1654" s="165">
        <v>0.89700000000000002</v>
      </c>
      <c r="P1654" s="168"/>
      <c r="Q1654" s="165">
        <v>21</v>
      </c>
      <c r="R1654" s="164" t="s">
        <v>200</v>
      </c>
      <c r="S1654" s="164" t="s">
        <v>201</v>
      </c>
      <c r="T1654" s="165">
        <v>438</v>
      </c>
      <c r="U1654" s="164" t="s">
        <v>200</v>
      </c>
      <c r="V1654" s="164" t="s">
        <v>2063</v>
      </c>
      <c r="W1654" s="165">
        <v>4</v>
      </c>
      <c r="X1654" s="165">
        <v>4</v>
      </c>
      <c r="Y1654" s="164" t="s">
        <v>203</v>
      </c>
      <c r="Z1654" s="164" t="s">
        <v>195</v>
      </c>
      <c r="AA1654" s="164" t="s">
        <v>196</v>
      </c>
      <c r="AB1654" s="164" t="s">
        <v>187</v>
      </c>
      <c r="AC1654" s="164" t="s">
        <v>187</v>
      </c>
      <c r="AD1654" s="165">
        <v>14</v>
      </c>
      <c r="AE1654" s="164" t="s">
        <v>209</v>
      </c>
      <c r="AF1654" s="165">
        <v>24.785416999999999</v>
      </c>
      <c r="AG1654" s="166">
        <v>88.553967</v>
      </c>
      <c r="AO1654" s="121"/>
      <c r="AT1654" s="111"/>
      <c r="AX1654" s="121"/>
    </row>
    <row r="1655" spans="1:50" s="110" customFormat="1" ht="20" customHeight="1">
      <c r="A1655" s="125" t="s">
        <v>224</v>
      </c>
      <c r="B1655" s="126" t="s">
        <v>68</v>
      </c>
      <c r="C1655" s="127">
        <v>17411</v>
      </c>
      <c r="D1655" s="163">
        <v>112811</v>
      </c>
      <c r="E1655" s="164" t="s">
        <v>2062</v>
      </c>
      <c r="F1655" s="164" t="s">
        <v>2062</v>
      </c>
      <c r="G1655" s="165">
        <v>600</v>
      </c>
      <c r="H1655" s="165">
        <v>1</v>
      </c>
      <c r="I1655" s="164" t="s">
        <v>187</v>
      </c>
      <c r="J1655" s="164" t="s">
        <v>198</v>
      </c>
      <c r="K1655" s="164" t="s">
        <v>199</v>
      </c>
      <c r="L1655" s="165">
        <v>5</v>
      </c>
      <c r="M1655" s="165">
        <v>5</v>
      </c>
      <c r="N1655" s="164" t="s">
        <v>1577</v>
      </c>
      <c r="O1655" s="165">
        <v>0</v>
      </c>
      <c r="P1655" s="165">
        <v>0</v>
      </c>
      <c r="Q1655" s="165">
        <v>21</v>
      </c>
      <c r="R1655" s="164" t="s">
        <v>200</v>
      </c>
      <c r="S1655" s="164" t="s">
        <v>201</v>
      </c>
      <c r="T1655" s="165">
        <v>438</v>
      </c>
      <c r="U1655" s="164" t="s">
        <v>200</v>
      </c>
      <c r="V1655" s="164" t="s">
        <v>2063</v>
      </c>
      <c r="W1655" s="165">
        <v>4</v>
      </c>
      <c r="X1655" s="165">
        <v>4</v>
      </c>
      <c r="Y1655" s="164" t="s">
        <v>203</v>
      </c>
      <c r="Z1655" s="164" t="s">
        <v>195</v>
      </c>
      <c r="AA1655" s="164" t="s">
        <v>196</v>
      </c>
      <c r="AB1655" s="164" t="s">
        <v>187</v>
      </c>
      <c r="AC1655" s="164" t="s">
        <v>187</v>
      </c>
      <c r="AD1655" s="165">
        <v>1</v>
      </c>
      <c r="AE1655" s="164" t="s">
        <v>187</v>
      </c>
      <c r="AF1655" s="165">
        <v>7.7888148491253801</v>
      </c>
      <c r="AG1655" s="166">
        <v>81.497279471287897</v>
      </c>
      <c r="AO1655" s="121"/>
      <c r="AT1655" s="111"/>
      <c r="AX1655" s="121"/>
    </row>
    <row r="1656" spans="1:50" s="110" customFormat="1" ht="20" customHeight="1">
      <c r="A1656" s="125" t="s">
        <v>231</v>
      </c>
      <c r="B1656" s="126" t="s">
        <v>66</v>
      </c>
      <c r="C1656" s="127">
        <v>17599</v>
      </c>
      <c r="D1656" s="163">
        <v>113030</v>
      </c>
      <c r="E1656" s="164" t="s">
        <v>3930</v>
      </c>
      <c r="F1656" s="164" t="s">
        <v>3930</v>
      </c>
      <c r="G1656" s="165">
        <v>16000</v>
      </c>
      <c r="H1656" s="165">
        <v>1</v>
      </c>
      <c r="I1656" s="164" t="s">
        <v>187</v>
      </c>
      <c r="J1656" s="164" t="s">
        <v>219</v>
      </c>
      <c r="K1656" s="164" t="s">
        <v>220</v>
      </c>
      <c r="L1656" s="165">
        <v>5</v>
      </c>
      <c r="M1656" s="165">
        <v>5</v>
      </c>
      <c r="N1656" s="164" t="s">
        <v>1577</v>
      </c>
      <c r="O1656" s="165">
        <v>0</v>
      </c>
      <c r="P1656" s="165">
        <v>0</v>
      </c>
      <c r="Q1656" s="165">
        <v>21</v>
      </c>
      <c r="R1656" s="164" t="s">
        <v>200</v>
      </c>
      <c r="S1656" s="164" t="s">
        <v>201</v>
      </c>
      <c r="T1656" s="165">
        <v>439</v>
      </c>
      <c r="U1656" s="164" t="s">
        <v>200</v>
      </c>
      <c r="V1656" s="164" t="s">
        <v>3178</v>
      </c>
      <c r="W1656" s="165">
        <v>2</v>
      </c>
      <c r="X1656" s="165">
        <v>4</v>
      </c>
      <c r="Y1656" s="164" t="s">
        <v>203</v>
      </c>
      <c r="Z1656" s="164" t="s">
        <v>195</v>
      </c>
      <c r="AA1656" s="164" t="s">
        <v>196</v>
      </c>
      <c r="AB1656" s="164" t="s">
        <v>187</v>
      </c>
      <c r="AC1656" s="164" t="s">
        <v>187</v>
      </c>
      <c r="AD1656" s="165">
        <v>1</v>
      </c>
      <c r="AE1656" s="164" t="s">
        <v>187</v>
      </c>
      <c r="AF1656" s="165">
        <v>24.904666549685501</v>
      </c>
      <c r="AG1656" s="166">
        <v>67.071914422459599</v>
      </c>
      <c r="AO1656" s="121"/>
      <c r="AT1656" s="111"/>
      <c r="AX1656" s="121"/>
    </row>
    <row r="1657" spans="1:50" s="110" customFormat="1" ht="20" customHeight="1">
      <c r="A1657" s="125" t="s">
        <v>231</v>
      </c>
      <c r="B1657" s="126" t="s">
        <v>66</v>
      </c>
      <c r="C1657" s="127">
        <v>17554</v>
      </c>
      <c r="D1657" s="163">
        <v>112978</v>
      </c>
      <c r="E1657" s="164" t="s">
        <v>3177</v>
      </c>
      <c r="F1657" s="164" t="s">
        <v>3177</v>
      </c>
      <c r="G1657" s="165">
        <v>4900</v>
      </c>
      <c r="H1657" s="165">
        <v>1</v>
      </c>
      <c r="I1657" s="164" t="s">
        <v>187</v>
      </c>
      <c r="J1657" s="164" t="s">
        <v>219</v>
      </c>
      <c r="K1657" s="164" t="s">
        <v>220</v>
      </c>
      <c r="L1657" s="165">
        <v>5</v>
      </c>
      <c r="M1657" s="165">
        <v>5</v>
      </c>
      <c r="N1657" s="164" t="s">
        <v>1577</v>
      </c>
      <c r="O1657" s="165">
        <v>0</v>
      </c>
      <c r="P1657" s="165">
        <v>0</v>
      </c>
      <c r="Q1657" s="165">
        <v>21</v>
      </c>
      <c r="R1657" s="164" t="s">
        <v>200</v>
      </c>
      <c r="S1657" s="164" t="s">
        <v>201</v>
      </c>
      <c r="T1657" s="165">
        <v>439</v>
      </c>
      <c r="U1657" s="164" t="s">
        <v>200</v>
      </c>
      <c r="V1657" s="164" t="s">
        <v>3178</v>
      </c>
      <c r="W1657" s="165">
        <v>2</v>
      </c>
      <c r="X1657" s="165">
        <v>4</v>
      </c>
      <c r="Y1657" s="164" t="s">
        <v>203</v>
      </c>
      <c r="Z1657" s="164" t="s">
        <v>195</v>
      </c>
      <c r="AA1657" s="164" t="s">
        <v>196</v>
      </c>
      <c r="AB1657" s="164" t="s">
        <v>187</v>
      </c>
      <c r="AC1657" s="164" t="s">
        <v>187</v>
      </c>
      <c r="AD1657" s="165">
        <v>1</v>
      </c>
      <c r="AE1657" s="164" t="s">
        <v>187</v>
      </c>
      <c r="AF1657" s="165">
        <v>24.9107873889152</v>
      </c>
      <c r="AG1657" s="166">
        <v>67.072602717586307</v>
      </c>
      <c r="AO1657" s="121"/>
      <c r="AT1657" s="111"/>
      <c r="AX1657" s="121"/>
    </row>
    <row r="1658" spans="1:50" s="110" customFormat="1" ht="20" customHeight="1">
      <c r="A1658" s="125" t="s">
        <v>486</v>
      </c>
      <c r="B1658" s="126" t="s">
        <v>57</v>
      </c>
      <c r="C1658" s="127">
        <v>18786</v>
      </c>
      <c r="D1658" s="163">
        <v>114473</v>
      </c>
      <c r="E1658" s="164" t="s">
        <v>2220</v>
      </c>
      <c r="F1658" s="164" t="s">
        <v>2220</v>
      </c>
      <c r="G1658" s="165">
        <v>132000</v>
      </c>
      <c r="H1658" s="165">
        <v>1</v>
      </c>
      <c r="I1658" s="164" t="s">
        <v>187</v>
      </c>
      <c r="J1658" s="164" t="s">
        <v>198</v>
      </c>
      <c r="K1658" s="164" t="s">
        <v>199</v>
      </c>
      <c r="L1658" s="165">
        <v>5</v>
      </c>
      <c r="M1658" s="165">
        <v>5</v>
      </c>
      <c r="N1658" s="164" t="s">
        <v>1577</v>
      </c>
      <c r="O1658" s="165">
        <v>0</v>
      </c>
      <c r="P1658" s="165">
        <v>0</v>
      </c>
      <c r="Q1658" s="165">
        <v>21</v>
      </c>
      <c r="R1658" s="164" t="s">
        <v>200</v>
      </c>
      <c r="S1658" s="164" t="s">
        <v>201</v>
      </c>
      <c r="T1658" s="165">
        <v>440</v>
      </c>
      <c r="U1658" s="164" t="s">
        <v>200</v>
      </c>
      <c r="V1658" s="164" t="s">
        <v>2221</v>
      </c>
      <c r="W1658" s="165">
        <v>4</v>
      </c>
      <c r="X1658" s="165">
        <v>4</v>
      </c>
      <c r="Y1658" s="164" t="s">
        <v>203</v>
      </c>
      <c r="Z1658" s="164" t="s">
        <v>195</v>
      </c>
      <c r="AA1658" s="164" t="s">
        <v>196</v>
      </c>
      <c r="AB1658" s="164" t="s">
        <v>187</v>
      </c>
      <c r="AC1658" s="164" t="s">
        <v>187</v>
      </c>
      <c r="AD1658" s="165">
        <v>3</v>
      </c>
      <c r="AE1658" s="164" t="s">
        <v>187</v>
      </c>
      <c r="AF1658" s="165">
        <v>24.781763999999999</v>
      </c>
      <c r="AG1658" s="166">
        <v>92.020921000000001</v>
      </c>
      <c r="AO1658" s="121"/>
      <c r="AT1658" s="111"/>
      <c r="AX1658" s="121"/>
    </row>
    <row r="1659" spans="1:50" s="110" customFormat="1" ht="20" customHeight="1">
      <c r="A1659" s="125" t="s">
        <v>231</v>
      </c>
      <c r="B1659" s="126" t="s">
        <v>66</v>
      </c>
      <c r="C1659" s="127">
        <v>18786</v>
      </c>
      <c r="D1659" s="163">
        <v>114473</v>
      </c>
      <c r="E1659" s="164" t="s">
        <v>2220</v>
      </c>
      <c r="F1659" s="164" t="s">
        <v>2220</v>
      </c>
      <c r="G1659" s="165">
        <v>800</v>
      </c>
      <c r="H1659" s="165">
        <v>1</v>
      </c>
      <c r="I1659" s="164" t="s">
        <v>187</v>
      </c>
      <c r="J1659" s="164" t="s">
        <v>219</v>
      </c>
      <c r="K1659" s="164" t="s">
        <v>220</v>
      </c>
      <c r="L1659" s="165">
        <v>5</v>
      </c>
      <c r="M1659" s="165">
        <v>5</v>
      </c>
      <c r="N1659" s="164" t="s">
        <v>1577</v>
      </c>
      <c r="O1659" s="165">
        <v>0</v>
      </c>
      <c r="P1659" s="165">
        <v>0</v>
      </c>
      <c r="Q1659" s="165">
        <v>21</v>
      </c>
      <c r="R1659" s="164" t="s">
        <v>200</v>
      </c>
      <c r="S1659" s="164" t="s">
        <v>201</v>
      </c>
      <c r="T1659" s="165">
        <v>440</v>
      </c>
      <c r="U1659" s="164" t="s">
        <v>200</v>
      </c>
      <c r="V1659" s="164" t="s">
        <v>2221</v>
      </c>
      <c r="W1659" s="165">
        <v>4</v>
      </c>
      <c r="X1659" s="165">
        <v>4</v>
      </c>
      <c r="Y1659" s="164" t="s">
        <v>203</v>
      </c>
      <c r="Z1659" s="164" t="s">
        <v>195</v>
      </c>
      <c r="AA1659" s="164" t="s">
        <v>196</v>
      </c>
      <c r="AB1659" s="164" t="s">
        <v>187</v>
      </c>
      <c r="AC1659" s="164" t="s">
        <v>187</v>
      </c>
      <c r="AD1659" s="165">
        <v>1</v>
      </c>
      <c r="AE1659" s="164" t="s">
        <v>187</v>
      </c>
      <c r="AF1659" s="165">
        <v>25.320570329227699</v>
      </c>
      <c r="AG1659" s="166">
        <v>69.155667717824102</v>
      </c>
      <c r="AO1659" s="121"/>
      <c r="AT1659" s="111"/>
      <c r="AX1659" s="121"/>
    </row>
    <row r="1660" spans="1:50" s="110" customFormat="1" ht="20" customHeight="1">
      <c r="A1660" s="125" t="s">
        <v>486</v>
      </c>
      <c r="B1660" s="126" t="s">
        <v>57</v>
      </c>
      <c r="C1660" s="127">
        <v>17745</v>
      </c>
      <c r="D1660" s="163">
        <v>113203</v>
      </c>
      <c r="E1660" s="164" t="s">
        <v>3064</v>
      </c>
      <c r="F1660" s="164" t="s">
        <v>3064</v>
      </c>
      <c r="G1660" s="165">
        <v>37000</v>
      </c>
      <c r="H1660" s="165">
        <v>1</v>
      </c>
      <c r="I1660" s="164" t="s">
        <v>187</v>
      </c>
      <c r="J1660" s="164" t="s">
        <v>198</v>
      </c>
      <c r="K1660" s="164" t="s">
        <v>199</v>
      </c>
      <c r="L1660" s="165">
        <v>5</v>
      </c>
      <c r="M1660" s="165">
        <v>5</v>
      </c>
      <c r="N1660" s="164" t="s">
        <v>1577</v>
      </c>
      <c r="O1660" s="165">
        <v>0</v>
      </c>
      <c r="P1660" s="165">
        <v>0</v>
      </c>
      <c r="Q1660" s="165">
        <v>21</v>
      </c>
      <c r="R1660" s="164" t="s">
        <v>200</v>
      </c>
      <c r="S1660" s="164" t="s">
        <v>201</v>
      </c>
      <c r="T1660" s="165">
        <v>441</v>
      </c>
      <c r="U1660" s="164" t="s">
        <v>200</v>
      </c>
      <c r="V1660" s="164" t="s">
        <v>3065</v>
      </c>
      <c r="W1660" s="165">
        <v>4</v>
      </c>
      <c r="X1660" s="165">
        <v>4</v>
      </c>
      <c r="Y1660" s="164" t="s">
        <v>203</v>
      </c>
      <c r="Z1660" s="164" t="s">
        <v>195</v>
      </c>
      <c r="AA1660" s="164" t="s">
        <v>196</v>
      </c>
      <c r="AB1660" s="164" t="s">
        <v>187</v>
      </c>
      <c r="AC1660" s="164" t="s">
        <v>187</v>
      </c>
      <c r="AD1660" s="165">
        <v>1</v>
      </c>
      <c r="AE1660" s="164" t="s">
        <v>187</v>
      </c>
      <c r="AF1660" s="165">
        <v>22.9271303329215</v>
      </c>
      <c r="AG1660" s="166">
        <v>89.831294112589902</v>
      </c>
      <c r="AO1660" s="121"/>
      <c r="AT1660" s="111"/>
      <c r="AX1660" s="121"/>
    </row>
    <row r="1661" spans="1:50" s="110" customFormat="1" ht="20" customHeight="1">
      <c r="A1661" s="125" t="s">
        <v>486</v>
      </c>
      <c r="B1661" s="126" t="s">
        <v>57</v>
      </c>
      <c r="C1661" s="127">
        <v>21210</v>
      </c>
      <c r="D1661" s="163">
        <v>118031</v>
      </c>
      <c r="E1661" s="164" t="s">
        <v>3401</v>
      </c>
      <c r="F1661" s="164" t="s">
        <v>3401</v>
      </c>
      <c r="G1661" s="165">
        <v>6900</v>
      </c>
      <c r="H1661" s="165">
        <v>1</v>
      </c>
      <c r="I1661" s="164" t="s">
        <v>187</v>
      </c>
      <c r="J1661" s="164" t="s">
        <v>198</v>
      </c>
      <c r="K1661" s="164" t="s">
        <v>199</v>
      </c>
      <c r="L1661" s="165">
        <v>5</v>
      </c>
      <c r="M1661" s="165">
        <v>5</v>
      </c>
      <c r="N1661" s="164" t="s">
        <v>1577</v>
      </c>
      <c r="O1661" s="165">
        <v>0</v>
      </c>
      <c r="P1661" s="165">
        <v>0</v>
      </c>
      <c r="Q1661" s="165">
        <v>21</v>
      </c>
      <c r="R1661" s="164" t="s">
        <v>200</v>
      </c>
      <c r="S1661" s="164" t="s">
        <v>201</v>
      </c>
      <c r="T1661" s="165">
        <v>441</v>
      </c>
      <c r="U1661" s="164" t="s">
        <v>200</v>
      </c>
      <c r="V1661" s="164" t="s">
        <v>3065</v>
      </c>
      <c r="W1661" s="165">
        <v>2</v>
      </c>
      <c r="X1661" s="165">
        <v>4</v>
      </c>
      <c r="Y1661" s="164" t="s">
        <v>203</v>
      </c>
      <c r="Z1661" s="164" t="s">
        <v>195</v>
      </c>
      <c r="AA1661" s="164" t="s">
        <v>196</v>
      </c>
      <c r="AB1661" s="164" t="s">
        <v>187</v>
      </c>
      <c r="AC1661" s="164" t="s">
        <v>187</v>
      </c>
      <c r="AD1661" s="165">
        <v>1</v>
      </c>
      <c r="AE1661" s="164" t="s">
        <v>187</v>
      </c>
      <c r="AF1661" s="165">
        <v>22.4338262507213</v>
      </c>
      <c r="AG1661" s="166">
        <v>89.491812447184003</v>
      </c>
      <c r="AO1661" s="121"/>
      <c r="AT1661" s="111"/>
      <c r="AX1661" s="121"/>
    </row>
    <row r="1662" spans="1:50" s="110" customFormat="1" ht="20" customHeight="1">
      <c r="A1662" s="125" t="s">
        <v>231</v>
      </c>
      <c r="B1662" s="126" t="s">
        <v>66</v>
      </c>
      <c r="C1662" s="127">
        <v>17745</v>
      </c>
      <c r="D1662" s="163">
        <v>113203</v>
      </c>
      <c r="E1662" s="164" t="s">
        <v>3064</v>
      </c>
      <c r="F1662" s="164" t="s">
        <v>3064</v>
      </c>
      <c r="G1662" s="165">
        <v>4100</v>
      </c>
      <c r="H1662" s="165">
        <v>1</v>
      </c>
      <c r="I1662" s="164" t="s">
        <v>187</v>
      </c>
      <c r="J1662" s="164" t="s">
        <v>219</v>
      </c>
      <c r="K1662" s="164" t="s">
        <v>220</v>
      </c>
      <c r="L1662" s="165">
        <v>5</v>
      </c>
      <c r="M1662" s="165">
        <v>5</v>
      </c>
      <c r="N1662" s="164" t="s">
        <v>1577</v>
      </c>
      <c r="O1662" s="165">
        <v>0</v>
      </c>
      <c r="P1662" s="165">
        <v>0</v>
      </c>
      <c r="Q1662" s="165">
        <v>21</v>
      </c>
      <c r="R1662" s="164" t="s">
        <v>200</v>
      </c>
      <c r="S1662" s="164" t="s">
        <v>201</v>
      </c>
      <c r="T1662" s="165">
        <v>441</v>
      </c>
      <c r="U1662" s="164" t="s">
        <v>200</v>
      </c>
      <c r="V1662" s="164" t="s">
        <v>3065</v>
      </c>
      <c r="W1662" s="165">
        <v>4</v>
      </c>
      <c r="X1662" s="165">
        <v>4</v>
      </c>
      <c r="Y1662" s="164" t="s">
        <v>203</v>
      </c>
      <c r="Z1662" s="164" t="s">
        <v>195</v>
      </c>
      <c r="AA1662" s="164" t="s">
        <v>196</v>
      </c>
      <c r="AB1662" s="164" t="s">
        <v>187</v>
      </c>
      <c r="AC1662" s="164" t="s">
        <v>187</v>
      </c>
      <c r="AD1662" s="165">
        <v>1</v>
      </c>
      <c r="AE1662" s="164" t="s">
        <v>187</v>
      </c>
      <c r="AF1662" s="165">
        <v>27.556388481837399</v>
      </c>
      <c r="AG1662" s="166">
        <v>69.117906131644304</v>
      </c>
      <c r="AO1662" s="121"/>
      <c r="AT1662" s="111"/>
      <c r="AX1662" s="121"/>
    </row>
    <row r="1663" spans="1:50" s="110" customFormat="1" ht="20" customHeight="1">
      <c r="A1663" s="125" t="s">
        <v>486</v>
      </c>
      <c r="B1663" s="126" t="s">
        <v>57</v>
      </c>
      <c r="C1663" s="127">
        <v>18190</v>
      </c>
      <c r="D1663" s="163">
        <v>113705</v>
      </c>
      <c r="E1663" s="164" t="s">
        <v>4830</v>
      </c>
      <c r="F1663" s="164" t="s">
        <v>4830</v>
      </c>
      <c r="G1663" s="165">
        <v>629000</v>
      </c>
      <c r="H1663" s="165">
        <v>1</v>
      </c>
      <c r="I1663" s="164" t="s">
        <v>187</v>
      </c>
      <c r="J1663" s="164" t="s">
        <v>198</v>
      </c>
      <c r="K1663" s="164" t="s">
        <v>199</v>
      </c>
      <c r="L1663" s="165">
        <v>5</v>
      </c>
      <c r="M1663" s="165">
        <v>5</v>
      </c>
      <c r="N1663" s="164" t="s">
        <v>1577</v>
      </c>
      <c r="O1663" s="165">
        <v>0</v>
      </c>
      <c r="P1663" s="165">
        <v>0</v>
      </c>
      <c r="Q1663" s="165">
        <v>21</v>
      </c>
      <c r="R1663" s="164" t="s">
        <v>200</v>
      </c>
      <c r="S1663" s="164" t="s">
        <v>201</v>
      </c>
      <c r="T1663" s="165">
        <v>442</v>
      </c>
      <c r="U1663" s="164" t="s">
        <v>200</v>
      </c>
      <c r="V1663" s="164" t="s">
        <v>720</v>
      </c>
      <c r="W1663" s="165">
        <v>3</v>
      </c>
      <c r="X1663" s="165">
        <v>4</v>
      </c>
      <c r="Y1663" s="164" t="s">
        <v>203</v>
      </c>
      <c r="Z1663" s="164" t="s">
        <v>195</v>
      </c>
      <c r="AA1663" s="164" t="s">
        <v>196</v>
      </c>
      <c r="AB1663" s="164" t="s">
        <v>187</v>
      </c>
      <c r="AC1663" s="164" t="s">
        <v>187</v>
      </c>
      <c r="AD1663" s="165">
        <v>13</v>
      </c>
      <c r="AE1663" s="164" t="s">
        <v>187</v>
      </c>
      <c r="AF1663" s="165">
        <v>25.057285034460602</v>
      </c>
      <c r="AG1663" s="166">
        <v>89.564607212685999</v>
      </c>
      <c r="AO1663" s="121"/>
      <c r="AT1663" s="111"/>
      <c r="AX1663" s="121"/>
    </row>
    <row r="1664" spans="1:50" s="110" customFormat="1" ht="20" customHeight="1">
      <c r="A1664" s="125" t="s">
        <v>486</v>
      </c>
      <c r="B1664" s="126" t="s">
        <v>57</v>
      </c>
      <c r="C1664" s="127">
        <v>17019</v>
      </c>
      <c r="D1664" s="163">
        <v>112352</v>
      </c>
      <c r="E1664" s="164" t="s">
        <v>4825</v>
      </c>
      <c r="F1664" s="164" t="s">
        <v>4825</v>
      </c>
      <c r="G1664" s="165">
        <v>591000</v>
      </c>
      <c r="H1664" s="165">
        <v>1</v>
      </c>
      <c r="I1664" s="164" t="s">
        <v>187</v>
      </c>
      <c r="J1664" s="164" t="s">
        <v>198</v>
      </c>
      <c r="K1664" s="164" t="s">
        <v>199</v>
      </c>
      <c r="L1664" s="165">
        <v>5</v>
      </c>
      <c r="M1664" s="165">
        <v>5</v>
      </c>
      <c r="N1664" s="164" t="s">
        <v>1577</v>
      </c>
      <c r="O1664" s="165">
        <v>0.09</v>
      </c>
      <c r="P1664" s="168"/>
      <c r="Q1664" s="165">
        <v>21</v>
      </c>
      <c r="R1664" s="164" t="s">
        <v>200</v>
      </c>
      <c r="S1664" s="164" t="s">
        <v>201</v>
      </c>
      <c r="T1664" s="165">
        <v>442</v>
      </c>
      <c r="U1664" s="164" t="s">
        <v>200</v>
      </c>
      <c r="V1664" s="164" t="s">
        <v>720</v>
      </c>
      <c r="W1664" s="165">
        <v>4</v>
      </c>
      <c r="X1664" s="165">
        <v>4</v>
      </c>
      <c r="Y1664" s="164" t="s">
        <v>203</v>
      </c>
      <c r="Z1664" s="164" t="s">
        <v>195</v>
      </c>
      <c r="AA1664" s="164" t="s">
        <v>196</v>
      </c>
      <c r="AB1664" s="164" t="s">
        <v>187</v>
      </c>
      <c r="AC1664" s="164" t="s">
        <v>187</v>
      </c>
      <c r="AD1664" s="165">
        <v>12</v>
      </c>
      <c r="AE1664" s="164" t="s">
        <v>187</v>
      </c>
      <c r="AF1664" s="165">
        <v>22.678568117808101</v>
      </c>
      <c r="AG1664" s="166">
        <v>92.097892678876207</v>
      </c>
      <c r="AO1664" s="121"/>
      <c r="AT1664" s="111"/>
      <c r="AX1664" s="121"/>
    </row>
    <row r="1665" spans="1:50" s="110" customFormat="1" ht="20" customHeight="1">
      <c r="A1665" s="125" t="s">
        <v>486</v>
      </c>
      <c r="B1665" s="126" t="s">
        <v>57</v>
      </c>
      <c r="C1665" s="127">
        <v>21257</v>
      </c>
      <c r="D1665" s="163">
        <v>118080</v>
      </c>
      <c r="E1665" s="164" t="s">
        <v>4794</v>
      </c>
      <c r="F1665" s="164" t="s">
        <v>4794</v>
      </c>
      <c r="G1665" s="165">
        <v>298000</v>
      </c>
      <c r="H1665" s="165">
        <v>1</v>
      </c>
      <c r="I1665" s="164" t="s">
        <v>187</v>
      </c>
      <c r="J1665" s="164" t="s">
        <v>198</v>
      </c>
      <c r="K1665" s="164" t="s">
        <v>199</v>
      </c>
      <c r="L1665" s="165">
        <v>5</v>
      </c>
      <c r="M1665" s="165">
        <v>5</v>
      </c>
      <c r="N1665" s="164" t="s">
        <v>1577</v>
      </c>
      <c r="O1665" s="165">
        <v>0</v>
      </c>
      <c r="P1665" s="165">
        <v>0</v>
      </c>
      <c r="Q1665" s="165">
        <v>21</v>
      </c>
      <c r="R1665" s="164" t="s">
        <v>200</v>
      </c>
      <c r="S1665" s="164" t="s">
        <v>201</v>
      </c>
      <c r="T1665" s="165">
        <v>442</v>
      </c>
      <c r="U1665" s="164" t="s">
        <v>200</v>
      </c>
      <c r="V1665" s="164" t="s">
        <v>720</v>
      </c>
      <c r="W1665" s="165">
        <v>2</v>
      </c>
      <c r="X1665" s="165">
        <v>4</v>
      </c>
      <c r="Y1665" s="164" t="s">
        <v>203</v>
      </c>
      <c r="Z1665" s="164" t="s">
        <v>195</v>
      </c>
      <c r="AA1665" s="164" t="s">
        <v>196</v>
      </c>
      <c r="AB1665" s="164" t="s">
        <v>187</v>
      </c>
      <c r="AC1665" s="164" t="s">
        <v>187</v>
      </c>
      <c r="AD1665" s="165">
        <v>6</v>
      </c>
      <c r="AE1665" s="164" t="s">
        <v>187</v>
      </c>
      <c r="AF1665" s="165">
        <v>23.444385930216001</v>
      </c>
      <c r="AG1665" s="166">
        <v>91.076229966564199</v>
      </c>
      <c r="AO1665" s="121"/>
      <c r="AT1665" s="111"/>
      <c r="AX1665" s="121"/>
    </row>
    <row r="1666" spans="1:50" s="110" customFormat="1" ht="20" customHeight="1">
      <c r="A1666" s="125" t="s">
        <v>486</v>
      </c>
      <c r="B1666" s="126" t="s">
        <v>57</v>
      </c>
      <c r="C1666" s="127">
        <v>17639</v>
      </c>
      <c r="D1666" s="163">
        <v>113075</v>
      </c>
      <c r="E1666" s="164" t="s">
        <v>4790</v>
      </c>
      <c r="F1666" s="164" t="s">
        <v>4790</v>
      </c>
      <c r="G1666" s="165">
        <v>277000</v>
      </c>
      <c r="H1666" s="165">
        <v>1</v>
      </c>
      <c r="I1666" s="164" t="s">
        <v>187</v>
      </c>
      <c r="J1666" s="164" t="s">
        <v>198</v>
      </c>
      <c r="K1666" s="164" t="s">
        <v>199</v>
      </c>
      <c r="L1666" s="165">
        <v>5</v>
      </c>
      <c r="M1666" s="165">
        <v>5</v>
      </c>
      <c r="N1666" s="164" t="s">
        <v>1577</v>
      </c>
      <c r="O1666" s="165">
        <v>0</v>
      </c>
      <c r="P1666" s="165">
        <v>0</v>
      </c>
      <c r="Q1666" s="165">
        <v>21</v>
      </c>
      <c r="R1666" s="164" t="s">
        <v>200</v>
      </c>
      <c r="S1666" s="164" t="s">
        <v>201</v>
      </c>
      <c r="T1666" s="165">
        <v>442</v>
      </c>
      <c r="U1666" s="164" t="s">
        <v>200</v>
      </c>
      <c r="V1666" s="164" t="s">
        <v>720</v>
      </c>
      <c r="W1666" s="165">
        <v>2</v>
      </c>
      <c r="X1666" s="165">
        <v>4</v>
      </c>
      <c r="Y1666" s="164" t="s">
        <v>203</v>
      </c>
      <c r="Z1666" s="164" t="s">
        <v>195</v>
      </c>
      <c r="AA1666" s="164" t="s">
        <v>196</v>
      </c>
      <c r="AB1666" s="164" t="s">
        <v>187</v>
      </c>
      <c r="AC1666" s="164" t="s">
        <v>187</v>
      </c>
      <c r="AD1666" s="165">
        <v>6</v>
      </c>
      <c r="AE1666" s="164" t="s">
        <v>187</v>
      </c>
      <c r="AF1666" s="165">
        <v>25.698181940941499</v>
      </c>
      <c r="AG1666" s="166">
        <v>89.416210081460093</v>
      </c>
      <c r="AO1666" s="121"/>
      <c r="AT1666" s="111"/>
      <c r="AX1666" s="121"/>
    </row>
    <row r="1667" spans="1:50" s="110" customFormat="1" ht="20" customHeight="1">
      <c r="A1667" s="125" t="s">
        <v>486</v>
      </c>
      <c r="B1667" s="126" t="s">
        <v>57</v>
      </c>
      <c r="C1667" s="127">
        <v>18210</v>
      </c>
      <c r="D1667" s="163">
        <v>113730</v>
      </c>
      <c r="E1667" s="164" t="s">
        <v>4761</v>
      </c>
      <c r="F1667" s="164" t="s">
        <v>4761</v>
      </c>
      <c r="G1667" s="165">
        <v>229000</v>
      </c>
      <c r="H1667" s="165">
        <v>1</v>
      </c>
      <c r="I1667" s="164" t="s">
        <v>187</v>
      </c>
      <c r="J1667" s="164" t="s">
        <v>198</v>
      </c>
      <c r="K1667" s="164" t="s">
        <v>199</v>
      </c>
      <c r="L1667" s="165">
        <v>5</v>
      </c>
      <c r="M1667" s="165">
        <v>5</v>
      </c>
      <c r="N1667" s="164" t="s">
        <v>1577</v>
      </c>
      <c r="O1667" s="165">
        <v>0</v>
      </c>
      <c r="P1667" s="165">
        <v>0</v>
      </c>
      <c r="Q1667" s="165">
        <v>21</v>
      </c>
      <c r="R1667" s="164" t="s">
        <v>200</v>
      </c>
      <c r="S1667" s="164" t="s">
        <v>201</v>
      </c>
      <c r="T1667" s="165">
        <v>442</v>
      </c>
      <c r="U1667" s="164" t="s">
        <v>200</v>
      </c>
      <c r="V1667" s="164" t="s">
        <v>720</v>
      </c>
      <c r="W1667" s="165">
        <v>3</v>
      </c>
      <c r="X1667" s="165">
        <v>4</v>
      </c>
      <c r="Y1667" s="164" t="s">
        <v>203</v>
      </c>
      <c r="Z1667" s="164" t="s">
        <v>195</v>
      </c>
      <c r="AA1667" s="164" t="s">
        <v>196</v>
      </c>
      <c r="AB1667" s="164" t="s">
        <v>187</v>
      </c>
      <c r="AC1667" s="164" t="s">
        <v>187</v>
      </c>
      <c r="AD1667" s="165">
        <v>5</v>
      </c>
      <c r="AE1667" s="164" t="s">
        <v>187</v>
      </c>
      <c r="AF1667" s="165">
        <v>24.304753403745401</v>
      </c>
      <c r="AG1667" s="166">
        <v>90.462348443188603</v>
      </c>
      <c r="AO1667" s="121"/>
      <c r="AT1667" s="111"/>
      <c r="AX1667" s="121"/>
    </row>
    <row r="1668" spans="1:50" s="110" customFormat="1" ht="20" customHeight="1">
      <c r="A1668" s="125" t="s">
        <v>486</v>
      </c>
      <c r="B1668" s="126" t="s">
        <v>57</v>
      </c>
      <c r="C1668" s="127">
        <v>16297</v>
      </c>
      <c r="D1668" s="163">
        <v>111424</v>
      </c>
      <c r="E1668" s="164" t="s">
        <v>4751</v>
      </c>
      <c r="F1668" s="164" t="s">
        <v>4751</v>
      </c>
      <c r="G1668" s="165">
        <v>209000</v>
      </c>
      <c r="H1668" s="165">
        <v>1</v>
      </c>
      <c r="I1668" s="164" t="s">
        <v>187</v>
      </c>
      <c r="J1668" s="164" t="s">
        <v>198</v>
      </c>
      <c r="K1668" s="164" t="s">
        <v>199</v>
      </c>
      <c r="L1668" s="165">
        <v>5</v>
      </c>
      <c r="M1668" s="165">
        <v>5</v>
      </c>
      <c r="N1668" s="164" t="s">
        <v>1577</v>
      </c>
      <c r="O1668" s="165">
        <v>0</v>
      </c>
      <c r="P1668" s="165">
        <v>0</v>
      </c>
      <c r="Q1668" s="165">
        <v>21</v>
      </c>
      <c r="R1668" s="164" t="s">
        <v>200</v>
      </c>
      <c r="S1668" s="164" t="s">
        <v>201</v>
      </c>
      <c r="T1668" s="165">
        <v>442</v>
      </c>
      <c r="U1668" s="164" t="s">
        <v>200</v>
      </c>
      <c r="V1668" s="164" t="s">
        <v>720</v>
      </c>
      <c r="W1668" s="165">
        <v>3</v>
      </c>
      <c r="X1668" s="165">
        <v>4</v>
      </c>
      <c r="Y1668" s="164" t="s">
        <v>203</v>
      </c>
      <c r="Z1668" s="164" t="s">
        <v>195</v>
      </c>
      <c r="AA1668" s="164" t="s">
        <v>196</v>
      </c>
      <c r="AB1668" s="164" t="s">
        <v>187</v>
      </c>
      <c r="AC1668" s="164" t="s">
        <v>187</v>
      </c>
      <c r="AD1668" s="165">
        <v>4</v>
      </c>
      <c r="AE1668" s="164" t="s">
        <v>187</v>
      </c>
      <c r="AF1668" s="165">
        <v>25.7570356963211</v>
      </c>
      <c r="AG1668" s="166">
        <v>89.255234191775898</v>
      </c>
      <c r="AO1668" s="121"/>
      <c r="AT1668" s="111"/>
      <c r="AX1668" s="121"/>
    </row>
    <row r="1669" spans="1:50" s="110" customFormat="1" ht="20" customHeight="1">
      <c r="A1669" s="125" t="s">
        <v>486</v>
      </c>
      <c r="B1669" s="126" t="s">
        <v>57</v>
      </c>
      <c r="C1669" s="127">
        <v>18194</v>
      </c>
      <c r="D1669" s="163">
        <v>113709</v>
      </c>
      <c r="E1669" s="164" t="s">
        <v>4749</v>
      </c>
      <c r="F1669" s="164" t="s">
        <v>4749</v>
      </c>
      <c r="G1669" s="165">
        <v>208000</v>
      </c>
      <c r="H1669" s="165">
        <v>1</v>
      </c>
      <c r="I1669" s="164" t="s">
        <v>187</v>
      </c>
      <c r="J1669" s="164" t="s">
        <v>198</v>
      </c>
      <c r="K1669" s="164" t="s">
        <v>199</v>
      </c>
      <c r="L1669" s="165">
        <v>5</v>
      </c>
      <c r="M1669" s="165">
        <v>5</v>
      </c>
      <c r="N1669" s="164" t="s">
        <v>1577</v>
      </c>
      <c r="O1669" s="165">
        <v>0</v>
      </c>
      <c r="P1669" s="165">
        <v>0</v>
      </c>
      <c r="Q1669" s="165">
        <v>21</v>
      </c>
      <c r="R1669" s="164" t="s">
        <v>200</v>
      </c>
      <c r="S1669" s="164" t="s">
        <v>201</v>
      </c>
      <c r="T1669" s="165">
        <v>442</v>
      </c>
      <c r="U1669" s="164" t="s">
        <v>200</v>
      </c>
      <c r="V1669" s="164" t="s">
        <v>720</v>
      </c>
      <c r="W1669" s="165">
        <v>3</v>
      </c>
      <c r="X1669" s="165">
        <v>4</v>
      </c>
      <c r="Y1669" s="164" t="s">
        <v>203</v>
      </c>
      <c r="Z1669" s="164" t="s">
        <v>195</v>
      </c>
      <c r="AA1669" s="164" t="s">
        <v>196</v>
      </c>
      <c r="AB1669" s="164" t="s">
        <v>187</v>
      </c>
      <c r="AC1669" s="164" t="s">
        <v>187</v>
      </c>
      <c r="AD1669" s="165">
        <v>4</v>
      </c>
      <c r="AE1669" s="164" t="s">
        <v>187</v>
      </c>
      <c r="AF1669" s="165">
        <v>24.325915999999999</v>
      </c>
      <c r="AG1669" s="166">
        <v>89.689120000000003</v>
      </c>
      <c r="AO1669" s="121"/>
      <c r="AT1669" s="111"/>
      <c r="AX1669" s="121"/>
    </row>
    <row r="1670" spans="1:50" s="110" customFormat="1" ht="20" customHeight="1">
      <c r="A1670" s="125" t="s">
        <v>486</v>
      </c>
      <c r="B1670" s="126" t="s">
        <v>57</v>
      </c>
      <c r="C1670" s="127">
        <v>17087</v>
      </c>
      <c r="D1670" s="163">
        <v>112427</v>
      </c>
      <c r="E1670" s="164" t="s">
        <v>4744</v>
      </c>
      <c r="F1670" s="164" t="s">
        <v>4744</v>
      </c>
      <c r="G1670" s="165">
        <v>203000</v>
      </c>
      <c r="H1670" s="165">
        <v>1</v>
      </c>
      <c r="I1670" s="164" t="s">
        <v>187</v>
      </c>
      <c r="J1670" s="164" t="s">
        <v>198</v>
      </c>
      <c r="K1670" s="164" t="s">
        <v>199</v>
      </c>
      <c r="L1670" s="165">
        <v>5</v>
      </c>
      <c r="M1670" s="165">
        <v>5</v>
      </c>
      <c r="N1670" s="164" t="s">
        <v>1577</v>
      </c>
      <c r="O1670" s="165">
        <v>0</v>
      </c>
      <c r="P1670" s="165">
        <v>0</v>
      </c>
      <c r="Q1670" s="165">
        <v>21</v>
      </c>
      <c r="R1670" s="164" t="s">
        <v>200</v>
      </c>
      <c r="S1670" s="164" t="s">
        <v>201</v>
      </c>
      <c r="T1670" s="165">
        <v>442</v>
      </c>
      <c r="U1670" s="164" t="s">
        <v>200</v>
      </c>
      <c r="V1670" s="164" t="s">
        <v>720</v>
      </c>
      <c r="W1670" s="165">
        <v>2</v>
      </c>
      <c r="X1670" s="165">
        <v>4</v>
      </c>
      <c r="Y1670" s="164" t="s">
        <v>203</v>
      </c>
      <c r="Z1670" s="164" t="s">
        <v>195</v>
      </c>
      <c r="AA1670" s="164" t="s">
        <v>196</v>
      </c>
      <c r="AB1670" s="164" t="s">
        <v>187</v>
      </c>
      <c r="AC1670" s="164" t="s">
        <v>187</v>
      </c>
      <c r="AD1670" s="165">
        <v>4</v>
      </c>
      <c r="AE1670" s="164" t="s">
        <v>187</v>
      </c>
      <c r="AF1670" s="165">
        <v>24.383556796606399</v>
      </c>
      <c r="AG1670" s="166">
        <v>90.496571276034103</v>
      </c>
      <c r="AO1670" s="121"/>
      <c r="AT1670" s="111"/>
      <c r="AX1670" s="121"/>
    </row>
    <row r="1671" spans="1:50" s="110" customFormat="1" ht="20" customHeight="1">
      <c r="A1671" s="125" t="s">
        <v>486</v>
      </c>
      <c r="B1671" s="126" t="s">
        <v>57</v>
      </c>
      <c r="C1671" s="127">
        <v>16709</v>
      </c>
      <c r="D1671" s="163">
        <v>111944</v>
      </c>
      <c r="E1671" s="164" t="s">
        <v>2961</v>
      </c>
      <c r="F1671" s="164" t="s">
        <v>2961</v>
      </c>
      <c r="G1671" s="165">
        <v>189000</v>
      </c>
      <c r="H1671" s="165">
        <v>1</v>
      </c>
      <c r="I1671" s="164" t="s">
        <v>187</v>
      </c>
      <c r="J1671" s="164" t="s">
        <v>198</v>
      </c>
      <c r="K1671" s="164" t="s">
        <v>199</v>
      </c>
      <c r="L1671" s="165">
        <v>5</v>
      </c>
      <c r="M1671" s="165">
        <v>5</v>
      </c>
      <c r="N1671" s="164" t="s">
        <v>1577</v>
      </c>
      <c r="O1671" s="165">
        <v>0</v>
      </c>
      <c r="P1671" s="165">
        <v>0</v>
      </c>
      <c r="Q1671" s="165">
        <v>21</v>
      </c>
      <c r="R1671" s="164" t="s">
        <v>200</v>
      </c>
      <c r="S1671" s="164" t="s">
        <v>201</v>
      </c>
      <c r="T1671" s="165">
        <v>442</v>
      </c>
      <c r="U1671" s="164" t="s">
        <v>200</v>
      </c>
      <c r="V1671" s="164" t="s">
        <v>720</v>
      </c>
      <c r="W1671" s="165">
        <v>5</v>
      </c>
      <c r="X1671" s="165">
        <v>4</v>
      </c>
      <c r="Y1671" s="164" t="s">
        <v>203</v>
      </c>
      <c r="Z1671" s="164" t="s">
        <v>195</v>
      </c>
      <c r="AA1671" s="164" t="s">
        <v>196</v>
      </c>
      <c r="AB1671" s="164" t="s">
        <v>187</v>
      </c>
      <c r="AC1671" s="164" t="s">
        <v>187</v>
      </c>
      <c r="AD1671" s="165">
        <v>4</v>
      </c>
      <c r="AE1671" s="164" t="s">
        <v>187</v>
      </c>
      <c r="AF1671" s="165">
        <v>22.990127098455002</v>
      </c>
      <c r="AG1671" s="166">
        <v>91.269428992087995</v>
      </c>
      <c r="AO1671" s="121"/>
      <c r="AT1671" s="111"/>
      <c r="AX1671" s="121"/>
    </row>
    <row r="1672" spans="1:50" s="110" customFormat="1" ht="20" customHeight="1">
      <c r="A1672" s="125" t="s">
        <v>486</v>
      </c>
      <c r="B1672" s="126" t="s">
        <v>57</v>
      </c>
      <c r="C1672" s="127">
        <v>17379</v>
      </c>
      <c r="D1672" s="163">
        <v>112774</v>
      </c>
      <c r="E1672" s="164" t="s">
        <v>2293</v>
      </c>
      <c r="F1672" s="164" t="s">
        <v>2293</v>
      </c>
      <c r="G1672" s="165">
        <v>189000</v>
      </c>
      <c r="H1672" s="165">
        <v>1</v>
      </c>
      <c r="I1672" s="164" t="s">
        <v>187</v>
      </c>
      <c r="J1672" s="164" t="s">
        <v>198</v>
      </c>
      <c r="K1672" s="164" t="s">
        <v>199</v>
      </c>
      <c r="L1672" s="165">
        <v>5</v>
      </c>
      <c r="M1672" s="165">
        <v>5</v>
      </c>
      <c r="N1672" s="164" t="s">
        <v>1577</v>
      </c>
      <c r="O1672" s="165">
        <v>0</v>
      </c>
      <c r="P1672" s="165">
        <v>0</v>
      </c>
      <c r="Q1672" s="165">
        <v>21</v>
      </c>
      <c r="R1672" s="164" t="s">
        <v>200</v>
      </c>
      <c r="S1672" s="164" t="s">
        <v>201</v>
      </c>
      <c r="T1672" s="165">
        <v>442</v>
      </c>
      <c r="U1672" s="164" t="s">
        <v>200</v>
      </c>
      <c r="V1672" s="164" t="s">
        <v>720</v>
      </c>
      <c r="W1672" s="165">
        <v>5</v>
      </c>
      <c r="X1672" s="165">
        <v>4</v>
      </c>
      <c r="Y1672" s="164" t="s">
        <v>203</v>
      </c>
      <c r="Z1672" s="164" t="s">
        <v>195</v>
      </c>
      <c r="AA1672" s="164" t="s">
        <v>196</v>
      </c>
      <c r="AB1672" s="164" t="s">
        <v>187</v>
      </c>
      <c r="AC1672" s="164" t="s">
        <v>187</v>
      </c>
      <c r="AD1672" s="165">
        <v>4</v>
      </c>
      <c r="AE1672" s="164" t="s">
        <v>187</v>
      </c>
      <c r="AF1672" s="165">
        <v>24.374134261316801</v>
      </c>
      <c r="AG1672" s="166">
        <v>90.349812265076807</v>
      </c>
      <c r="AO1672" s="121"/>
      <c r="AT1672" s="111"/>
      <c r="AX1672" s="121"/>
    </row>
    <row r="1673" spans="1:50" s="110" customFormat="1" ht="20" customHeight="1">
      <c r="A1673" s="125" t="s">
        <v>486</v>
      </c>
      <c r="B1673" s="126" t="s">
        <v>57</v>
      </c>
      <c r="C1673" s="127">
        <v>16295</v>
      </c>
      <c r="D1673" s="163">
        <v>111421</v>
      </c>
      <c r="E1673" s="164" t="s">
        <v>4672</v>
      </c>
      <c r="F1673" s="164" t="s">
        <v>4672</v>
      </c>
      <c r="G1673" s="165">
        <v>127000</v>
      </c>
      <c r="H1673" s="165">
        <v>1</v>
      </c>
      <c r="I1673" s="164" t="s">
        <v>187</v>
      </c>
      <c r="J1673" s="164" t="s">
        <v>198</v>
      </c>
      <c r="K1673" s="164" t="s">
        <v>199</v>
      </c>
      <c r="L1673" s="165">
        <v>5</v>
      </c>
      <c r="M1673" s="165">
        <v>5</v>
      </c>
      <c r="N1673" s="164" t="s">
        <v>1577</v>
      </c>
      <c r="O1673" s="165">
        <v>6.9000000000000006E-2</v>
      </c>
      <c r="P1673" s="168"/>
      <c r="Q1673" s="165">
        <v>21</v>
      </c>
      <c r="R1673" s="164" t="s">
        <v>200</v>
      </c>
      <c r="S1673" s="164" t="s">
        <v>201</v>
      </c>
      <c r="T1673" s="165">
        <v>442</v>
      </c>
      <c r="U1673" s="164" t="s">
        <v>200</v>
      </c>
      <c r="V1673" s="164" t="s">
        <v>720</v>
      </c>
      <c r="W1673" s="165">
        <v>2</v>
      </c>
      <c r="X1673" s="165">
        <v>4</v>
      </c>
      <c r="Y1673" s="164" t="s">
        <v>203</v>
      </c>
      <c r="Z1673" s="164" t="s">
        <v>195</v>
      </c>
      <c r="AA1673" s="164" t="s">
        <v>196</v>
      </c>
      <c r="AB1673" s="164" t="s">
        <v>187</v>
      </c>
      <c r="AC1673" s="164" t="s">
        <v>187</v>
      </c>
      <c r="AD1673" s="165">
        <v>3</v>
      </c>
      <c r="AE1673" s="164" t="s">
        <v>187</v>
      </c>
      <c r="AF1673" s="165">
        <v>22.691228455563799</v>
      </c>
      <c r="AG1673" s="166">
        <v>92.254212646906893</v>
      </c>
      <c r="AO1673" s="121"/>
      <c r="AT1673" s="111"/>
      <c r="AX1673" s="121"/>
    </row>
    <row r="1674" spans="1:50" s="110" customFormat="1" ht="20" customHeight="1">
      <c r="A1674" s="125" t="s">
        <v>486</v>
      </c>
      <c r="B1674" s="126" t="s">
        <v>57</v>
      </c>
      <c r="C1674" s="127">
        <v>16541</v>
      </c>
      <c r="D1674" s="163">
        <v>111726</v>
      </c>
      <c r="E1674" s="164" t="s">
        <v>4594</v>
      </c>
      <c r="F1674" s="164" t="s">
        <v>4594</v>
      </c>
      <c r="G1674" s="165">
        <v>98000</v>
      </c>
      <c r="H1674" s="165">
        <v>1</v>
      </c>
      <c r="I1674" s="164" t="s">
        <v>187</v>
      </c>
      <c r="J1674" s="164" t="s">
        <v>198</v>
      </c>
      <c r="K1674" s="164" t="s">
        <v>199</v>
      </c>
      <c r="L1674" s="165">
        <v>5</v>
      </c>
      <c r="M1674" s="165">
        <v>5</v>
      </c>
      <c r="N1674" s="164" t="s">
        <v>1577</v>
      </c>
      <c r="O1674" s="165">
        <v>0</v>
      </c>
      <c r="P1674" s="165">
        <v>0</v>
      </c>
      <c r="Q1674" s="165">
        <v>21</v>
      </c>
      <c r="R1674" s="164" t="s">
        <v>200</v>
      </c>
      <c r="S1674" s="164" t="s">
        <v>201</v>
      </c>
      <c r="T1674" s="165">
        <v>442</v>
      </c>
      <c r="U1674" s="164" t="s">
        <v>200</v>
      </c>
      <c r="V1674" s="164" t="s">
        <v>720</v>
      </c>
      <c r="W1674" s="165">
        <v>2</v>
      </c>
      <c r="X1674" s="165">
        <v>4</v>
      </c>
      <c r="Y1674" s="164" t="s">
        <v>203</v>
      </c>
      <c r="Z1674" s="164" t="s">
        <v>195</v>
      </c>
      <c r="AA1674" s="164" t="s">
        <v>196</v>
      </c>
      <c r="AB1674" s="164" t="s">
        <v>187</v>
      </c>
      <c r="AC1674" s="164" t="s">
        <v>187</v>
      </c>
      <c r="AD1674" s="165">
        <v>2</v>
      </c>
      <c r="AE1674" s="164" t="s">
        <v>187</v>
      </c>
      <c r="AF1674" s="165">
        <v>24.287839000000002</v>
      </c>
      <c r="AG1674" s="166">
        <v>89.909927999999994</v>
      </c>
      <c r="AO1674" s="121"/>
      <c r="AT1674" s="111"/>
      <c r="AX1674" s="121"/>
    </row>
    <row r="1675" spans="1:50" s="110" customFormat="1" ht="20" customHeight="1">
      <c r="A1675" s="125" t="s">
        <v>486</v>
      </c>
      <c r="B1675" s="126" t="s">
        <v>57</v>
      </c>
      <c r="C1675" s="127">
        <v>18217</v>
      </c>
      <c r="D1675" s="163">
        <v>113743</v>
      </c>
      <c r="E1675" s="164" t="s">
        <v>4590</v>
      </c>
      <c r="F1675" s="164" t="s">
        <v>4590</v>
      </c>
      <c r="G1675" s="165">
        <v>94000</v>
      </c>
      <c r="H1675" s="165">
        <v>1</v>
      </c>
      <c r="I1675" s="164" t="s">
        <v>187</v>
      </c>
      <c r="J1675" s="164" t="s">
        <v>198</v>
      </c>
      <c r="K1675" s="164" t="s">
        <v>199</v>
      </c>
      <c r="L1675" s="165">
        <v>5</v>
      </c>
      <c r="M1675" s="165">
        <v>5</v>
      </c>
      <c r="N1675" s="164" t="s">
        <v>1577</v>
      </c>
      <c r="O1675" s="165">
        <v>0</v>
      </c>
      <c r="P1675" s="165">
        <v>0</v>
      </c>
      <c r="Q1675" s="165">
        <v>21</v>
      </c>
      <c r="R1675" s="164" t="s">
        <v>200</v>
      </c>
      <c r="S1675" s="164" t="s">
        <v>201</v>
      </c>
      <c r="T1675" s="165">
        <v>442</v>
      </c>
      <c r="U1675" s="164" t="s">
        <v>200</v>
      </c>
      <c r="V1675" s="164" t="s">
        <v>720</v>
      </c>
      <c r="W1675" s="165">
        <v>4</v>
      </c>
      <c r="X1675" s="165">
        <v>4</v>
      </c>
      <c r="Y1675" s="164" t="s">
        <v>203</v>
      </c>
      <c r="Z1675" s="164" t="s">
        <v>195</v>
      </c>
      <c r="AA1675" s="164" t="s">
        <v>196</v>
      </c>
      <c r="AB1675" s="164" t="s">
        <v>187</v>
      </c>
      <c r="AC1675" s="164" t="s">
        <v>187</v>
      </c>
      <c r="AD1675" s="165">
        <v>2</v>
      </c>
      <c r="AE1675" s="164" t="s">
        <v>187</v>
      </c>
      <c r="AF1675" s="165">
        <v>23.990236503240499</v>
      </c>
      <c r="AG1675" s="166">
        <v>90.638159313356795</v>
      </c>
      <c r="AO1675" s="121"/>
      <c r="AT1675" s="111"/>
      <c r="AX1675" s="121"/>
    </row>
    <row r="1676" spans="1:50" s="110" customFormat="1" ht="20" customHeight="1">
      <c r="A1676" s="125" t="s">
        <v>486</v>
      </c>
      <c r="B1676" s="126" t="s">
        <v>57</v>
      </c>
      <c r="C1676" s="127">
        <v>18254</v>
      </c>
      <c r="D1676" s="163">
        <v>113787</v>
      </c>
      <c r="E1676" s="164" t="s">
        <v>4559</v>
      </c>
      <c r="F1676" s="164" t="s">
        <v>4559</v>
      </c>
      <c r="G1676" s="165">
        <v>83000</v>
      </c>
      <c r="H1676" s="165">
        <v>1</v>
      </c>
      <c r="I1676" s="164" t="s">
        <v>187</v>
      </c>
      <c r="J1676" s="164" t="s">
        <v>198</v>
      </c>
      <c r="K1676" s="164" t="s">
        <v>199</v>
      </c>
      <c r="L1676" s="165">
        <v>5</v>
      </c>
      <c r="M1676" s="165">
        <v>5</v>
      </c>
      <c r="N1676" s="164" t="s">
        <v>1577</v>
      </c>
      <c r="O1676" s="165">
        <v>0</v>
      </c>
      <c r="P1676" s="165">
        <v>0</v>
      </c>
      <c r="Q1676" s="165">
        <v>21</v>
      </c>
      <c r="R1676" s="164" t="s">
        <v>200</v>
      </c>
      <c r="S1676" s="164" t="s">
        <v>201</v>
      </c>
      <c r="T1676" s="165">
        <v>442</v>
      </c>
      <c r="U1676" s="164" t="s">
        <v>200</v>
      </c>
      <c r="V1676" s="164" t="s">
        <v>720</v>
      </c>
      <c r="W1676" s="165">
        <v>2</v>
      </c>
      <c r="X1676" s="165">
        <v>4</v>
      </c>
      <c r="Y1676" s="164" t="s">
        <v>203</v>
      </c>
      <c r="Z1676" s="164" t="s">
        <v>195</v>
      </c>
      <c r="AA1676" s="164" t="s">
        <v>196</v>
      </c>
      <c r="AB1676" s="164" t="s">
        <v>187</v>
      </c>
      <c r="AC1676" s="164" t="s">
        <v>187</v>
      </c>
      <c r="AD1676" s="165">
        <v>2</v>
      </c>
      <c r="AE1676" s="164" t="s">
        <v>187</v>
      </c>
      <c r="AF1676" s="165">
        <v>24.525800206992301</v>
      </c>
      <c r="AG1676" s="166">
        <v>89.884009211223301</v>
      </c>
      <c r="AO1676" s="121"/>
      <c r="AT1676" s="111"/>
      <c r="AX1676" s="121"/>
    </row>
    <row r="1677" spans="1:50" s="110" customFormat="1" ht="20" customHeight="1">
      <c r="A1677" s="125" t="s">
        <v>486</v>
      </c>
      <c r="B1677" s="126" t="s">
        <v>57</v>
      </c>
      <c r="C1677" s="127">
        <v>16905</v>
      </c>
      <c r="D1677" s="163">
        <v>112199</v>
      </c>
      <c r="E1677" s="164" t="s">
        <v>4535</v>
      </c>
      <c r="F1677" s="164" t="s">
        <v>4535</v>
      </c>
      <c r="G1677" s="165">
        <v>77000</v>
      </c>
      <c r="H1677" s="165">
        <v>1</v>
      </c>
      <c r="I1677" s="164" t="s">
        <v>187</v>
      </c>
      <c r="J1677" s="164" t="s">
        <v>198</v>
      </c>
      <c r="K1677" s="164" t="s">
        <v>199</v>
      </c>
      <c r="L1677" s="165">
        <v>5</v>
      </c>
      <c r="M1677" s="165">
        <v>5</v>
      </c>
      <c r="N1677" s="164" t="s">
        <v>1577</v>
      </c>
      <c r="O1677" s="165">
        <v>0</v>
      </c>
      <c r="P1677" s="165">
        <v>0</v>
      </c>
      <c r="Q1677" s="165">
        <v>21</v>
      </c>
      <c r="R1677" s="164" t="s">
        <v>200</v>
      </c>
      <c r="S1677" s="164" t="s">
        <v>201</v>
      </c>
      <c r="T1677" s="165">
        <v>442</v>
      </c>
      <c r="U1677" s="164" t="s">
        <v>200</v>
      </c>
      <c r="V1677" s="164" t="s">
        <v>720</v>
      </c>
      <c r="W1677" s="165">
        <v>3</v>
      </c>
      <c r="X1677" s="165">
        <v>4</v>
      </c>
      <c r="Y1677" s="164" t="s">
        <v>203</v>
      </c>
      <c r="Z1677" s="164" t="s">
        <v>195</v>
      </c>
      <c r="AA1677" s="164" t="s">
        <v>196</v>
      </c>
      <c r="AB1677" s="164" t="s">
        <v>187</v>
      </c>
      <c r="AC1677" s="164" t="s">
        <v>187</v>
      </c>
      <c r="AD1677" s="165">
        <v>2</v>
      </c>
      <c r="AE1677" s="164" t="s">
        <v>187</v>
      </c>
      <c r="AF1677" s="165">
        <v>25.854778280146601</v>
      </c>
      <c r="AG1677" s="166">
        <v>89.424180548563896</v>
      </c>
      <c r="AO1677" s="121"/>
      <c r="AT1677" s="111"/>
      <c r="AX1677" s="121"/>
    </row>
    <row r="1678" spans="1:50" s="110" customFormat="1" ht="20" customHeight="1">
      <c r="A1678" s="125" t="s">
        <v>486</v>
      </c>
      <c r="B1678" s="126" t="s">
        <v>57</v>
      </c>
      <c r="C1678" s="127">
        <v>18252</v>
      </c>
      <c r="D1678" s="163">
        <v>113784</v>
      </c>
      <c r="E1678" s="164" t="s">
        <v>4466</v>
      </c>
      <c r="F1678" s="164" t="s">
        <v>4466</v>
      </c>
      <c r="G1678" s="165">
        <v>60000</v>
      </c>
      <c r="H1678" s="165">
        <v>1</v>
      </c>
      <c r="I1678" s="164" t="s">
        <v>187</v>
      </c>
      <c r="J1678" s="164" t="s">
        <v>198</v>
      </c>
      <c r="K1678" s="164" t="s">
        <v>199</v>
      </c>
      <c r="L1678" s="165">
        <v>5</v>
      </c>
      <c r="M1678" s="165">
        <v>5</v>
      </c>
      <c r="N1678" s="164" t="s">
        <v>1577</v>
      </c>
      <c r="O1678" s="165">
        <v>0</v>
      </c>
      <c r="P1678" s="165">
        <v>0</v>
      </c>
      <c r="Q1678" s="165">
        <v>21</v>
      </c>
      <c r="R1678" s="164" t="s">
        <v>200</v>
      </c>
      <c r="S1678" s="164" t="s">
        <v>201</v>
      </c>
      <c r="T1678" s="165">
        <v>442</v>
      </c>
      <c r="U1678" s="164" t="s">
        <v>200</v>
      </c>
      <c r="V1678" s="164" t="s">
        <v>720</v>
      </c>
      <c r="W1678" s="165">
        <v>2</v>
      </c>
      <c r="X1678" s="165">
        <v>4</v>
      </c>
      <c r="Y1678" s="164" t="s">
        <v>203</v>
      </c>
      <c r="Z1678" s="164" t="s">
        <v>195</v>
      </c>
      <c r="AA1678" s="164" t="s">
        <v>196</v>
      </c>
      <c r="AB1678" s="164" t="s">
        <v>187</v>
      </c>
      <c r="AC1678" s="164" t="s">
        <v>187</v>
      </c>
      <c r="AD1678" s="165">
        <v>1</v>
      </c>
      <c r="AE1678" s="164" t="s">
        <v>187</v>
      </c>
      <c r="AF1678" s="165">
        <v>23.700673272243499</v>
      </c>
      <c r="AG1678" s="166">
        <v>89.941615231358298</v>
      </c>
      <c r="AO1678" s="121"/>
      <c r="AT1678" s="111"/>
      <c r="AX1678" s="121"/>
    </row>
    <row r="1679" spans="1:50" s="110" customFormat="1" ht="20" customHeight="1">
      <c r="A1679" s="125" t="s">
        <v>486</v>
      </c>
      <c r="B1679" s="126" t="s">
        <v>57</v>
      </c>
      <c r="C1679" s="127">
        <v>17466</v>
      </c>
      <c r="D1679" s="163">
        <v>112874</v>
      </c>
      <c r="E1679" s="164" t="s">
        <v>4326</v>
      </c>
      <c r="F1679" s="164" t="s">
        <v>4326</v>
      </c>
      <c r="G1679" s="165">
        <v>37000</v>
      </c>
      <c r="H1679" s="165">
        <v>1</v>
      </c>
      <c r="I1679" s="164" t="s">
        <v>187</v>
      </c>
      <c r="J1679" s="164" t="s">
        <v>198</v>
      </c>
      <c r="K1679" s="164" t="s">
        <v>199</v>
      </c>
      <c r="L1679" s="165">
        <v>5</v>
      </c>
      <c r="M1679" s="165">
        <v>5</v>
      </c>
      <c r="N1679" s="164" t="s">
        <v>1577</v>
      </c>
      <c r="O1679" s="165">
        <v>0</v>
      </c>
      <c r="P1679" s="165">
        <v>0</v>
      </c>
      <c r="Q1679" s="165">
        <v>21</v>
      </c>
      <c r="R1679" s="164" t="s">
        <v>200</v>
      </c>
      <c r="S1679" s="164" t="s">
        <v>201</v>
      </c>
      <c r="T1679" s="165">
        <v>442</v>
      </c>
      <c r="U1679" s="164" t="s">
        <v>200</v>
      </c>
      <c r="V1679" s="164" t="s">
        <v>720</v>
      </c>
      <c r="W1679" s="165">
        <v>2</v>
      </c>
      <c r="X1679" s="165">
        <v>4</v>
      </c>
      <c r="Y1679" s="164" t="s">
        <v>203</v>
      </c>
      <c r="Z1679" s="164" t="s">
        <v>195</v>
      </c>
      <c r="AA1679" s="164" t="s">
        <v>196</v>
      </c>
      <c r="AB1679" s="164" t="s">
        <v>187</v>
      </c>
      <c r="AC1679" s="164" t="s">
        <v>187</v>
      </c>
      <c r="AD1679" s="165">
        <v>1</v>
      </c>
      <c r="AE1679" s="164" t="s">
        <v>187</v>
      </c>
      <c r="AF1679" s="165">
        <v>24.602215261557699</v>
      </c>
      <c r="AG1679" s="166">
        <v>89.872475827666804</v>
      </c>
      <c r="AO1679" s="121"/>
      <c r="AT1679" s="111"/>
      <c r="AX1679" s="121"/>
    </row>
    <row r="1680" spans="1:50" s="110" customFormat="1" ht="20" customHeight="1">
      <c r="A1680" s="125" t="s">
        <v>486</v>
      </c>
      <c r="B1680" s="126" t="s">
        <v>57</v>
      </c>
      <c r="C1680" s="127">
        <v>17391</v>
      </c>
      <c r="D1680" s="163">
        <v>112789</v>
      </c>
      <c r="E1680" s="164" t="s">
        <v>4269</v>
      </c>
      <c r="F1680" s="164" t="s">
        <v>4269</v>
      </c>
      <c r="G1680" s="165">
        <v>34000</v>
      </c>
      <c r="H1680" s="165">
        <v>1</v>
      </c>
      <c r="I1680" s="164" t="s">
        <v>187</v>
      </c>
      <c r="J1680" s="164" t="s">
        <v>198</v>
      </c>
      <c r="K1680" s="164" t="s">
        <v>199</v>
      </c>
      <c r="L1680" s="165">
        <v>5</v>
      </c>
      <c r="M1680" s="165">
        <v>5</v>
      </c>
      <c r="N1680" s="164" t="s">
        <v>1577</v>
      </c>
      <c r="O1680" s="165">
        <v>0</v>
      </c>
      <c r="P1680" s="165">
        <v>0</v>
      </c>
      <c r="Q1680" s="165">
        <v>21</v>
      </c>
      <c r="R1680" s="164" t="s">
        <v>200</v>
      </c>
      <c r="S1680" s="164" t="s">
        <v>201</v>
      </c>
      <c r="T1680" s="165">
        <v>442</v>
      </c>
      <c r="U1680" s="164" t="s">
        <v>200</v>
      </c>
      <c r="V1680" s="164" t="s">
        <v>720</v>
      </c>
      <c r="W1680" s="165">
        <v>3</v>
      </c>
      <c r="X1680" s="165">
        <v>4</v>
      </c>
      <c r="Y1680" s="164" t="s">
        <v>203</v>
      </c>
      <c r="Z1680" s="164" t="s">
        <v>195</v>
      </c>
      <c r="AA1680" s="164" t="s">
        <v>196</v>
      </c>
      <c r="AB1680" s="164" t="s">
        <v>187</v>
      </c>
      <c r="AC1680" s="164" t="s">
        <v>187</v>
      </c>
      <c r="AD1680" s="165">
        <v>1</v>
      </c>
      <c r="AE1680" s="164" t="s">
        <v>187</v>
      </c>
      <c r="AF1680" s="165">
        <v>25.8713754181131</v>
      </c>
      <c r="AG1680" s="166">
        <v>89.074353996122298</v>
      </c>
      <c r="AO1680" s="121"/>
      <c r="AT1680" s="111"/>
      <c r="AX1680" s="121"/>
    </row>
    <row r="1681" spans="1:50" s="110" customFormat="1" ht="20" customHeight="1">
      <c r="A1681" s="125" t="s">
        <v>486</v>
      </c>
      <c r="B1681" s="126" t="s">
        <v>57</v>
      </c>
      <c r="C1681" s="127">
        <v>13218</v>
      </c>
      <c r="D1681" s="163">
        <v>106041</v>
      </c>
      <c r="E1681" s="164" t="s">
        <v>4233</v>
      </c>
      <c r="F1681" s="164" t="s">
        <v>4233</v>
      </c>
      <c r="G1681" s="165">
        <v>31000</v>
      </c>
      <c r="H1681" s="165">
        <v>1</v>
      </c>
      <c r="I1681" s="164" t="s">
        <v>187</v>
      </c>
      <c r="J1681" s="164" t="s">
        <v>4234</v>
      </c>
      <c r="K1681" s="164" t="s">
        <v>4235</v>
      </c>
      <c r="L1681" s="165">
        <v>0</v>
      </c>
      <c r="M1681" s="165">
        <v>5</v>
      </c>
      <c r="N1681" s="164" t="s">
        <v>1577</v>
      </c>
      <c r="O1681" s="165">
        <v>4.5789999999999997</v>
      </c>
      <c r="P1681" s="168"/>
      <c r="Q1681" s="165">
        <v>21</v>
      </c>
      <c r="R1681" s="164" t="s">
        <v>200</v>
      </c>
      <c r="S1681" s="164" t="s">
        <v>201</v>
      </c>
      <c r="T1681" s="165">
        <v>442</v>
      </c>
      <c r="U1681" s="164" t="s">
        <v>200</v>
      </c>
      <c r="V1681" s="164" t="s">
        <v>720</v>
      </c>
      <c r="W1681" s="165">
        <v>2</v>
      </c>
      <c r="X1681" s="165">
        <v>4</v>
      </c>
      <c r="Y1681" s="164" t="s">
        <v>203</v>
      </c>
      <c r="Z1681" s="164" t="s">
        <v>195</v>
      </c>
      <c r="AA1681" s="164" t="s">
        <v>196</v>
      </c>
      <c r="AB1681" s="164" t="s">
        <v>187</v>
      </c>
      <c r="AC1681" s="164" t="s">
        <v>187</v>
      </c>
      <c r="AD1681" s="165">
        <v>1</v>
      </c>
      <c r="AE1681" s="164" t="s">
        <v>209</v>
      </c>
      <c r="AF1681" s="165">
        <v>25.863853307159399</v>
      </c>
      <c r="AG1681" s="166">
        <v>88.916504867580599</v>
      </c>
      <c r="AO1681" s="121"/>
      <c r="AT1681" s="111"/>
      <c r="AX1681" s="121"/>
    </row>
    <row r="1682" spans="1:50" s="110" customFormat="1" ht="20" customHeight="1">
      <c r="A1682" s="125" t="s">
        <v>486</v>
      </c>
      <c r="B1682" s="126" t="s">
        <v>57</v>
      </c>
      <c r="C1682" s="127">
        <v>16564</v>
      </c>
      <c r="D1682" s="163">
        <v>111755</v>
      </c>
      <c r="E1682" s="164" t="s">
        <v>4135</v>
      </c>
      <c r="F1682" s="164" t="s">
        <v>4135</v>
      </c>
      <c r="G1682" s="165">
        <v>25000</v>
      </c>
      <c r="H1682" s="165">
        <v>1</v>
      </c>
      <c r="I1682" s="164" t="s">
        <v>187</v>
      </c>
      <c r="J1682" s="164" t="s">
        <v>198</v>
      </c>
      <c r="K1682" s="164" t="s">
        <v>199</v>
      </c>
      <c r="L1682" s="165">
        <v>5</v>
      </c>
      <c r="M1682" s="165">
        <v>5</v>
      </c>
      <c r="N1682" s="164" t="s">
        <v>1577</v>
      </c>
      <c r="O1682" s="165">
        <v>0</v>
      </c>
      <c r="P1682" s="165">
        <v>0</v>
      </c>
      <c r="Q1682" s="165">
        <v>21</v>
      </c>
      <c r="R1682" s="164" t="s">
        <v>200</v>
      </c>
      <c r="S1682" s="164" t="s">
        <v>201</v>
      </c>
      <c r="T1682" s="165">
        <v>442</v>
      </c>
      <c r="U1682" s="164" t="s">
        <v>200</v>
      </c>
      <c r="V1682" s="164" t="s">
        <v>720</v>
      </c>
      <c r="W1682" s="165">
        <v>2</v>
      </c>
      <c r="X1682" s="165">
        <v>4</v>
      </c>
      <c r="Y1682" s="164" t="s">
        <v>203</v>
      </c>
      <c r="Z1682" s="164" t="s">
        <v>195</v>
      </c>
      <c r="AA1682" s="164" t="s">
        <v>196</v>
      </c>
      <c r="AB1682" s="164" t="s">
        <v>187</v>
      </c>
      <c r="AC1682" s="164" t="s">
        <v>187</v>
      </c>
      <c r="AD1682" s="165">
        <v>1</v>
      </c>
      <c r="AE1682" s="164" t="s">
        <v>187</v>
      </c>
      <c r="AF1682" s="165">
        <v>25.116893271915</v>
      </c>
      <c r="AG1682" s="166">
        <v>89.052889861109094</v>
      </c>
      <c r="AO1682" s="121"/>
      <c r="AT1682" s="111"/>
      <c r="AX1682" s="121"/>
    </row>
    <row r="1683" spans="1:50" s="110" customFormat="1" ht="20" customHeight="1">
      <c r="A1683" s="125" t="s">
        <v>486</v>
      </c>
      <c r="B1683" s="126" t="s">
        <v>57</v>
      </c>
      <c r="C1683" s="127">
        <v>17424</v>
      </c>
      <c r="D1683" s="163">
        <v>112825</v>
      </c>
      <c r="E1683" s="164" t="s">
        <v>4119</v>
      </c>
      <c r="F1683" s="164" t="s">
        <v>4119</v>
      </c>
      <c r="G1683" s="165">
        <v>24000</v>
      </c>
      <c r="H1683" s="165">
        <v>1</v>
      </c>
      <c r="I1683" s="164" t="s">
        <v>187</v>
      </c>
      <c r="J1683" s="164" t="s">
        <v>198</v>
      </c>
      <c r="K1683" s="164" t="s">
        <v>199</v>
      </c>
      <c r="L1683" s="165">
        <v>5</v>
      </c>
      <c r="M1683" s="165">
        <v>5</v>
      </c>
      <c r="N1683" s="164" t="s">
        <v>1577</v>
      </c>
      <c r="O1683" s="165">
        <v>0</v>
      </c>
      <c r="P1683" s="165">
        <v>0</v>
      </c>
      <c r="Q1683" s="165">
        <v>21</v>
      </c>
      <c r="R1683" s="164" t="s">
        <v>200</v>
      </c>
      <c r="S1683" s="164" t="s">
        <v>201</v>
      </c>
      <c r="T1683" s="165">
        <v>442</v>
      </c>
      <c r="U1683" s="164" t="s">
        <v>200</v>
      </c>
      <c r="V1683" s="164" t="s">
        <v>720</v>
      </c>
      <c r="W1683" s="165">
        <v>3</v>
      </c>
      <c r="X1683" s="165">
        <v>4</v>
      </c>
      <c r="Y1683" s="164" t="s">
        <v>203</v>
      </c>
      <c r="Z1683" s="164" t="s">
        <v>195</v>
      </c>
      <c r="AA1683" s="164" t="s">
        <v>196</v>
      </c>
      <c r="AB1683" s="164" t="s">
        <v>187</v>
      </c>
      <c r="AC1683" s="164" t="s">
        <v>187</v>
      </c>
      <c r="AD1683" s="165">
        <v>1</v>
      </c>
      <c r="AE1683" s="164" t="s">
        <v>187</v>
      </c>
      <c r="AF1683" s="165">
        <v>23.524367457008399</v>
      </c>
      <c r="AG1683" s="166">
        <v>91.162035381791497</v>
      </c>
      <c r="AO1683" s="121"/>
      <c r="AT1683" s="111"/>
      <c r="AX1683" s="121"/>
    </row>
    <row r="1684" spans="1:50" s="110" customFormat="1" ht="20" customHeight="1">
      <c r="A1684" s="125" t="s">
        <v>486</v>
      </c>
      <c r="B1684" s="126" t="s">
        <v>57</v>
      </c>
      <c r="C1684" s="127">
        <v>13513</v>
      </c>
      <c r="D1684" s="163">
        <v>106268</v>
      </c>
      <c r="E1684" s="164" t="s">
        <v>3712</v>
      </c>
      <c r="F1684" s="164" t="s">
        <v>3712</v>
      </c>
      <c r="G1684" s="165">
        <v>20000</v>
      </c>
      <c r="H1684" s="165">
        <v>1</v>
      </c>
      <c r="I1684" s="164" t="s">
        <v>187</v>
      </c>
      <c r="J1684" s="164" t="s">
        <v>3714</v>
      </c>
      <c r="K1684" s="164" t="s">
        <v>3712</v>
      </c>
      <c r="L1684" s="165">
        <v>5</v>
      </c>
      <c r="M1684" s="165">
        <v>5</v>
      </c>
      <c r="N1684" s="164" t="s">
        <v>1577</v>
      </c>
      <c r="O1684" s="165">
        <v>0.33400000000000002</v>
      </c>
      <c r="P1684" s="168"/>
      <c r="Q1684" s="165">
        <v>21</v>
      </c>
      <c r="R1684" s="164" t="s">
        <v>200</v>
      </c>
      <c r="S1684" s="164" t="s">
        <v>201</v>
      </c>
      <c r="T1684" s="165">
        <v>442</v>
      </c>
      <c r="U1684" s="164" t="s">
        <v>200</v>
      </c>
      <c r="V1684" s="164" t="s">
        <v>720</v>
      </c>
      <c r="W1684" s="165">
        <v>3</v>
      </c>
      <c r="X1684" s="165">
        <v>4</v>
      </c>
      <c r="Y1684" s="164" t="s">
        <v>203</v>
      </c>
      <c r="Z1684" s="164" t="s">
        <v>195</v>
      </c>
      <c r="AA1684" s="164" t="s">
        <v>196</v>
      </c>
      <c r="AB1684" s="164" t="s">
        <v>187</v>
      </c>
      <c r="AC1684" s="164" t="s">
        <v>187</v>
      </c>
      <c r="AD1684" s="165">
        <v>1</v>
      </c>
      <c r="AE1684" s="164" t="s">
        <v>209</v>
      </c>
      <c r="AF1684" s="165">
        <v>24.548836470287799</v>
      </c>
      <c r="AG1684" s="166">
        <v>91.966537237118004</v>
      </c>
      <c r="AO1684" s="121"/>
      <c r="AT1684" s="111"/>
      <c r="AX1684" s="121"/>
    </row>
    <row r="1685" spans="1:50" s="110" customFormat="1" ht="20" customHeight="1">
      <c r="A1685" s="125" t="s">
        <v>486</v>
      </c>
      <c r="B1685" s="126" t="s">
        <v>57</v>
      </c>
      <c r="C1685" s="127">
        <v>17381</v>
      </c>
      <c r="D1685" s="163">
        <v>112776</v>
      </c>
      <c r="E1685" s="164" t="s">
        <v>3975</v>
      </c>
      <c r="F1685" s="164" t="s">
        <v>3975</v>
      </c>
      <c r="G1685" s="165">
        <v>18000</v>
      </c>
      <c r="H1685" s="165">
        <v>1</v>
      </c>
      <c r="I1685" s="164" t="s">
        <v>187</v>
      </c>
      <c r="J1685" s="164" t="s">
        <v>647</v>
      </c>
      <c r="K1685" s="164" t="s">
        <v>648</v>
      </c>
      <c r="L1685" s="165">
        <v>4</v>
      </c>
      <c r="M1685" s="165">
        <v>5</v>
      </c>
      <c r="N1685" s="164" t="s">
        <v>1577</v>
      </c>
      <c r="O1685" s="165">
        <v>1.9470000000000001</v>
      </c>
      <c r="P1685" s="168"/>
      <c r="Q1685" s="165">
        <v>21</v>
      </c>
      <c r="R1685" s="164" t="s">
        <v>200</v>
      </c>
      <c r="S1685" s="164" t="s">
        <v>201</v>
      </c>
      <c r="T1685" s="165">
        <v>442</v>
      </c>
      <c r="U1685" s="164" t="s">
        <v>200</v>
      </c>
      <c r="V1685" s="164" t="s">
        <v>720</v>
      </c>
      <c r="W1685" s="165">
        <v>2</v>
      </c>
      <c r="X1685" s="165">
        <v>4</v>
      </c>
      <c r="Y1685" s="164" t="s">
        <v>203</v>
      </c>
      <c r="Z1685" s="164" t="s">
        <v>195</v>
      </c>
      <c r="AA1685" s="164" t="s">
        <v>196</v>
      </c>
      <c r="AB1685" s="164" t="s">
        <v>187</v>
      </c>
      <c r="AC1685" s="164" t="s">
        <v>187</v>
      </c>
      <c r="AD1685" s="165">
        <v>1</v>
      </c>
      <c r="AE1685" s="164" t="s">
        <v>209</v>
      </c>
      <c r="AF1685" s="165">
        <v>24.936995576218699</v>
      </c>
      <c r="AG1685" s="166">
        <v>91.500565675369501</v>
      </c>
      <c r="AO1685" s="121"/>
      <c r="AT1685" s="111"/>
      <c r="AX1685" s="121"/>
    </row>
    <row r="1686" spans="1:50" s="110" customFormat="1" ht="20" customHeight="1">
      <c r="A1686" s="125" t="s">
        <v>486</v>
      </c>
      <c r="B1686" s="126" t="s">
        <v>57</v>
      </c>
      <c r="C1686" s="127">
        <v>17080</v>
      </c>
      <c r="D1686" s="163">
        <v>112418</v>
      </c>
      <c r="E1686" s="164" t="s">
        <v>3912</v>
      </c>
      <c r="F1686" s="164" t="s">
        <v>3912</v>
      </c>
      <c r="G1686" s="165">
        <v>16000</v>
      </c>
      <c r="H1686" s="165">
        <v>1</v>
      </c>
      <c r="I1686" s="164" t="s">
        <v>187</v>
      </c>
      <c r="J1686" s="164" t="s">
        <v>198</v>
      </c>
      <c r="K1686" s="164" t="s">
        <v>199</v>
      </c>
      <c r="L1686" s="165">
        <v>5</v>
      </c>
      <c r="M1686" s="165">
        <v>5</v>
      </c>
      <c r="N1686" s="164" t="s">
        <v>1577</v>
      </c>
      <c r="O1686" s="165">
        <v>0</v>
      </c>
      <c r="P1686" s="165">
        <v>0</v>
      </c>
      <c r="Q1686" s="165">
        <v>21</v>
      </c>
      <c r="R1686" s="164" t="s">
        <v>200</v>
      </c>
      <c r="S1686" s="164" t="s">
        <v>201</v>
      </c>
      <c r="T1686" s="165">
        <v>442</v>
      </c>
      <c r="U1686" s="164" t="s">
        <v>200</v>
      </c>
      <c r="V1686" s="164" t="s">
        <v>720</v>
      </c>
      <c r="W1686" s="165">
        <v>3</v>
      </c>
      <c r="X1686" s="165">
        <v>4</v>
      </c>
      <c r="Y1686" s="164" t="s">
        <v>203</v>
      </c>
      <c r="Z1686" s="164" t="s">
        <v>195</v>
      </c>
      <c r="AA1686" s="164" t="s">
        <v>196</v>
      </c>
      <c r="AB1686" s="164" t="s">
        <v>187</v>
      </c>
      <c r="AC1686" s="164" t="s">
        <v>187</v>
      </c>
      <c r="AD1686" s="165">
        <v>1</v>
      </c>
      <c r="AE1686" s="164" t="s">
        <v>187</v>
      </c>
      <c r="AF1686" s="165">
        <v>23.983711576823602</v>
      </c>
      <c r="AG1686" s="166">
        <v>90.612185368383905</v>
      </c>
      <c r="AO1686" s="121"/>
      <c r="AT1686" s="111"/>
      <c r="AX1686" s="121"/>
    </row>
    <row r="1687" spans="1:50" s="110" customFormat="1" ht="20" customHeight="1">
      <c r="A1687" s="125" t="s">
        <v>486</v>
      </c>
      <c r="B1687" s="126" t="s">
        <v>57</v>
      </c>
      <c r="C1687" s="127">
        <v>17417</v>
      </c>
      <c r="D1687" s="163">
        <v>112818</v>
      </c>
      <c r="E1687" s="164" t="s">
        <v>3875</v>
      </c>
      <c r="F1687" s="164" t="s">
        <v>3875</v>
      </c>
      <c r="G1687" s="165">
        <v>15000</v>
      </c>
      <c r="H1687" s="165">
        <v>1</v>
      </c>
      <c r="I1687" s="164" t="s">
        <v>187</v>
      </c>
      <c r="J1687" s="164" t="s">
        <v>198</v>
      </c>
      <c r="K1687" s="164" t="s">
        <v>199</v>
      </c>
      <c r="L1687" s="165">
        <v>5</v>
      </c>
      <c r="M1687" s="165">
        <v>5</v>
      </c>
      <c r="N1687" s="164" t="s">
        <v>1577</v>
      </c>
      <c r="O1687" s="165">
        <v>0</v>
      </c>
      <c r="P1687" s="165">
        <v>0</v>
      </c>
      <c r="Q1687" s="165">
        <v>21</v>
      </c>
      <c r="R1687" s="164" t="s">
        <v>200</v>
      </c>
      <c r="S1687" s="164" t="s">
        <v>201</v>
      </c>
      <c r="T1687" s="165">
        <v>442</v>
      </c>
      <c r="U1687" s="164" t="s">
        <v>200</v>
      </c>
      <c r="V1687" s="164" t="s">
        <v>720</v>
      </c>
      <c r="W1687" s="165">
        <v>2</v>
      </c>
      <c r="X1687" s="165">
        <v>4</v>
      </c>
      <c r="Y1687" s="164" t="s">
        <v>203</v>
      </c>
      <c r="Z1687" s="164" t="s">
        <v>195</v>
      </c>
      <c r="AA1687" s="164" t="s">
        <v>196</v>
      </c>
      <c r="AB1687" s="164" t="s">
        <v>187</v>
      </c>
      <c r="AC1687" s="164" t="s">
        <v>187</v>
      </c>
      <c r="AD1687" s="165">
        <v>1</v>
      </c>
      <c r="AE1687" s="164" t="s">
        <v>187</v>
      </c>
      <c r="AF1687" s="165">
        <v>24.770299809105602</v>
      </c>
      <c r="AG1687" s="166">
        <v>90.681637950414</v>
      </c>
      <c r="AO1687" s="121"/>
      <c r="AT1687" s="111"/>
      <c r="AX1687" s="121"/>
    </row>
    <row r="1688" spans="1:50" s="110" customFormat="1" ht="20" customHeight="1">
      <c r="A1688" s="125" t="s">
        <v>486</v>
      </c>
      <c r="B1688" s="126" t="s">
        <v>57</v>
      </c>
      <c r="C1688" s="127">
        <v>17432</v>
      </c>
      <c r="D1688" s="163">
        <v>112835</v>
      </c>
      <c r="E1688" s="164" t="s">
        <v>3876</v>
      </c>
      <c r="F1688" s="164" t="s">
        <v>3876</v>
      </c>
      <c r="G1688" s="165">
        <v>15000</v>
      </c>
      <c r="H1688" s="165">
        <v>1</v>
      </c>
      <c r="I1688" s="164" t="s">
        <v>187</v>
      </c>
      <c r="J1688" s="164" t="s">
        <v>198</v>
      </c>
      <c r="K1688" s="164" t="s">
        <v>199</v>
      </c>
      <c r="L1688" s="165">
        <v>5</v>
      </c>
      <c r="M1688" s="165">
        <v>5</v>
      </c>
      <c r="N1688" s="164" t="s">
        <v>1577</v>
      </c>
      <c r="O1688" s="165">
        <v>0</v>
      </c>
      <c r="P1688" s="165">
        <v>0</v>
      </c>
      <c r="Q1688" s="165">
        <v>21</v>
      </c>
      <c r="R1688" s="164" t="s">
        <v>200</v>
      </c>
      <c r="S1688" s="164" t="s">
        <v>201</v>
      </c>
      <c r="T1688" s="165">
        <v>442</v>
      </c>
      <c r="U1688" s="164" t="s">
        <v>200</v>
      </c>
      <c r="V1688" s="164" t="s">
        <v>720</v>
      </c>
      <c r="W1688" s="165">
        <v>3</v>
      </c>
      <c r="X1688" s="165">
        <v>4</v>
      </c>
      <c r="Y1688" s="164" t="s">
        <v>203</v>
      </c>
      <c r="Z1688" s="164" t="s">
        <v>195</v>
      </c>
      <c r="AA1688" s="164" t="s">
        <v>196</v>
      </c>
      <c r="AB1688" s="164" t="s">
        <v>187</v>
      </c>
      <c r="AC1688" s="164" t="s">
        <v>187</v>
      </c>
      <c r="AD1688" s="165">
        <v>1</v>
      </c>
      <c r="AE1688" s="164" t="s">
        <v>187</v>
      </c>
      <c r="AF1688" s="165">
        <v>24.372819564880601</v>
      </c>
      <c r="AG1688" s="166">
        <v>90.277304546851596</v>
      </c>
      <c r="AO1688" s="121"/>
      <c r="AT1688" s="111"/>
      <c r="AX1688" s="121"/>
    </row>
    <row r="1689" spans="1:50" s="110" customFormat="1" ht="20" customHeight="1">
      <c r="A1689" s="125" t="s">
        <v>486</v>
      </c>
      <c r="B1689" s="126" t="s">
        <v>57</v>
      </c>
      <c r="C1689" s="127">
        <v>18018</v>
      </c>
      <c r="D1689" s="163">
        <v>113512</v>
      </c>
      <c r="E1689" s="164" t="s">
        <v>3833</v>
      </c>
      <c r="F1689" s="164" t="s">
        <v>3833</v>
      </c>
      <c r="G1689" s="165">
        <v>14000</v>
      </c>
      <c r="H1689" s="165">
        <v>1</v>
      </c>
      <c r="I1689" s="164" t="s">
        <v>187</v>
      </c>
      <c r="J1689" s="164" t="s">
        <v>198</v>
      </c>
      <c r="K1689" s="164" t="s">
        <v>199</v>
      </c>
      <c r="L1689" s="165">
        <v>5</v>
      </c>
      <c r="M1689" s="165">
        <v>5</v>
      </c>
      <c r="N1689" s="164" t="s">
        <v>1577</v>
      </c>
      <c r="O1689" s="165">
        <v>0</v>
      </c>
      <c r="P1689" s="165">
        <v>0</v>
      </c>
      <c r="Q1689" s="165">
        <v>21</v>
      </c>
      <c r="R1689" s="164" t="s">
        <v>200</v>
      </c>
      <c r="S1689" s="164" t="s">
        <v>201</v>
      </c>
      <c r="T1689" s="165">
        <v>442</v>
      </c>
      <c r="U1689" s="164" t="s">
        <v>200</v>
      </c>
      <c r="V1689" s="164" t="s">
        <v>720</v>
      </c>
      <c r="W1689" s="165">
        <v>2</v>
      </c>
      <c r="X1689" s="165">
        <v>4</v>
      </c>
      <c r="Y1689" s="164" t="s">
        <v>203</v>
      </c>
      <c r="Z1689" s="164" t="s">
        <v>195</v>
      </c>
      <c r="AA1689" s="164" t="s">
        <v>196</v>
      </c>
      <c r="AB1689" s="164" t="s">
        <v>187</v>
      </c>
      <c r="AC1689" s="164" t="s">
        <v>187</v>
      </c>
      <c r="AD1689" s="165">
        <v>1</v>
      </c>
      <c r="AE1689" s="164" t="s">
        <v>187</v>
      </c>
      <c r="AF1689" s="165">
        <v>24.3982295522142</v>
      </c>
      <c r="AG1689" s="166">
        <v>90.440629430440296</v>
      </c>
      <c r="AO1689" s="121"/>
      <c r="AT1689" s="111"/>
      <c r="AX1689" s="121"/>
    </row>
    <row r="1690" spans="1:50" s="110" customFormat="1" ht="20" customHeight="1">
      <c r="A1690" s="125" t="s">
        <v>486</v>
      </c>
      <c r="B1690" s="126" t="s">
        <v>57</v>
      </c>
      <c r="C1690" s="127">
        <v>20209</v>
      </c>
      <c r="D1690" s="163">
        <v>115966</v>
      </c>
      <c r="E1690" s="164" t="s">
        <v>3736</v>
      </c>
      <c r="F1690" s="164" t="s">
        <v>3736</v>
      </c>
      <c r="G1690" s="165">
        <v>12000</v>
      </c>
      <c r="H1690" s="165">
        <v>1</v>
      </c>
      <c r="I1690" s="164" t="s">
        <v>187</v>
      </c>
      <c r="J1690" s="164" t="s">
        <v>3737</v>
      </c>
      <c r="K1690" s="164" t="s">
        <v>3738</v>
      </c>
      <c r="L1690" s="165">
        <v>3</v>
      </c>
      <c r="M1690" s="165">
        <v>5</v>
      </c>
      <c r="N1690" s="164" t="s">
        <v>1577</v>
      </c>
      <c r="O1690" s="165">
        <v>0.46</v>
      </c>
      <c r="P1690" s="168"/>
      <c r="Q1690" s="165">
        <v>21</v>
      </c>
      <c r="R1690" s="164" t="s">
        <v>200</v>
      </c>
      <c r="S1690" s="164" t="s">
        <v>201</v>
      </c>
      <c r="T1690" s="165">
        <v>442</v>
      </c>
      <c r="U1690" s="164" t="s">
        <v>200</v>
      </c>
      <c r="V1690" s="164" t="s">
        <v>720</v>
      </c>
      <c r="W1690" s="165">
        <v>2</v>
      </c>
      <c r="X1690" s="165">
        <v>4</v>
      </c>
      <c r="Y1690" s="164" t="s">
        <v>203</v>
      </c>
      <c r="Z1690" s="164" t="s">
        <v>195</v>
      </c>
      <c r="AA1690" s="164" t="s">
        <v>196</v>
      </c>
      <c r="AB1690" s="164" t="s">
        <v>187</v>
      </c>
      <c r="AC1690" s="164" t="s">
        <v>187</v>
      </c>
      <c r="AD1690" s="165">
        <v>1</v>
      </c>
      <c r="AE1690" s="164" t="s">
        <v>209</v>
      </c>
      <c r="AF1690" s="165">
        <v>24.892900000000001</v>
      </c>
      <c r="AG1690" s="166">
        <v>91.858074999999999</v>
      </c>
      <c r="AO1690" s="121"/>
      <c r="AT1690" s="111"/>
      <c r="AX1690" s="121"/>
    </row>
    <row r="1691" spans="1:50" s="110" customFormat="1" ht="20" customHeight="1">
      <c r="A1691" s="125" t="s">
        <v>486</v>
      </c>
      <c r="B1691" s="126" t="s">
        <v>57</v>
      </c>
      <c r="C1691" s="127">
        <v>17912</v>
      </c>
      <c r="D1691" s="163">
        <v>113393</v>
      </c>
      <c r="E1691" s="164" t="s">
        <v>3594</v>
      </c>
      <c r="F1691" s="164" t="s">
        <v>3594</v>
      </c>
      <c r="G1691" s="165">
        <v>9600</v>
      </c>
      <c r="H1691" s="165">
        <v>1</v>
      </c>
      <c r="I1691" s="164" t="s">
        <v>187</v>
      </c>
      <c r="J1691" s="164" t="s">
        <v>198</v>
      </c>
      <c r="K1691" s="164" t="s">
        <v>199</v>
      </c>
      <c r="L1691" s="165">
        <v>5</v>
      </c>
      <c r="M1691" s="165">
        <v>5</v>
      </c>
      <c r="N1691" s="164" t="s">
        <v>1577</v>
      </c>
      <c r="O1691" s="165">
        <v>0</v>
      </c>
      <c r="P1691" s="165">
        <v>0</v>
      </c>
      <c r="Q1691" s="165">
        <v>21</v>
      </c>
      <c r="R1691" s="164" t="s">
        <v>200</v>
      </c>
      <c r="S1691" s="164" t="s">
        <v>201</v>
      </c>
      <c r="T1691" s="165">
        <v>442</v>
      </c>
      <c r="U1691" s="164" t="s">
        <v>200</v>
      </c>
      <c r="V1691" s="164" t="s">
        <v>720</v>
      </c>
      <c r="W1691" s="165">
        <v>2</v>
      </c>
      <c r="X1691" s="165">
        <v>4</v>
      </c>
      <c r="Y1691" s="164" t="s">
        <v>203</v>
      </c>
      <c r="Z1691" s="164" t="s">
        <v>195</v>
      </c>
      <c r="AA1691" s="164" t="s">
        <v>196</v>
      </c>
      <c r="AB1691" s="164" t="s">
        <v>187</v>
      </c>
      <c r="AC1691" s="164" t="s">
        <v>187</v>
      </c>
      <c r="AD1691" s="165">
        <v>1</v>
      </c>
      <c r="AE1691" s="164" t="s">
        <v>187</v>
      </c>
      <c r="AF1691" s="165">
        <v>24.973462914245399</v>
      </c>
      <c r="AG1691" s="166">
        <v>88.825529140289603</v>
      </c>
      <c r="AO1691" s="121"/>
      <c r="AT1691" s="111"/>
      <c r="AX1691" s="121"/>
    </row>
    <row r="1692" spans="1:50" s="110" customFormat="1" ht="20" customHeight="1">
      <c r="A1692" s="125" t="s">
        <v>486</v>
      </c>
      <c r="B1692" s="126" t="s">
        <v>57</v>
      </c>
      <c r="C1692" s="127">
        <v>16577</v>
      </c>
      <c r="D1692" s="163">
        <v>111770</v>
      </c>
      <c r="E1692" s="164" t="s">
        <v>3584</v>
      </c>
      <c r="F1692" s="164" t="s">
        <v>3584</v>
      </c>
      <c r="G1692" s="165">
        <v>9400</v>
      </c>
      <c r="H1692" s="165">
        <v>1</v>
      </c>
      <c r="I1692" s="164" t="s">
        <v>187</v>
      </c>
      <c r="J1692" s="164" t="s">
        <v>198</v>
      </c>
      <c r="K1692" s="164" t="s">
        <v>199</v>
      </c>
      <c r="L1692" s="165">
        <v>5</v>
      </c>
      <c r="M1692" s="165">
        <v>5</v>
      </c>
      <c r="N1692" s="164" t="s">
        <v>1577</v>
      </c>
      <c r="O1692" s="165">
        <v>0</v>
      </c>
      <c r="P1692" s="165">
        <v>0</v>
      </c>
      <c r="Q1692" s="165">
        <v>21</v>
      </c>
      <c r="R1692" s="164" t="s">
        <v>200</v>
      </c>
      <c r="S1692" s="164" t="s">
        <v>201</v>
      </c>
      <c r="T1692" s="165">
        <v>442</v>
      </c>
      <c r="U1692" s="164" t="s">
        <v>200</v>
      </c>
      <c r="V1692" s="164" t="s">
        <v>720</v>
      </c>
      <c r="W1692" s="165">
        <v>2</v>
      </c>
      <c r="X1692" s="165">
        <v>4</v>
      </c>
      <c r="Y1692" s="164" t="s">
        <v>203</v>
      </c>
      <c r="Z1692" s="164" t="s">
        <v>195</v>
      </c>
      <c r="AA1692" s="164" t="s">
        <v>196</v>
      </c>
      <c r="AB1692" s="164" t="s">
        <v>187</v>
      </c>
      <c r="AC1692" s="164" t="s">
        <v>187</v>
      </c>
      <c r="AD1692" s="165">
        <v>1</v>
      </c>
      <c r="AE1692" s="164" t="s">
        <v>187</v>
      </c>
      <c r="AF1692" s="165">
        <v>25.127155281840999</v>
      </c>
      <c r="AG1692" s="166">
        <v>88.789524200500907</v>
      </c>
      <c r="AO1692" s="121"/>
      <c r="AT1692" s="111"/>
      <c r="AX1692" s="121"/>
    </row>
    <row r="1693" spans="1:50" s="110" customFormat="1" ht="20" customHeight="1">
      <c r="A1693" s="125" t="s">
        <v>486</v>
      </c>
      <c r="B1693" s="126" t="s">
        <v>57</v>
      </c>
      <c r="C1693" s="127">
        <v>16457</v>
      </c>
      <c r="D1693" s="163">
        <v>111621</v>
      </c>
      <c r="E1693" s="164" t="s">
        <v>3578</v>
      </c>
      <c r="F1693" s="164" t="s">
        <v>3578</v>
      </c>
      <c r="G1693" s="165">
        <v>9300</v>
      </c>
      <c r="H1693" s="165">
        <v>1</v>
      </c>
      <c r="I1693" s="164" t="s">
        <v>187</v>
      </c>
      <c r="J1693" s="164" t="s">
        <v>198</v>
      </c>
      <c r="K1693" s="164" t="s">
        <v>199</v>
      </c>
      <c r="L1693" s="165">
        <v>5</v>
      </c>
      <c r="M1693" s="165">
        <v>5</v>
      </c>
      <c r="N1693" s="164" t="s">
        <v>1577</v>
      </c>
      <c r="O1693" s="165">
        <v>0</v>
      </c>
      <c r="P1693" s="165">
        <v>0</v>
      </c>
      <c r="Q1693" s="165">
        <v>21</v>
      </c>
      <c r="R1693" s="164" t="s">
        <v>200</v>
      </c>
      <c r="S1693" s="164" t="s">
        <v>201</v>
      </c>
      <c r="T1693" s="165">
        <v>442</v>
      </c>
      <c r="U1693" s="164" t="s">
        <v>200</v>
      </c>
      <c r="V1693" s="164" t="s">
        <v>720</v>
      </c>
      <c r="W1693" s="165">
        <v>3</v>
      </c>
      <c r="X1693" s="165">
        <v>4</v>
      </c>
      <c r="Y1693" s="164" t="s">
        <v>203</v>
      </c>
      <c r="Z1693" s="164" t="s">
        <v>195</v>
      </c>
      <c r="AA1693" s="164" t="s">
        <v>196</v>
      </c>
      <c r="AB1693" s="164" t="s">
        <v>187</v>
      </c>
      <c r="AC1693" s="164" t="s">
        <v>187</v>
      </c>
      <c r="AD1693" s="165">
        <v>1</v>
      </c>
      <c r="AE1693" s="164" t="s">
        <v>187</v>
      </c>
      <c r="AF1693" s="165">
        <v>24.668140960985401</v>
      </c>
      <c r="AG1693" s="166">
        <v>89.848183980265802</v>
      </c>
      <c r="AO1693" s="121"/>
      <c r="AT1693" s="111"/>
      <c r="AX1693" s="121"/>
    </row>
    <row r="1694" spans="1:50" s="110" customFormat="1" ht="20" customHeight="1">
      <c r="A1694" s="125" t="s">
        <v>486</v>
      </c>
      <c r="B1694" s="126" t="s">
        <v>57</v>
      </c>
      <c r="C1694" s="127">
        <v>19069</v>
      </c>
      <c r="D1694" s="163">
        <v>114884</v>
      </c>
      <c r="E1694" s="164" t="s">
        <v>3556</v>
      </c>
      <c r="F1694" s="164" t="s">
        <v>3556</v>
      </c>
      <c r="G1694" s="165">
        <v>9100</v>
      </c>
      <c r="H1694" s="165">
        <v>1</v>
      </c>
      <c r="I1694" s="164" t="s">
        <v>187</v>
      </c>
      <c r="J1694" s="164" t="s">
        <v>198</v>
      </c>
      <c r="K1694" s="164" t="s">
        <v>199</v>
      </c>
      <c r="L1694" s="165">
        <v>5</v>
      </c>
      <c r="M1694" s="165">
        <v>5</v>
      </c>
      <c r="N1694" s="164" t="s">
        <v>1577</v>
      </c>
      <c r="O1694" s="165">
        <v>0</v>
      </c>
      <c r="P1694" s="165">
        <v>0</v>
      </c>
      <c r="Q1694" s="165">
        <v>21</v>
      </c>
      <c r="R1694" s="164" t="s">
        <v>200</v>
      </c>
      <c r="S1694" s="164" t="s">
        <v>201</v>
      </c>
      <c r="T1694" s="165">
        <v>442</v>
      </c>
      <c r="U1694" s="164" t="s">
        <v>200</v>
      </c>
      <c r="V1694" s="164" t="s">
        <v>720</v>
      </c>
      <c r="W1694" s="165">
        <v>2</v>
      </c>
      <c r="X1694" s="165">
        <v>4</v>
      </c>
      <c r="Y1694" s="164" t="s">
        <v>203</v>
      </c>
      <c r="Z1694" s="164" t="s">
        <v>195</v>
      </c>
      <c r="AA1694" s="164" t="s">
        <v>196</v>
      </c>
      <c r="AB1694" s="164" t="s">
        <v>187</v>
      </c>
      <c r="AC1694" s="164" t="s">
        <v>187</v>
      </c>
      <c r="AD1694" s="165">
        <v>1</v>
      </c>
      <c r="AE1694" s="164" t="s">
        <v>187</v>
      </c>
      <c r="AF1694" s="165">
        <v>22.809865945222001</v>
      </c>
      <c r="AG1694" s="166">
        <v>89.896822833619098</v>
      </c>
      <c r="AO1694" s="121"/>
      <c r="AT1694" s="111"/>
      <c r="AX1694" s="121"/>
    </row>
    <row r="1695" spans="1:50" s="110" customFormat="1" ht="20" customHeight="1">
      <c r="A1695" s="125" t="s">
        <v>486</v>
      </c>
      <c r="B1695" s="126" t="s">
        <v>57</v>
      </c>
      <c r="C1695" s="127">
        <v>21140</v>
      </c>
      <c r="D1695" s="163">
        <v>117962</v>
      </c>
      <c r="E1695" s="164" t="s">
        <v>3526</v>
      </c>
      <c r="F1695" s="164" t="s">
        <v>3526</v>
      </c>
      <c r="G1695" s="165">
        <v>8800</v>
      </c>
      <c r="H1695" s="165">
        <v>1</v>
      </c>
      <c r="I1695" s="164" t="s">
        <v>187</v>
      </c>
      <c r="J1695" s="164" t="s">
        <v>198</v>
      </c>
      <c r="K1695" s="164" t="s">
        <v>199</v>
      </c>
      <c r="L1695" s="165">
        <v>5</v>
      </c>
      <c r="M1695" s="165">
        <v>5</v>
      </c>
      <c r="N1695" s="164" t="s">
        <v>1577</v>
      </c>
      <c r="O1695" s="165">
        <v>0</v>
      </c>
      <c r="P1695" s="165">
        <v>0</v>
      </c>
      <c r="Q1695" s="165">
        <v>21</v>
      </c>
      <c r="R1695" s="164" t="s">
        <v>200</v>
      </c>
      <c r="S1695" s="164" t="s">
        <v>201</v>
      </c>
      <c r="T1695" s="165">
        <v>442</v>
      </c>
      <c r="U1695" s="164" t="s">
        <v>200</v>
      </c>
      <c r="V1695" s="164" t="s">
        <v>720</v>
      </c>
      <c r="W1695" s="165">
        <v>3</v>
      </c>
      <c r="X1695" s="165">
        <v>4</v>
      </c>
      <c r="Y1695" s="164" t="s">
        <v>203</v>
      </c>
      <c r="Z1695" s="164" t="s">
        <v>195</v>
      </c>
      <c r="AA1695" s="164" t="s">
        <v>196</v>
      </c>
      <c r="AB1695" s="164" t="s">
        <v>187</v>
      </c>
      <c r="AC1695" s="164" t="s">
        <v>187</v>
      </c>
      <c r="AD1695" s="165">
        <v>1</v>
      </c>
      <c r="AE1695" s="164" t="s">
        <v>187</v>
      </c>
      <c r="AF1695" s="165">
        <v>23.806723022874401</v>
      </c>
      <c r="AG1695" s="166">
        <v>90.298712368451504</v>
      </c>
      <c r="AO1695" s="121"/>
      <c r="AT1695" s="111"/>
      <c r="AX1695" s="121"/>
    </row>
    <row r="1696" spans="1:50" s="110" customFormat="1" ht="20" customHeight="1">
      <c r="A1696" s="125" t="s">
        <v>486</v>
      </c>
      <c r="B1696" s="126" t="s">
        <v>57</v>
      </c>
      <c r="C1696" s="127">
        <v>16375</v>
      </c>
      <c r="D1696" s="163">
        <v>111517</v>
      </c>
      <c r="E1696" s="164" t="s">
        <v>3519</v>
      </c>
      <c r="F1696" s="164" t="s">
        <v>3519</v>
      </c>
      <c r="G1696" s="165">
        <v>8700</v>
      </c>
      <c r="H1696" s="165">
        <v>1</v>
      </c>
      <c r="I1696" s="164" t="s">
        <v>187</v>
      </c>
      <c r="J1696" s="164" t="s">
        <v>198</v>
      </c>
      <c r="K1696" s="164" t="s">
        <v>199</v>
      </c>
      <c r="L1696" s="165">
        <v>5</v>
      </c>
      <c r="M1696" s="165">
        <v>5</v>
      </c>
      <c r="N1696" s="164" t="s">
        <v>1577</v>
      </c>
      <c r="O1696" s="165">
        <v>0</v>
      </c>
      <c r="P1696" s="165">
        <v>0</v>
      </c>
      <c r="Q1696" s="165">
        <v>21</v>
      </c>
      <c r="R1696" s="164" t="s">
        <v>200</v>
      </c>
      <c r="S1696" s="164" t="s">
        <v>201</v>
      </c>
      <c r="T1696" s="165">
        <v>442</v>
      </c>
      <c r="U1696" s="164" t="s">
        <v>200</v>
      </c>
      <c r="V1696" s="164" t="s">
        <v>720</v>
      </c>
      <c r="W1696" s="165">
        <v>3</v>
      </c>
      <c r="X1696" s="165">
        <v>4</v>
      </c>
      <c r="Y1696" s="164" t="s">
        <v>203</v>
      </c>
      <c r="Z1696" s="164" t="s">
        <v>195</v>
      </c>
      <c r="AA1696" s="164" t="s">
        <v>196</v>
      </c>
      <c r="AB1696" s="164" t="s">
        <v>187</v>
      </c>
      <c r="AC1696" s="164" t="s">
        <v>187</v>
      </c>
      <c r="AD1696" s="165">
        <v>1</v>
      </c>
      <c r="AE1696" s="164" t="s">
        <v>187</v>
      </c>
      <c r="AF1696" s="165">
        <v>23.668325975029401</v>
      </c>
      <c r="AG1696" s="166">
        <v>89.988357724229004</v>
      </c>
      <c r="AO1696" s="121"/>
      <c r="AT1696" s="111"/>
      <c r="AX1696" s="121"/>
    </row>
    <row r="1697" spans="1:50" s="110" customFormat="1" ht="20" customHeight="1">
      <c r="A1697" s="125" t="s">
        <v>486</v>
      </c>
      <c r="B1697" s="126" t="s">
        <v>57</v>
      </c>
      <c r="C1697" s="127">
        <v>17401</v>
      </c>
      <c r="D1697" s="163">
        <v>112801</v>
      </c>
      <c r="E1697" s="164" t="s">
        <v>3513</v>
      </c>
      <c r="F1697" s="164" t="s">
        <v>3513</v>
      </c>
      <c r="G1697" s="165">
        <v>8500</v>
      </c>
      <c r="H1697" s="165">
        <v>1</v>
      </c>
      <c r="I1697" s="164" t="s">
        <v>187</v>
      </c>
      <c r="J1697" s="164" t="s">
        <v>647</v>
      </c>
      <c r="K1697" s="164" t="s">
        <v>648</v>
      </c>
      <c r="L1697" s="165">
        <v>4</v>
      </c>
      <c r="M1697" s="165">
        <v>5</v>
      </c>
      <c r="N1697" s="164" t="s">
        <v>1577</v>
      </c>
      <c r="O1697" s="165">
        <v>0</v>
      </c>
      <c r="P1697" s="165">
        <v>0</v>
      </c>
      <c r="Q1697" s="165">
        <v>21</v>
      </c>
      <c r="R1697" s="164" t="s">
        <v>200</v>
      </c>
      <c r="S1697" s="164" t="s">
        <v>201</v>
      </c>
      <c r="T1697" s="165">
        <v>442</v>
      </c>
      <c r="U1697" s="164" t="s">
        <v>200</v>
      </c>
      <c r="V1697" s="164" t="s">
        <v>720</v>
      </c>
      <c r="W1697" s="165">
        <v>2</v>
      </c>
      <c r="X1697" s="165">
        <v>4</v>
      </c>
      <c r="Y1697" s="164" t="s">
        <v>203</v>
      </c>
      <c r="Z1697" s="164" t="s">
        <v>195</v>
      </c>
      <c r="AA1697" s="164" t="s">
        <v>196</v>
      </c>
      <c r="AB1697" s="164" t="s">
        <v>187</v>
      </c>
      <c r="AC1697" s="164" t="s">
        <v>187</v>
      </c>
      <c r="AD1697" s="165">
        <v>1</v>
      </c>
      <c r="AE1697" s="164" t="s">
        <v>187</v>
      </c>
      <c r="AF1697" s="165">
        <v>24.9465124795992</v>
      </c>
      <c r="AG1697" s="166">
        <v>92.326675274648096</v>
      </c>
      <c r="AO1697" s="121"/>
      <c r="AT1697" s="111"/>
      <c r="AX1697" s="121"/>
    </row>
    <row r="1698" spans="1:50" s="110" customFormat="1" ht="20" customHeight="1">
      <c r="A1698" s="125" t="s">
        <v>486</v>
      </c>
      <c r="B1698" s="126" t="s">
        <v>57</v>
      </c>
      <c r="C1698" s="127">
        <v>16940</v>
      </c>
      <c r="D1698" s="163">
        <v>112243</v>
      </c>
      <c r="E1698" s="164" t="s">
        <v>3441</v>
      </c>
      <c r="F1698" s="164" t="s">
        <v>3441</v>
      </c>
      <c r="G1698" s="165">
        <v>7600</v>
      </c>
      <c r="H1698" s="165">
        <v>1</v>
      </c>
      <c r="I1698" s="164" t="s">
        <v>187</v>
      </c>
      <c r="J1698" s="164" t="s">
        <v>198</v>
      </c>
      <c r="K1698" s="164" t="s">
        <v>199</v>
      </c>
      <c r="L1698" s="165">
        <v>5</v>
      </c>
      <c r="M1698" s="165">
        <v>5</v>
      </c>
      <c r="N1698" s="164" t="s">
        <v>1577</v>
      </c>
      <c r="O1698" s="165">
        <v>0</v>
      </c>
      <c r="P1698" s="165">
        <v>0</v>
      </c>
      <c r="Q1698" s="165">
        <v>21</v>
      </c>
      <c r="R1698" s="164" t="s">
        <v>200</v>
      </c>
      <c r="S1698" s="164" t="s">
        <v>201</v>
      </c>
      <c r="T1698" s="165">
        <v>442</v>
      </c>
      <c r="U1698" s="164" t="s">
        <v>200</v>
      </c>
      <c r="V1698" s="164" t="s">
        <v>720</v>
      </c>
      <c r="W1698" s="165">
        <v>2</v>
      </c>
      <c r="X1698" s="165">
        <v>4</v>
      </c>
      <c r="Y1698" s="164" t="s">
        <v>203</v>
      </c>
      <c r="Z1698" s="164" t="s">
        <v>195</v>
      </c>
      <c r="AA1698" s="164" t="s">
        <v>196</v>
      </c>
      <c r="AB1698" s="164" t="s">
        <v>187</v>
      </c>
      <c r="AC1698" s="164" t="s">
        <v>187</v>
      </c>
      <c r="AD1698" s="165">
        <v>1</v>
      </c>
      <c r="AE1698" s="164" t="s">
        <v>187</v>
      </c>
      <c r="AF1698" s="165">
        <v>22.6186407841912</v>
      </c>
      <c r="AG1698" s="166">
        <v>89.738526891933404</v>
      </c>
      <c r="AO1698" s="121"/>
      <c r="AT1698" s="111"/>
      <c r="AX1698" s="121"/>
    </row>
    <row r="1699" spans="1:50" s="110" customFormat="1" ht="20" customHeight="1">
      <c r="A1699" s="125" t="s">
        <v>486</v>
      </c>
      <c r="B1699" s="126" t="s">
        <v>57</v>
      </c>
      <c r="C1699" s="127">
        <v>16751</v>
      </c>
      <c r="D1699" s="163">
        <v>111999</v>
      </c>
      <c r="E1699" s="164" t="s">
        <v>3425</v>
      </c>
      <c r="F1699" s="164" t="s">
        <v>3425</v>
      </c>
      <c r="G1699" s="165">
        <v>7300</v>
      </c>
      <c r="H1699" s="165">
        <v>1</v>
      </c>
      <c r="I1699" s="164" t="s">
        <v>187</v>
      </c>
      <c r="J1699" s="164" t="s">
        <v>198</v>
      </c>
      <c r="K1699" s="164" t="s">
        <v>199</v>
      </c>
      <c r="L1699" s="165">
        <v>5</v>
      </c>
      <c r="M1699" s="165">
        <v>5</v>
      </c>
      <c r="N1699" s="164" t="s">
        <v>1577</v>
      </c>
      <c r="O1699" s="165">
        <v>0</v>
      </c>
      <c r="P1699" s="165">
        <v>0</v>
      </c>
      <c r="Q1699" s="165">
        <v>21</v>
      </c>
      <c r="R1699" s="164" t="s">
        <v>200</v>
      </c>
      <c r="S1699" s="164" t="s">
        <v>201</v>
      </c>
      <c r="T1699" s="165">
        <v>442</v>
      </c>
      <c r="U1699" s="164" t="s">
        <v>200</v>
      </c>
      <c r="V1699" s="164" t="s">
        <v>720</v>
      </c>
      <c r="W1699" s="165">
        <v>2</v>
      </c>
      <c r="X1699" s="165">
        <v>4</v>
      </c>
      <c r="Y1699" s="164" t="s">
        <v>203</v>
      </c>
      <c r="Z1699" s="164" t="s">
        <v>195</v>
      </c>
      <c r="AA1699" s="164" t="s">
        <v>196</v>
      </c>
      <c r="AB1699" s="164" t="s">
        <v>187</v>
      </c>
      <c r="AC1699" s="164" t="s">
        <v>187</v>
      </c>
      <c r="AD1699" s="165">
        <v>1</v>
      </c>
      <c r="AE1699" s="164" t="s">
        <v>187</v>
      </c>
      <c r="AF1699" s="165">
        <v>24.637957</v>
      </c>
      <c r="AG1699" s="166">
        <v>90.669856999999993</v>
      </c>
      <c r="AO1699" s="121"/>
      <c r="AT1699" s="111"/>
      <c r="AX1699" s="121"/>
    </row>
    <row r="1700" spans="1:50" s="110" customFormat="1" ht="20" customHeight="1">
      <c r="A1700" s="125" t="s">
        <v>486</v>
      </c>
      <c r="B1700" s="126" t="s">
        <v>57</v>
      </c>
      <c r="C1700" s="127">
        <v>17110</v>
      </c>
      <c r="D1700" s="163">
        <v>112453</v>
      </c>
      <c r="E1700" s="164" t="s">
        <v>2943</v>
      </c>
      <c r="F1700" s="164" t="s">
        <v>2943</v>
      </c>
      <c r="G1700" s="165">
        <v>6800</v>
      </c>
      <c r="H1700" s="165">
        <v>1</v>
      </c>
      <c r="I1700" s="164" t="s">
        <v>187</v>
      </c>
      <c r="J1700" s="164" t="s">
        <v>198</v>
      </c>
      <c r="K1700" s="164" t="s">
        <v>199</v>
      </c>
      <c r="L1700" s="165">
        <v>5</v>
      </c>
      <c r="M1700" s="165">
        <v>5</v>
      </c>
      <c r="N1700" s="164" t="s">
        <v>1577</v>
      </c>
      <c r="O1700" s="165">
        <v>0</v>
      </c>
      <c r="P1700" s="165">
        <v>0</v>
      </c>
      <c r="Q1700" s="165">
        <v>21</v>
      </c>
      <c r="R1700" s="164" t="s">
        <v>200</v>
      </c>
      <c r="S1700" s="164" t="s">
        <v>201</v>
      </c>
      <c r="T1700" s="165">
        <v>442</v>
      </c>
      <c r="U1700" s="164" t="s">
        <v>200</v>
      </c>
      <c r="V1700" s="164" t="s">
        <v>720</v>
      </c>
      <c r="W1700" s="165">
        <v>3</v>
      </c>
      <c r="X1700" s="165">
        <v>4</v>
      </c>
      <c r="Y1700" s="164" t="s">
        <v>203</v>
      </c>
      <c r="Z1700" s="164" t="s">
        <v>195</v>
      </c>
      <c r="AA1700" s="164" t="s">
        <v>196</v>
      </c>
      <c r="AB1700" s="164" t="s">
        <v>187</v>
      </c>
      <c r="AC1700" s="164" t="s">
        <v>187</v>
      </c>
      <c r="AD1700" s="165">
        <v>1</v>
      </c>
      <c r="AE1700" s="164" t="s">
        <v>187</v>
      </c>
      <c r="AF1700" s="165">
        <v>23.379695139776299</v>
      </c>
      <c r="AG1700" s="166">
        <v>89.436689543522903</v>
      </c>
      <c r="AO1700" s="121"/>
      <c r="AT1700" s="111"/>
      <c r="AX1700" s="121"/>
    </row>
    <row r="1701" spans="1:50" s="110" customFormat="1" ht="20" customHeight="1">
      <c r="A1701" s="125" t="s">
        <v>486</v>
      </c>
      <c r="B1701" s="126" t="s">
        <v>57</v>
      </c>
      <c r="C1701" s="127">
        <v>16775</v>
      </c>
      <c r="D1701" s="163">
        <v>112033</v>
      </c>
      <c r="E1701" s="164" t="s">
        <v>3358</v>
      </c>
      <c r="F1701" s="164" t="s">
        <v>3358</v>
      </c>
      <c r="G1701" s="165">
        <v>6500</v>
      </c>
      <c r="H1701" s="165">
        <v>1</v>
      </c>
      <c r="I1701" s="164" t="s">
        <v>187</v>
      </c>
      <c r="J1701" s="164" t="s">
        <v>198</v>
      </c>
      <c r="K1701" s="164" t="s">
        <v>199</v>
      </c>
      <c r="L1701" s="165">
        <v>5</v>
      </c>
      <c r="M1701" s="165">
        <v>5</v>
      </c>
      <c r="N1701" s="164" t="s">
        <v>1577</v>
      </c>
      <c r="O1701" s="165">
        <v>0</v>
      </c>
      <c r="P1701" s="165">
        <v>0</v>
      </c>
      <c r="Q1701" s="165">
        <v>21</v>
      </c>
      <c r="R1701" s="164" t="s">
        <v>200</v>
      </c>
      <c r="S1701" s="164" t="s">
        <v>201</v>
      </c>
      <c r="T1701" s="165">
        <v>442</v>
      </c>
      <c r="U1701" s="164" t="s">
        <v>200</v>
      </c>
      <c r="V1701" s="164" t="s">
        <v>720</v>
      </c>
      <c r="W1701" s="165">
        <v>1</v>
      </c>
      <c r="X1701" s="165">
        <v>4</v>
      </c>
      <c r="Y1701" s="164" t="s">
        <v>203</v>
      </c>
      <c r="Z1701" s="164" t="s">
        <v>195</v>
      </c>
      <c r="AA1701" s="164" t="s">
        <v>196</v>
      </c>
      <c r="AB1701" s="164" t="s">
        <v>187</v>
      </c>
      <c r="AC1701" s="164" t="s">
        <v>187</v>
      </c>
      <c r="AD1701" s="165">
        <v>1</v>
      </c>
      <c r="AE1701" s="164" t="s">
        <v>187</v>
      </c>
      <c r="AF1701" s="165">
        <v>22.901117832695199</v>
      </c>
      <c r="AG1701" s="166">
        <v>90.031687240738606</v>
      </c>
      <c r="AO1701" s="121"/>
      <c r="AT1701" s="111"/>
      <c r="AX1701" s="121"/>
    </row>
    <row r="1702" spans="1:50" s="110" customFormat="1" ht="20" customHeight="1">
      <c r="A1702" s="125" t="s">
        <v>486</v>
      </c>
      <c r="B1702" s="126" t="s">
        <v>57</v>
      </c>
      <c r="C1702" s="127">
        <v>16300</v>
      </c>
      <c r="D1702" s="163">
        <v>111427</v>
      </c>
      <c r="E1702" s="164" t="s">
        <v>3333</v>
      </c>
      <c r="F1702" s="164" t="s">
        <v>3333</v>
      </c>
      <c r="G1702" s="165">
        <v>6300</v>
      </c>
      <c r="H1702" s="165">
        <v>1</v>
      </c>
      <c r="I1702" s="164" t="s">
        <v>187</v>
      </c>
      <c r="J1702" s="164" t="s">
        <v>198</v>
      </c>
      <c r="K1702" s="164" t="s">
        <v>199</v>
      </c>
      <c r="L1702" s="165">
        <v>5</v>
      </c>
      <c r="M1702" s="165">
        <v>5</v>
      </c>
      <c r="N1702" s="164" t="s">
        <v>1577</v>
      </c>
      <c r="O1702" s="165">
        <v>0</v>
      </c>
      <c r="P1702" s="165">
        <v>0</v>
      </c>
      <c r="Q1702" s="165">
        <v>21</v>
      </c>
      <c r="R1702" s="164" t="s">
        <v>200</v>
      </c>
      <c r="S1702" s="164" t="s">
        <v>201</v>
      </c>
      <c r="T1702" s="165">
        <v>442</v>
      </c>
      <c r="U1702" s="164" t="s">
        <v>200</v>
      </c>
      <c r="V1702" s="164" t="s">
        <v>720</v>
      </c>
      <c r="W1702" s="165">
        <v>2</v>
      </c>
      <c r="X1702" s="165">
        <v>4</v>
      </c>
      <c r="Y1702" s="164" t="s">
        <v>203</v>
      </c>
      <c r="Z1702" s="164" t="s">
        <v>195</v>
      </c>
      <c r="AA1702" s="164" t="s">
        <v>196</v>
      </c>
      <c r="AB1702" s="164" t="s">
        <v>187</v>
      </c>
      <c r="AC1702" s="164" t="s">
        <v>187</v>
      </c>
      <c r="AD1702" s="165">
        <v>1</v>
      </c>
      <c r="AE1702" s="164" t="s">
        <v>187</v>
      </c>
      <c r="AF1702" s="165">
        <v>24.1824017926618</v>
      </c>
      <c r="AG1702" s="166">
        <v>90.9287684142176</v>
      </c>
      <c r="AO1702" s="121"/>
      <c r="AT1702" s="111"/>
      <c r="AX1702" s="121"/>
    </row>
    <row r="1703" spans="1:50" s="110" customFormat="1" ht="20" customHeight="1">
      <c r="A1703" s="125" t="s">
        <v>486</v>
      </c>
      <c r="B1703" s="126" t="s">
        <v>57</v>
      </c>
      <c r="C1703" s="127">
        <v>17236</v>
      </c>
      <c r="D1703" s="163">
        <v>112604</v>
      </c>
      <c r="E1703" s="164" t="s">
        <v>3334</v>
      </c>
      <c r="F1703" s="164" t="s">
        <v>3334</v>
      </c>
      <c r="G1703" s="165">
        <v>6300</v>
      </c>
      <c r="H1703" s="165">
        <v>1</v>
      </c>
      <c r="I1703" s="164" t="s">
        <v>187</v>
      </c>
      <c r="J1703" s="164" t="s">
        <v>198</v>
      </c>
      <c r="K1703" s="164" t="s">
        <v>199</v>
      </c>
      <c r="L1703" s="165">
        <v>5</v>
      </c>
      <c r="M1703" s="165">
        <v>5</v>
      </c>
      <c r="N1703" s="164" t="s">
        <v>1577</v>
      </c>
      <c r="O1703" s="165">
        <v>0</v>
      </c>
      <c r="P1703" s="165">
        <v>0</v>
      </c>
      <c r="Q1703" s="165">
        <v>21</v>
      </c>
      <c r="R1703" s="164" t="s">
        <v>200</v>
      </c>
      <c r="S1703" s="164" t="s">
        <v>201</v>
      </c>
      <c r="T1703" s="165">
        <v>442</v>
      </c>
      <c r="U1703" s="164" t="s">
        <v>200</v>
      </c>
      <c r="V1703" s="164" t="s">
        <v>720</v>
      </c>
      <c r="W1703" s="165">
        <v>3</v>
      </c>
      <c r="X1703" s="165">
        <v>4</v>
      </c>
      <c r="Y1703" s="164" t="s">
        <v>203</v>
      </c>
      <c r="Z1703" s="164" t="s">
        <v>195</v>
      </c>
      <c r="AA1703" s="164" t="s">
        <v>196</v>
      </c>
      <c r="AB1703" s="164" t="s">
        <v>187</v>
      </c>
      <c r="AC1703" s="164" t="s">
        <v>187</v>
      </c>
      <c r="AD1703" s="165">
        <v>1</v>
      </c>
      <c r="AE1703" s="164" t="s">
        <v>187</v>
      </c>
      <c r="AF1703" s="165">
        <v>25.825382381073201</v>
      </c>
      <c r="AG1703" s="166">
        <v>89.094756915535896</v>
      </c>
      <c r="AO1703" s="121"/>
      <c r="AT1703" s="111"/>
      <c r="AX1703" s="121"/>
    </row>
    <row r="1704" spans="1:50" s="110" customFormat="1" ht="20" customHeight="1">
      <c r="A1704" s="125" t="s">
        <v>486</v>
      </c>
      <c r="B1704" s="126" t="s">
        <v>57</v>
      </c>
      <c r="C1704" s="127">
        <v>16857</v>
      </c>
      <c r="D1704" s="163">
        <v>112139</v>
      </c>
      <c r="E1704" s="164" t="s">
        <v>3224</v>
      </c>
      <c r="F1704" s="164" t="s">
        <v>3224</v>
      </c>
      <c r="G1704" s="165">
        <v>5300</v>
      </c>
      <c r="H1704" s="165">
        <v>1</v>
      </c>
      <c r="I1704" s="164" t="s">
        <v>187</v>
      </c>
      <c r="J1704" s="164" t="s">
        <v>198</v>
      </c>
      <c r="K1704" s="164" t="s">
        <v>199</v>
      </c>
      <c r="L1704" s="165">
        <v>5</v>
      </c>
      <c r="M1704" s="165">
        <v>5</v>
      </c>
      <c r="N1704" s="164" t="s">
        <v>1577</v>
      </c>
      <c r="O1704" s="165">
        <v>0</v>
      </c>
      <c r="P1704" s="165">
        <v>0</v>
      </c>
      <c r="Q1704" s="165">
        <v>21</v>
      </c>
      <c r="R1704" s="164" t="s">
        <v>200</v>
      </c>
      <c r="S1704" s="164" t="s">
        <v>201</v>
      </c>
      <c r="T1704" s="165">
        <v>442</v>
      </c>
      <c r="U1704" s="164" t="s">
        <v>200</v>
      </c>
      <c r="V1704" s="164" t="s">
        <v>720</v>
      </c>
      <c r="W1704" s="165">
        <v>3</v>
      </c>
      <c r="X1704" s="165">
        <v>4</v>
      </c>
      <c r="Y1704" s="164" t="s">
        <v>203</v>
      </c>
      <c r="Z1704" s="164" t="s">
        <v>195</v>
      </c>
      <c r="AA1704" s="164" t="s">
        <v>196</v>
      </c>
      <c r="AB1704" s="164" t="s">
        <v>187</v>
      </c>
      <c r="AC1704" s="164" t="s">
        <v>187</v>
      </c>
      <c r="AD1704" s="165">
        <v>1</v>
      </c>
      <c r="AE1704" s="164" t="s">
        <v>187</v>
      </c>
      <c r="AF1704" s="165">
        <v>24.885755</v>
      </c>
      <c r="AG1704" s="166">
        <v>90.350133999999997</v>
      </c>
      <c r="AO1704" s="121"/>
      <c r="AT1704" s="111"/>
      <c r="AX1704" s="121"/>
    </row>
    <row r="1705" spans="1:50" s="110" customFormat="1" ht="20" customHeight="1">
      <c r="A1705" s="125" t="s">
        <v>486</v>
      </c>
      <c r="B1705" s="126" t="s">
        <v>57</v>
      </c>
      <c r="C1705" s="127">
        <v>16933</v>
      </c>
      <c r="D1705" s="163">
        <v>112235</v>
      </c>
      <c r="E1705" s="164" t="s">
        <v>3228</v>
      </c>
      <c r="F1705" s="164" t="s">
        <v>3228</v>
      </c>
      <c r="G1705" s="165">
        <v>5300</v>
      </c>
      <c r="H1705" s="165">
        <v>1</v>
      </c>
      <c r="I1705" s="164" t="s">
        <v>187</v>
      </c>
      <c r="J1705" s="164" t="s">
        <v>198</v>
      </c>
      <c r="K1705" s="164" t="s">
        <v>199</v>
      </c>
      <c r="L1705" s="165">
        <v>5</v>
      </c>
      <c r="M1705" s="165">
        <v>5</v>
      </c>
      <c r="N1705" s="164" t="s">
        <v>1577</v>
      </c>
      <c r="O1705" s="165">
        <v>0</v>
      </c>
      <c r="P1705" s="165">
        <v>0</v>
      </c>
      <c r="Q1705" s="165">
        <v>21</v>
      </c>
      <c r="R1705" s="164" t="s">
        <v>200</v>
      </c>
      <c r="S1705" s="164" t="s">
        <v>201</v>
      </c>
      <c r="T1705" s="165">
        <v>442</v>
      </c>
      <c r="U1705" s="164" t="s">
        <v>200</v>
      </c>
      <c r="V1705" s="164" t="s">
        <v>720</v>
      </c>
      <c r="W1705" s="165">
        <v>2</v>
      </c>
      <c r="X1705" s="165">
        <v>4</v>
      </c>
      <c r="Y1705" s="164" t="s">
        <v>203</v>
      </c>
      <c r="Z1705" s="164" t="s">
        <v>195</v>
      </c>
      <c r="AA1705" s="164" t="s">
        <v>196</v>
      </c>
      <c r="AB1705" s="164" t="s">
        <v>187</v>
      </c>
      <c r="AC1705" s="164" t="s">
        <v>187</v>
      </c>
      <c r="AD1705" s="165">
        <v>1</v>
      </c>
      <c r="AE1705" s="164" t="s">
        <v>187</v>
      </c>
      <c r="AF1705" s="165">
        <v>25.648565603048699</v>
      </c>
      <c r="AG1705" s="166">
        <v>88.810127484489399</v>
      </c>
      <c r="AO1705" s="121"/>
      <c r="AT1705" s="111"/>
      <c r="AX1705" s="121"/>
    </row>
    <row r="1706" spans="1:50" s="110" customFormat="1" ht="20" customHeight="1">
      <c r="A1706" s="125" t="s">
        <v>486</v>
      </c>
      <c r="B1706" s="126" t="s">
        <v>57</v>
      </c>
      <c r="C1706" s="127">
        <v>16405</v>
      </c>
      <c r="D1706" s="163">
        <v>111553</v>
      </c>
      <c r="E1706" s="164" t="s">
        <v>3181</v>
      </c>
      <c r="F1706" s="164" t="s">
        <v>3181</v>
      </c>
      <c r="G1706" s="165">
        <v>5000</v>
      </c>
      <c r="H1706" s="165">
        <v>1</v>
      </c>
      <c r="I1706" s="164" t="s">
        <v>187</v>
      </c>
      <c r="J1706" s="164" t="s">
        <v>198</v>
      </c>
      <c r="K1706" s="164" t="s">
        <v>199</v>
      </c>
      <c r="L1706" s="165">
        <v>5</v>
      </c>
      <c r="M1706" s="165">
        <v>5</v>
      </c>
      <c r="N1706" s="164" t="s">
        <v>1577</v>
      </c>
      <c r="O1706" s="165">
        <v>0</v>
      </c>
      <c r="P1706" s="165">
        <v>0</v>
      </c>
      <c r="Q1706" s="165">
        <v>21</v>
      </c>
      <c r="R1706" s="164" t="s">
        <v>200</v>
      </c>
      <c r="S1706" s="164" t="s">
        <v>201</v>
      </c>
      <c r="T1706" s="165">
        <v>442</v>
      </c>
      <c r="U1706" s="164" t="s">
        <v>200</v>
      </c>
      <c r="V1706" s="164" t="s">
        <v>720</v>
      </c>
      <c r="W1706" s="165">
        <v>3</v>
      </c>
      <c r="X1706" s="165">
        <v>4</v>
      </c>
      <c r="Y1706" s="164" t="s">
        <v>203</v>
      </c>
      <c r="Z1706" s="164" t="s">
        <v>195</v>
      </c>
      <c r="AA1706" s="164" t="s">
        <v>196</v>
      </c>
      <c r="AB1706" s="164" t="s">
        <v>187</v>
      </c>
      <c r="AC1706" s="164" t="s">
        <v>187</v>
      </c>
      <c r="AD1706" s="165">
        <v>1</v>
      </c>
      <c r="AE1706" s="164" t="s">
        <v>187</v>
      </c>
      <c r="AF1706" s="165">
        <v>24.880155999999999</v>
      </c>
      <c r="AG1706" s="166">
        <v>89.310706999999994</v>
      </c>
      <c r="AO1706" s="121"/>
      <c r="AT1706" s="111"/>
      <c r="AX1706" s="121"/>
    </row>
    <row r="1707" spans="1:50" s="110" customFormat="1" ht="20" customHeight="1">
      <c r="A1707" s="125" t="s">
        <v>486</v>
      </c>
      <c r="B1707" s="126" t="s">
        <v>57</v>
      </c>
      <c r="C1707" s="127">
        <v>17343</v>
      </c>
      <c r="D1707" s="163">
        <v>112726</v>
      </c>
      <c r="E1707" s="164" t="s">
        <v>3008</v>
      </c>
      <c r="F1707" s="164" t="s">
        <v>3008</v>
      </c>
      <c r="G1707" s="165">
        <v>3800</v>
      </c>
      <c r="H1707" s="165">
        <v>1</v>
      </c>
      <c r="I1707" s="164" t="s">
        <v>187</v>
      </c>
      <c r="J1707" s="164" t="s">
        <v>647</v>
      </c>
      <c r="K1707" s="164" t="s">
        <v>648</v>
      </c>
      <c r="L1707" s="165">
        <v>4</v>
      </c>
      <c r="M1707" s="165">
        <v>5</v>
      </c>
      <c r="N1707" s="164" t="s">
        <v>1577</v>
      </c>
      <c r="O1707" s="165">
        <v>0</v>
      </c>
      <c r="P1707" s="165">
        <v>0</v>
      </c>
      <c r="Q1707" s="165">
        <v>21</v>
      </c>
      <c r="R1707" s="164" t="s">
        <v>200</v>
      </c>
      <c r="S1707" s="164" t="s">
        <v>201</v>
      </c>
      <c r="T1707" s="165">
        <v>442</v>
      </c>
      <c r="U1707" s="164" t="s">
        <v>200</v>
      </c>
      <c r="V1707" s="164" t="s">
        <v>720</v>
      </c>
      <c r="W1707" s="165">
        <v>2</v>
      </c>
      <c r="X1707" s="165">
        <v>4</v>
      </c>
      <c r="Y1707" s="164" t="s">
        <v>203</v>
      </c>
      <c r="Z1707" s="164" t="s">
        <v>195</v>
      </c>
      <c r="AA1707" s="164" t="s">
        <v>196</v>
      </c>
      <c r="AB1707" s="164" t="s">
        <v>187</v>
      </c>
      <c r="AC1707" s="164" t="s">
        <v>187</v>
      </c>
      <c r="AD1707" s="165">
        <v>1</v>
      </c>
      <c r="AE1707" s="164" t="s">
        <v>187</v>
      </c>
      <c r="AF1707" s="165">
        <v>25.0586845205491</v>
      </c>
      <c r="AG1707" s="166">
        <v>92.050640554319799</v>
      </c>
      <c r="AO1707" s="121"/>
      <c r="AT1707" s="111"/>
      <c r="AX1707" s="121"/>
    </row>
    <row r="1708" spans="1:50" s="110" customFormat="1" ht="20" customHeight="1">
      <c r="A1708" s="125" t="s">
        <v>486</v>
      </c>
      <c r="B1708" s="126" t="s">
        <v>57</v>
      </c>
      <c r="C1708" s="127">
        <v>17061</v>
      </c>
      <c r="D1708" s="163">
        <v>112399</v>
      </c>
      <c r="E1708" s="164" t="s">
        <v>2894</v>
      </c>
      <c r="F1708" s="164" t="s">
        <v>2894</v>
      </c>
      <c r="G1708" s="165">
        <v>3100</v>
      </c>
      <c r="H1708" s="165">
        <v>1</v>
      </c>
      <c r="I1708" s="164" t="s">
        <v>187</v>
      </c>
      <c r="J1708" s="164" t="s">
        <v>198</v>
      </c>
      <c r="K1708" s="164" t="s">
        <v>199</v>
      </c>
      <c r="L1708" s="165">
        <v>5</v>
      </c>
      <c r="M1708" s="165">
        <v>5</v>
      </c>
      <c r="N1708" s="164" t="s">
        <v>1577</v>
      </c>
      <c r="O1708" s="165">
        <v>0</v>
      </c>
      <c r="P1708" s="165">
        <v>0</v>
      </c>
      <c r="Q1708" s="165">
        <v>21</v>
      </c>
      <c r="R1708" s="164" t="s">
        <v>200</v>
      </c>
      <c r="S1708" s="164" t="s">
        <v>201</v>
      </c>
      <c r="T1708" s="165">
        <v>442</v>
      </c>
      <c r="U1708" s="164" t="s">
        <v>200</v>
      </c>
      <c r="V1708" s="164" t="s">
        <v>720</v>
      </c>
      <c r="W1708" s="165">
        <v>3</v>
      </c>
      <c r="X1708" s="165">
        <v>4</v>
      </c>
      <c r="Y1708" s="164" t="s">
        <v>203</v>
      </c>
      <c r="Z1708" s="164" t="s">
        <v>195</v>
      </c>
      <c r="AA1708" s="164" t="s">
        <v>196</v>
      </c>
      <c r="AB1708" s="164" t="s">
        <v>187</v>
      </c>
      <c r="AC1708" s="164" t="s">
        <v>187</v>
      </c>
      <c r="AD1708" s="165">
        <v>1</v>
      </c>
      <c r="AE1708" s="164" t="s">
        <v>187</v>
      </c>
      <c r="AF1708" s="165">
        <v>25.8328436760888</v>
      </c>
      <c r="AG1708" s="166">
        <v>89.0168355025409</v>
      </c>
      <c r="AO1708" s="121"/>
      <c r="AT1708" s="111"/>
      <c r="AX1708" s="121"/>
    </row>
    <row r="1709" spans="1:50" s="110" customFormat="1" ht="20" customHeight="1">
      <c r="A1709" s="125" t="s">
        <v>486</v>
      </c>
      <c r="B1709" s="126" t="s">
        <v>57</v>
      </c>
      <c r="C1709" s="127">
        <v>16468</v>
      </c>
      <c r="D1709" s="163">
        <v>111633</v>
      </c>
      <c r="E1709" s="164" t="s">
        <v>2853</v>
      </c>
      <c r="F1709" s="164" t="s">
        <v>2853</v>
      </c>
      <c r="G1709" s="165">
        <v>2800</v>
      </c>
      <c r="H1709" s="165">
        <v>1</v>
      </c>
      <c r="I1709" s="164" t="s">
        <v>187</v>
      </c>
      <c r="J1709" s="164" t="s">
        <v>198</v>
      </c>
      <c r="K1709" s="164" t="s">
        <v>199</v>
      </c>
      <c r="L1709" s="165">
        <v>5</v>
      </c>
      <c r="M1709" s="165">
        <v>5</v>
      </c>
      <c r="N1709" s="164" t="s">
        <v>1577</v>
      </c>
      <c r="O1709" s="165">
        <v>0</v>
      </c>
      <c r="P1709" s="165">
        <v>0</v>
      </c>
      <c r="Q1709" s="165">
        <v>21</v>
      </c>
      <c r="R1709" s="164" t="s">
        <v>200</v>
      </c>
      <c r="S1709" s="164" t="s">
        <v>201</v>
      </c>
      <c r="T1709" s="165">
        <v>442</v>
      </c>
      <c r="U1709" s="164" t="s">
        <v>200</v>
      </c>
      <c r="V1709" s="164" t="s">
        <v>720</v>
      </c>
      <c r="W1709" s="165">
        <v>1</v>
      </c>
      <c r="X1709" s="165">
        <v>4</v>
      </c>
      <c r="Y1709" s="164" t="s">
        <v>203</v>
      </c>
      <c r="Z1709" s="164" t="s">
        <v>195</v>
      </c>
      <c r="AA1709" s="164" t="s">
        <v>196</v>
      </c>
      <c r="AB1709" s="164" t="s">
        <v>187</v>
      </c>
      <c r="AC1709" s="164" t="s">
        <v>187</v>
      </c>
      <c r="AD1709" s="165">
        <v>1</v>
      </c>
      <c r="AE1709" s="164" t="s">
        <v>187</v>
      </c>
      <c r="AF1709" s="165">
        <v>22.869799315844499</v>
      </c>
      <c r="AG1709" s="166">
        <v>89.741226187437803</v>
      </c>
      <c r="AO1709" s="121"/>
      <c r="AT1709" s="111"/>
      <c r="AX1709" s="121"/>
    </row>
    <row r="1710" spans="1:50" s="110" customFormat="1" ht="20" customHeight="1">
      <c r="A1710" s="125" t="s">
        <v>486</v>
      </c>
      <c r="B1710" s="126" t="s">
        <v>57</v>
      </c>
      <c r="C1710" s="127">
        <v>16768</v>
      </c>
      <c r="D1710" s="163">
        <v>112021</v>
      </c>
      <c r="E1710" s="164" t="s">
        <v>2824</v>
      </c>
      <c r="F1710" s="164" t="s">
        <v>2824</v>
      </c>
      <c r="G1710" s="165">
        <v>2600</v>
      </c>
      <c r="H1710" s="165">
        <v>1</v>
      </c>
      <c r="I1710" s="164" t="s">
        <v>187</v>
      </c>
      <c r="J1710" s="164" t="s">
        <v>198</v>
      </c>
      <c r="K1710" s="164" t="s">
        <v>199</v>
      </c>
      <c r="L1710" s="165">
        <v>5</v>
      </c>
      <c r="M1710" s="165">
        <v>5</v>
      </c>
      <c r="N1710" s="164" t="s">
        <v>1577</v>
      </c>
      <c r="O1710" s="165">
        <v>0</v>
      </c>
      <c r="P1710" s="165">
        <v>0</v>
      </c>
      <c r="Q1710" s="165">
        <v>21</v>
      </c>
      <c r="R1710" s="164" t="s">
        <v>200</v>
      </c>
      <c r="S1710" s="164" t="s">
        <v>201</v>
      </c>
      <c r="T1710" s="165">
        <v>442</v>
      </c>
      <c r="U1710" s="164" t="s">
        <v>200</v>
      </c>
      <c r="V1710" s="164" t="s">
        <v>720</v>
      </c>
      <c r="W1710" s="165">
        <v>3</v>
      </c>
      <c r="X1710" s="165">
        <v>4</v>
      </c>
      <c r="Y1710" s="164" t="s">
        <v>203</v>
      </c>
      <c r="Z1710" s="164" t="s">
        <v>195</v>
      </c>
      <c r="AA1710" s="164" t="s">
        <v>196</v>
      </c>
      <c r="AB1710" s="164" t="s">
        <v>187</v>
      </c>
      <c r="AC1710" s="164" t="s">
        <v>187</v>
      </c>
      <c r="AD1710" s="165">
        <v>1</v>
      </c>
      <c r="AE1710" s="164" t="s">
        <v>187</v>
      </c>
      <c r="AF1710" s="165">
        <v>24.396377497300499</v>
      </c>
      <c r="AG1710" s="166">
        <v>90.575993499203307</v>
      </c>
      <c r="AO1710" s="121"/>
      <c r="AT1710" s="111"/>
      <c r="AX1710" s="121"/>
    </row>
    <row r="1711" spans="1:50" s="110" customFormat="1" ht="20" customHeight="1">
      <c r="A1711" s="125" t="s">
        <v>486</v>
      </c>
      <c r="B1711" s="126" t="s">
        <v>57</v>
      </c>
      <c r="C1711" s="127">
        <v>17041</v>
      </c>
      <c r="D1711" s="163">
        <v>112377</v>
      </c>
      <c r="E1711" s="164" t="s">
        <v>2811</v>
      </c>
      <c r="F1711" s="164" t="s">
        <v>2811</v>
      </c>
      <c r="G1711" s="165">
        <v>2500</v>
      </c>
      <c r="H1711" s="165">
        <v>1</v>
      </c>
      <c r="I1711" s="164" t="s">
        <v>187</v>
      </c>
      <c r="J1711" s="164" t="s">
        <v>198</v>
      </c>
      <c r="K1711" s="164" t="s">
        <v>199</v>
      </c>
      <c r="L1711" s="165">
        <v>5</v>
      </c>
      <c r="M1711" s="165">
        <v>5</v>
      </c>
      <c r="N1711" s="164" t="s">
        <v>1577</v>
      </c>
      <c r="O1711" s="165">
        <v>0</v>
      </c>
      <c r="P1711" s="165">
        <v>0</v>
      </c>
      <c r="Q1711" s="165">
        <v>21</v>
      </c>
      <c r="R1711" s="164" t="s">
        <v>200</v>
      </c>
      <c r="S1711" s="164" t="s">
        <v>201</v>
      </c>
      <c r="T1711" s="165">
        <v>442</v>
      </c>
      <c r="U1711" s="164" t="s">
        <v>200</v>
      </c>
      <c r="V1711" s="164" t="s">
        <v>720</v>
      </c>
      <c r="W1711" s="165">
        <v>2</v>
      </c>
      <c r="X1711" s="165">
        <v>4</v>
      </c>
      <c r="Y1711" s="164" t="s">
        <v>203</v>
      </c>
      <c r="Z1711" s="164" t="s">
        <v>195</v>
      </c>
      <c r="AA1711" s="164" t="s">
        <v>196</v>
      </c>
      <c r="AB1711" s="164" t="s">
        <v>187</v>
      </c>
      <c r="AC1711" s="164" t="s">
        <v>187</v>
      </c>
      <c r="AD1711" s="165">
        <v>1</v>
      </c>
      <c r="AE1711" s="164" t="s">
        <v>187</v>
      </c>
      <c r="AF1711" s="165">
        <v>25.6234083861183</v>
      </c>
      <c r="AG1711" s="166">
        <v>88.891579785709496</v>
      </c>
      <c r="AO1711" s="121"/>
      <c r="AT1711" s="111"/>
      <c r="AX1711" s="121"/>
    </row>
    <row r="1712" spans="1:50" s="110" customFormat="1" ht="20" customHeight="1">
      <c r="A1712" s="125" t="s">
        <v>486</v>
      </c>
      <c r="B1712" s="126" t="s">
        <v>57</v>
      </c>
      <c r="C1712" s="127">
        <v>17273</v>
      </c>
      <c r="D1712" s="163">
        <v>112644</v>
      </c>
      <c r="E1712" s="164" t="s">
        <v>2791</v>
      </c>
      <c r="F1712" s="164" t="s">
        <v>2791</v>
      </c>
      <c r="G1712" s="165">
        <v>2400</v>
      </c>
      <c r="H1712" s="165">
        <v>1</v>
      </c>
      <c r="I1712" s="164" t="s">
        <v>187</v>
      </c>
      <c r="J1712" s="164" t="s">
        <v>647</v>
      </c>
      <c r="K1712" s="164" t="s">
        <v>648</v>
      </c>
      <c r="L1712" s="165">
        <v>4</v>
      </c>
      <c r="M1712" s="165">
        <v>5</v>
      </c>
      <c r="N1712" s="164" t="s">
        <v>1577</v>
      </c>
      <c r="O1712" s="165">
        <v>4.5869999999999997</v>
      </c>
      <c r="P1712" s="168"/>
      <c r="Q1712" s="165">
        <v>21</v>
      </c>
      <c r="R1712" s="164" t="s">
        <v>200</v>
      </c>
      <c r="S1712" s="164" t="s">
        <v>201</v>
      </c>
      <c r="T1712" s="165">
        <v>442</v>
      </c>
      <c r="U1712" s="164" t="s">
        <v>200</v>
      </c>
      <c r="V1712" s="164" t="s">
        <v>720</v>
      </c>
      <c r="W1712" s="165">
        <v>2</v>
      </c>
      <c r="X1712" s="165">
        <v>4</v>
      </c>
      <c r="Y1712" s="164" t="s">
        <v>203</v>
      </c>
      <c r="Z1712" s="164" t="s">
        <v>195</v>
      </c>
      <c r="AA1712" s="164" t="s">
        <v>196</v>
      </c>
      <c r="AB1712" s="164" t="s">
        <v>187</v>
      </c>
      <c r="AC1712" s="164" t="s">
        <v>187</v>
      </c>
      <c r="AD1712" s="165">
        <v>1</v>
      </c>
      <c r="AE1712" s="164" t="s">
        <v>209</v>
      </c>
      <c r="AF1712" s="165">
        <v>24.932380388035099</v>
      </c>
      <c r="AG1712" s="166">
        <v>92.2882358928439</v>
      </c>
      <c r="AO1712" s="121"/>
      <c r="AT1712" s="111"/>
      <c r="AX1712" s="121"/>
    </row>
    <row r="1713" spans="1:50" s="110" customFormat="1" ht="20" customHeight="1">
      <c r="A1713" s="125" t="s">
        <v>486</v>
      </c>
      <c r="B1713" s="126" t="s">
        <v>57</v>
      </c>
      <c r="C1713" s="127">
        <v>17566</v>
      </c>
      <c r="D1713" s="163">
        <v>112992</v>
      </c>
      <c r="E1713" s="164" t="s">
        <v>2705</v>
      </c>
      <c r="F1713" s="164" t="s">
        <v>2705</v>
      </c>
      <c r="G1713" s="165">
        <v>2100</v>
      </c>
      <c r="H1713" s="165">
        <v>1</v>
      </c>
      <c r="I1713" s="164" t="s">
        <v>187</v>
      </c>
      <c r="J1713" s="164" t="s">
        <v>198</v>
      </c>
      <c r="K1713" s="164" t="s">
        <v>199</v>
      </c>
      <c r="L1713" s="165">
        <v>5</v>
      </c>
      <c r="M1713" s="165">
        <v>5</v>
      </c>
      <c r="N1713" s="164" t="s">
        <v>1577</v>
      </c>
      <c r="O1713" s="165">
        <v>0</v>
      </c>
      <c r="P1713" s="165">
        <v>0</v>
      </c>
      <c r="Q1713" s="165">
        <v>21</v>
      </c>
      <c r="R1713" s="164" t="s">
        <v>200</v>
      </c>
      <c r="S1713" s="164" t="s">
        <v>201</v>
      </c>
      <c r="T1713" s="165">
        <v>442</v>
      </c>
      <c r="U1713" s="164" t="s">
        <v>200</v>
      </c>
      <c r="V1713" s="164" t="s">
        <v>720</v>
      </c>
      <c r="W1713" s="165">
        <v>2</v>
      </c>
      <c r="X1713" s="165">
        <v>4</v>
      </c>
      <c r="Y1713" s="164" t="s">
        <v>203</v>
      </c>
      <c r="Z1713" s="164" t="s">
        <v>195</v>
      </c>
      <c r="AA1713" s="164" t="s">
        <v>196</v>
      </c>
      <c r="AB1713" s="164" t="s">
        <v>187</v>
      </c>
      <c r="AC1713" s="164" t="s">
        <v>187</v>
      </c>
      <c r="AD1713" s="165">
        <v>1</v>
      </c>
      <c r="AE1713" s="164" t="s">
        <v>187</v>
      </c>
      <c r="AF1713" s="165">
        <v>24.967920195051001</v>
      </c>
      <c r="AG1713" s="166">
        <v>90.708219595121093</v>
      </c>
      <c r="AO1713" s="121"/>
      <c r="AT1713" s="111"/>
      <c r="AX1713" s="121"/>
    </row>
    <row r="1714" spans="1:50" s="110" customFormat="1" ht="20" customHeight="1">
      <c r="A1714" s="125" t="s">
        <v>486</v>
      </c>
      <c r="B1714" s="126" t="s">
        <v>57</v>
      </c>
      <c r="C1714" s="127">
        <v>18272</v>
      </c>
      <c r="D1714" s="163">
        <v>113816</v>
      </c>
      <c r="E1714" s="164" t="s">
        <v>2706</v>
      </c>
      <c r="F1714" s="164" t="s">
        <v>2706</v>
      </c>
      <c r="G1714" s="165">
        <v>2100</v>
      </c>
      <c r="H1714" s="165">
        <v>1</v>
      </c>
      <c r="I1714" s="164" t="s">
        <v>187</v>
      </c>
      <c r="J1714" s="164" t="s">
        <v>198</v>
      </c>
      <c r="K1714" s="164" t="s">
        <v>199</v>
      </c>
      <c r="L1714" s="165">
        <v>5</v>
      </c>
      <c r="M1714" s="165">
        <v>5</v>
      </c>
      <c r="N1714" s="164" t="s">
        <v>1577</v>
      </c>
      <c r="O1714" s="165">
        <v>0</v>
      </c>
      <c r="P1714" s="165">
        <v>0</v>
      </c>
      <c r="Q1714" s="165">
        <v>21</v>
      </c>
      <c r="R1714" s="164" t="s">
        <v>200</v>
      </c>
      <c r="S1714" s="164" t="s">
        <v>201</v>
      </c>
      <c r="T1714" s="165">
        <v>442</v>
      </c>
      <c r="U1714" s="164" t="s">
        <v>200</v>
      </c>
      <c r="V1714" s="164" t="s">
        <v>720</v>
      </c>
      <c r="W1714" s="165">
        <v>2</v>
      </c>
      <c r="X1714" s="165">
        <v>4</v>
      </c>
      <c r="Y1714" s="164" t="s">
        <v>203</v>
      </c>
      <c r="Z1714" s="164" t="s">
        <v>195</v>
      </c>
      <c r="AA1714" s="164" t="s">
        <v>196</v>
      </c>
      <c r="AB1714" s="164" t="s">
        <v>187</v>
      </c>
      <c r="AC1714" s="164" t="s">
        <v>187</v>
      </c>
      <c r="AD1714" s="165">
        <v>1</v>
      </c>
      <c r="AE1714" s="164" t="s">
        <v>187</v>
      </c>
      <c r="AF1714" s="165">
        <v>25.861067905068499</v>
      </c>
      <c r="AG1714" s="166">
        <v>89.462652846663701</v>
      </c>
      <c r="AO1714" s="121"/>
      <c r="AT1714" s="111"/>
      <c r="AX1714" s="121"/>
    </row>
    <row r="1715" spans="1:50" s="110" customFormat="1" ht="20" customHeight="1">
      <c r="A1715" s="125" t="s">
        <v>486</v>
      </c>
      <c r="B1715" s="126" t="s">
        <v>57</v>
      </c>
      <c r="C1715" s="127">
        <v>17930</v>
      </c>
      <c r="D1715" s="163">
        <v>113416</v>
      </c>
      <c r="E1715" s="164" t="s">
        <v>2659</v>
      </c>
      <c r="F1715" s="164" t="s">
        <v>2659</v>
      </c>
      <c r="G1715" s="165">
        <v>1900</v>
      </c>
      <c r="H1715" s="165">
        <v>1</v>
      </c>
      <c r="I1715" s="164" t="s">
        <v>187</v>
      </c>
      <c r="J1715" s="164" t="s">
        <v>198</v>
      </c>
      <c r="K1715" s="164" t="s">
        <v>199</v>
      </c>
      <c r="L1715" s="165">
        <v>5</v>
      </c>
      <c r="M1715" s="165">
        <v>5</v>
      </c>
      <c r="N1715" s="164" t="s">
        <v>1577</v>
      </c>
      <c r="O1715" s="165">
        <v>0</v>
      </c>
      <c r="P1715" s="165">
        <v>0</v>
      </c>
      <c r="Q1715" s="165">
        <v>21</v>
      </c>
      <c r="R1715" s="164" t="s">
        <v>200</v>
      </c>
      <c r="S1715" s="164" t="s">
        <v>201</v>
      </c>
      <c r="T1715" s="165">
        <v>442</v>
      </c>
      <c r="U1715" s="164" t="s">
        <v>200</v>
      </c>
      <c r="V1715" s="164" t="s">
        <v>720</v>
      </c>
      <c r="W1715" s="165">
        <v>3</v>
      </c>
      <c r="X1715" s="165">
        <v>4</v>
      </c>
      <c r="Y1715" s="164" t="s">
        <v>203</v>
      </c>
      <c r="Z1715" s="164" t="s">
        <v>195</v>
      </c>
      <c r="AA1715" s="164" t="s">
        <v>196</v>
      </c>
      <c r="AB1715" s="164" t="s">
        <v>187</v>
      </c>
      <c r="AC1715" s="164" t="s">
        <v>187</v>
      </c>
      <c r="AD1715" s="165">
        <v>1</v>
      </c>
      <c r="AE1715" s="164" t="s">
        <v>187</v>
      </c>
      <c r="AF1715" s="165">
        <v>24.9776460957453</v>
      </c>
      <c r="AG1715" s="166">
        <v>90.581090786448399</v>
      </c>
      <c r="AO1715" s="121"/>
      <c r="AT1715" s="111"/>
      <c r="AX1715" s="121"/>
    </row>
    <row r="1716" spans="1:50" s="110" customFormat="1" ht="20" customHeight="1">
      <c r="A1716" s="125" t="s">
        <v>486</v>
      </c>
      <c r="B1716" s="126" t="s">
        <v>57</v>
      </c>
      <c r="C1716" s="127">
        <v>16406</v>
      </c>
      <c r="D1716" s="163">
        <v>111555</v>
      </c>
      <c r="E1716" s="164" t="s">
        <v>2634</v>
      </c>
      <c r="F1716" s="164" t="s">
        <v>2634</v>
      </c>
      <c r="G1716" s="165">
        <v>1800</v>
      </c>
      <c r="H1716" s="165">
        <v>1</v>
      </c>
      <c r="I1716" s="164" t="s">
        <v>187</v>
      </c>
      <c r="J1716" s="164" t="s">
        <v>198</v>
      </c>
      <c r="K1716" s="164" t="s">
        <v>199</v>
      </c>
      <c r="L1716" s="165">
        <v>5</v>
      </c>
      <c r="M1716" s="165">
        <v>5</v>
      </c>
      <c r="N1716" s="164" t="s">
        <v>1577</v>
      </c>
      <c r="O1716" s="165">
        <v>0</v>
      </c>
      <c r="P1716" s="165">
        <v>0</v>
      </c>
      <c r="Q1716" s="165">
        <v>21</v>
      </c>
      <c r="R1716" s="164" t="s">
        <v>200</v>
      </c>
      <c r="S1716" s="164" t="s">
        <v>201</v>
      </c>
      <c r="T1716" s="165">
        <v>442</v>
      </c>
      <c r="U1716" s="164" t="s">
        <v>200</v>
      </c>
      <c r="V1716" s="164" t="s">
        <v>720</v>
      </c>
      <c r="W1716" s="165">
        <v>4</v>
      </c>
      <c r="X1716" s="165">
        <v>4</v>
      </c>
      <c r="Y1716" s="164" t="s">
        <v>203</v>
      </c>
      <c r="Z1716" s="164" t="s">
        <v>195</v>
      </c>
      <c r="AA1716" s="164" t="s">
        <v>196</v>
      </c>
      <c r="AB1716" s="164" t="s">
        <v>187</v>
      </c>
      <c r="AC1716" s="164" t="s">
        <v>187</v>
      </c>
      <c r="AD1716" s="165">
        <v>1</v>
      </c>
      <c r="AE1716" s="164" t="s">
        <v>187</v>
      </c>
      <c r="AF1716" s="165">
        <v>22.7128951249341</v>
      </c>
      <c r="AG1716" s="166">
        <v>92.064901604735596</v>
      </c>
      <c r="AO1716" s="121"/>
      <c r="AT1716" s="111"/>
      <c r="AX1716" s="121"/>
    </row>
    <row r="1717" spans="1:50" s="110" customFormat="1" ht="20" customHeight="1">
      <c r="A1717" s="125" t="s">
        <v>486</v>
      </c>
      <c r="B1717" s="126" t="s">
        <v>57</v>
      </c>
      <c r="C1717" s="127">
        <v>16696</v>
      </c>
      <c r="D1717" s="163">
        <v>111925</v>
      </c>
      <c r="E1717" s="164" t="s">
        <v>2608</v>
      </c>
      <c r="F1717" s="164" t="s">
        <v>2608</v>
      </c>
      <c r="G1717" s="165">
        <v>1700</v>
      </c>
      <c r="H1717" s="165">
        <v>1</v>
      </c>
      <c r="I1717" s="164" t="s">
        <v>187</v>
      </c>
      <c r="J1717" s="164" t="s">
        <v>198</v>
      </c>
      <c r="K1717" s="164" t="s">
        <v>199</v>
      </c>
      <c r="L1717" s="165">
        <v>5</v>
      </c>
      <c r="M1717" s="165">
        <v>5</v>
      </c>
      <c r="N1717" s="164" t="s">
        <v>1577</v>
      </c>
      <c r="O1717" s="165">
        <v>0</v>
      </c>
      <c r="P1717" s="165">
        <v>0</v>
      </c>
      <c r="Q1717" s="165">
        <v>21</v>
      </c>
      <c r="R1717" s="164" t="s">
        <v>200</v>
      </c>
      <c r="S1717" s="164" t="s">
        <v>201</v>
      </c>
      <c r="T1717" s="165">
        <v>442</v>
      </c>
      <c r="U1717" s="164" t="s">
        <v>200</v>
      </c>
      <c r="V1717" s="164" t="s">
        <v>720</v>
      </c>
      <c r="W1717" s="165">
        <v>3</v>
      </c>
      <c r="X1717" s="165">
        <v>4</v>
      </c>
      <c r="Y1717" s="164" t="s">
        <v>203</v>
      </c>
      <c r="Z1717" s="164" t="s">
        <v>195</v>
      </c>
      <c r="AA1717" s="164" t="s">
        <v>196</v>
      </c>
      <c r="AB1717" s="164" t="s">
        <v>187</v>
      </c>
      <c r="AC1717" s="164" t="s">
        <v>187</v>
      </c>
      <c r="AD1717" s="165">
        <v>1</v>
      </c>
      <c r="AE1717" s="164" t="s">
        <v>187</v>
      </c>
      <c r="AF1717" s="165">
        <v>25.830929999999999</v>
      </c>
      <c r="AG1717" s="166">
        <v>88.848866999999998</v>
      </c>
      <c r="AO1717" s="121"/>
      <c r="AT1717" s="111"/>
      <c r="AX1717" s="121"/>
    </row>
    <row r="1718" spans="1:50" s="110" customFormat="1" ht="20" customHeight="1">
      <c r="A1718" s="125" t="s">
        <v>486</v>
      </c>
      <c r="B1718" s="126" t="s">
        <v>57</v>
      </c>
      <c r="C1718" s="127">
        <v>11698</v>
      </c>
      <c r="D1718" s="163">
        <v>102848</v>
      </c>
      <c r="E1718" s="164" t="s">
        <v>2543</v>
      </c>
      <c r="F1718" s="164" t="s">
        <v>2543</v>
      </c>
      <c r="G1718" s="165">
        <v>1600</v>
      </c>
      <c r="H1718" s="165">
        <v>1</v>
      </c>
      <c r="I1718" s="164" t="s">
        <v>187</v>
      </c>
      <c r="J1718" s="164" t="s">
        <v>198</v>
      </c>
      <c r="K1718" s="164" t="s">
        <v>199</v>
      </c>
      <c r="L1718" s="165">
        <v>5</v>
      </c>
      <c r="M1718" s="165">
        <v>5</v>
      </c>
      <c r="N1718" s="164" t="s">
        <v>1577</v>
      </c>
      <c r="O1718" s="165">
        <v>0</v>
      </c>
      <c r="P1718" s="165">
        <v>0</v>
      </c>
      <c r="Q1718" s="165">
        <v>21</v>
      </c>
      <c r="R1718" s="164" t="s">
        <v>200</v>
      </c>
      <c r="S1718" s="164" t="s">
        <v>201</v>
      </c>
      <c r="T1718" s="165">
        <v>442</v>
      </c>
      <c r="U1718" s="164" t="s">
        <v>200</v>
      </c>
      <c r="V1718" s="164" t="s">
        <v>720</v>
      </c>
      <c r="W1718" s="165">
        <v>4</v>
      </c>
      <c r="X1718" s="165">
        <v>4</v>
      </c>
      <c r="Y1718" s="164" t="s">
        <v>203</v>
      </c>
      <c r="Z1718" s="164" t="s">
        <v>195</v>
      </c>
      <c r="AA1718" s="164" t="s">
        <v>196</v>
      </c>
      <c r="AB1718" s="164" t="s">
        <v>187</v>
      </c>
      <c r="AC1718" s="164" t="s">
        <v>187</v>
      </c>
      <c r="AD1718" s="165">
        <v>1</v>
      </c>
      <c r="AE1718" s="164" t="s">
        <v>187</v>
      </c>
      <c r="AF1718" s="165">
        <v>24.2022373511473</v>
      </c>
      <c r="AG1718" s="166">
        <v>90.535260125218699</v>
      </c>
      <c r="AO1718" s="121"/>
      <c r="AT1718" s="111"/>
      <c r="AX1718" s="121"/>
    </row>
    <row r="1719" spans="1:50" s="110" customFormat="1" ht="20" customHeight="1">
      <c r="A1719" s="125" t="s">
        <v>486</v>
      </c>
      <c r="B1719" s="126" t="s">
        <v>57</v>
      </c>
      <c r="C1719" s="127">
        <v>16384</v>
      </c>
      <c r="D1719" s="163">
        <v>111526</v>
      </c>
      <c r="E1719" s="164" t="s">
        <v>2444</v>
      </c>
      <c r="F1719" s="164" t="s">
        <v>2444</v>
      </c>
      <c r="G1719" s="165">
        <v>1300</v>
      </c>
      <c r="H1719" s="165">
        <v>1</v>
      </c>
      <c r="I1719" s="164" t="s">
        <v>187</v>
      </c>
      <c r="J1719" s="164" t="s">
        <v>198</v>
      </c>
      <c r="K1719" s="164" t="s">
        <v>199</v>
      </c>
      <c r="L1719" s="165">
        <v>5</v>
      </c>
      <c r="M1719" s="165">
        <v>5</v>
      </c>
      <c r="N1719" s="164" t="s">
        <v>1577</v>
      </c>
      <c r="O1719" s="165">
        <v>0</v>
      </c>
      <c r="P1719" s="165">
        <v>0</v>
      </c>
      <c r="Q1719" s="165">
        <v>21</v>
      </c>
      <c r="R1719" s="164" t="s">
        <v>200</v>
      </c>
      <c r="S1719" s="164" t="s">
        <v>201</v>
      </c>
      <c r="T1719" s="165">
        <v>442</v>
      </c>
      <c r="U1719" s="164" t="s">
        <v>200</v>
      </c>
      <c r="V1719" s="164" t="s">
        <v>720</v>
      </c>
      <c r="W1719" s="165">
        <v>2</v>
      </c>
      <c r="X1719" s="165">
        <v>4</v>
      </c>
      <c r="Y1719" s="164" t="s">
        <v>203</v>
      </c>
      <c r="Z1719" s="164" t="s">
        <v>195</v>
      </c>
      <c r="AA1719" s="164" t="s">
        <v>196</v>
      </c>
      <c r="AB1719" s="164" t="s">
        <v>187</v>
      </c>
      <c r="AC1719" s="164" t="s">
        <v>187</v>
      </c>
      <c r="AD1719" s="165">
        <v>1</v>
      </c>
      <c r="AE1719" s="164" t="s">
        <v>187</v>
      </c>
      <c r="AF1719" s="165">
        <v>23.991843526396401</v>
      </c>
      <c r="AG1719" s="166">
        <v>90.713228151907799</v>
      </c>
      <c r="AO1719" s="121"/>
      <c r="AT1719" s="111"/>
      <c r="AX1719" s="121"/>
    </row>
    <row r="1720" spans="1:50" s="110" customFormat="1" ht="20" customHeight="1">
      <c r="A1720" s="125" t="s">
        <v>486</v>
      </c>
      <c r="B1720" s="126" t="s">
        <v>57</v>
      </c>
      <c r="C1720" s="127">
        <v>13322</v>
      </c>
      <c r="D1720" s="163">
        <v>107217</v>
      </c>
      <c r="E1720" s="164" t="s">
        <v>2450</v>
      </c>
      <c r="F1720" s="164" t="s">
        <v>2450</v>
      </c>
      <c r="G1720" s="165">
        <v>1300</v>
      </c>
      <c r="H1720" s="165">
        <v>1</v>
      </c>
      <c r="I1720" s="164" t="s">
        <v>187</v>
      </c>
      <c r="J1720" s="164" t="s">
        <v>2075</v>
      </c>
      <c r="K1720" s="164" t="s">
        <v>2076</v>
      </c>
      <c r="L1720" s="165">
        <v>5</v>
      </c>
      <c r="M1720" s="165">
        <v>5</v>
      </c>
      <c r="N1720" s="164" t="s">
        <v>1577</v>
      </c>
      <c r="O1720" s="165">
        <v>3.032</v>
      </c>
      <c r="P1720" s="168"/>
      <c r="Q1720" s="165">
        <v>21</v>
      </c>
      <c r="R1720" s="164" t="s">
        <v>200</v>
      </c>
      <c r="S1720" s="164" t="s">
        <v>201</v>
      </c>
      <c r="T1720" s="165">
        <v>442</v>
      </c>
      <c r="U1720" s="164" t="s">
        <v>200</v>
      </c>
      <c r="V1720" s="164" t="s">
        <v>720</v>
      </c>
      <c r="W1720" s="165">
        <v>4</v>
      </c>
      <c r="X1720" s="165">
        <v>4</v>
      </c>
      <c r="Y1720" s="164" t="s">
        <v>203</v>
      </c>
      <c r="Z1720" s="164" t="s">
        <v>195</v>
      </c>
      <c r="AA1720" s="164" t="s">
        <v>196</v>
      </c>
      <c r="AB1720" s="164" t="s">
        <v>187</v>
      </c>
      <c r="AC1720" s="164" t="s">
        <v>187</v>
      </c>
      <c r="AD1720" s="165">
        <v>1</v>
      </c>
      <c r="AE1720" s="164" t="s">
        <v>209</v>
      </c>
      <c r="AF1720" s="165">
        <v>24.147817106601799</v>
      </c>
      <c r="AG1720" s="166">
        <v>90.723048085726205</v>
      </c>
      <c r="AO1720" s="121"/>
      <c r="AT1720" s="111"/>
      <c r="AX1720" s="121"/>
    </row>
    <row r="1721" spans="1:50" s="110" customFormat="1" ht="20" customHeight="1">
      <c r="A1721" s="125" t="s">
        <v>486</v>
      </c>
      <c r="B1721" s="126" t="s">
        <v>57</v>
      </c>
      <c r="C1721" s="127">
        <v>14526</v>
      </c>
      <c r="D1721" s="163">
        <v>108317</v>
      </c>
      <c r="E1721" s="164" t="s">
        <v>2452</v>
      </c>
      <c r="F1721" s="164" t="s">
        <v>2452</v>
      </c>
      <c r="G1721" s="165">
        <v>1300</v>
      </c>
      <c r="H1721" s="165">
        <v>1</v>
      </c>
      <c r="I1721" s="164" t="s">
        <v>187</v>
      </c>
      <c r="J1721" s="164" t="s">
        <v>198</v>
      </c>
      <c r="K1721" s="164" t="s">
        <v>199</v>
      </c>
      <c r="L1721" s="165">
        <v>5</v>
      </c>
      <c r="M1721" s="165">
        <v>5</v>
      </c>
      <c r="N1721" s="164" t="s">
        <v>1577</v>
      </c>
      <c r="O1721" s="165">
        <v>0</v>
      </c>
      <c r="P1721" s="165">
        <v>0</v>
      </c>
      <c r="Q1721" s="165">
        <v>21</v>
      </c>
      <c r="R1721" s="164" t="s">
        <v>200</v>
      </c>
      <c r="S1721" s="164" t="s">
        <v>201</v>
      </c>
      <c r="T1721" s="165">
        <v>442</v>
      </c>
      <c r="U1721" s="164" t="s">
        <v>200</v>
      </c>
      <c r="V1721" s="164" t="s">
        <v>720</v>
      </c>
      <c r="W1721" s="165">
        <v>2</v>
      </c>
      <c r="X1721" s="165">
        <v>4</v>
      </c>
      <c r="Y1721" s="164" t="s">
        <v>203</v>
      </c>
      <c r="Z1721" s="164" t="s">
        <v>195</v>
      </c>
      <c r="AA1721" s="164" t="s">
        <v>196</v>
      </c>
      <c r="AB1721" s="164" t="s">
        <v>187</v>
      </c>
      <c r="AC1721" s="164" t="s">
        <v>187</v>
      </c>
      <c r="AD1721" s="165">
        <v>1</v>
      </c>
      <c r="AE1721" s="164" t="s">
        <v>187</v>
      </c>
      <c r="AF1721" s="165">
        <v>23.9030325913055</v>
      </c>
      <c r="AG1721" s="166">
        <v>90.537199586881897</v>
      </c>
      <c r="AO1721" s="121"/>
      <c r="AT1721" s="111"/>
      <c r="AX1721" s="121"/>
    </row>
    <row r="1722" spans="1:50" s="110" customFormat="1" ht="20" customHeight="1">
      <c r="A1722" s="125" t="s">
        <v>486</v>
      </c>
      <c r="B1722" s="126" t="s">
        <v>57</v>
      </c>
      <c r="C1722" s="127">
        <v>16867</v>
      </c>
      <c r="D1722" s="163">
        <v>112149</v>
      </c>
      <c r="E1722" s="164" t="s">
        <v>2399</v>
      </c>
      <c r="F1722" s="164" t="s">
        <v>2399</v>
      </c>
      <c r="G1722" s="165">
        <v>1200</v>
      </c>
      <c r="H1722" s="165">
        <v>1</v>
      </c>
      <c r="I1722" s="164" t="s">
        <v>187</v>
      </c>
      <c r="J1722" s="164" t="s">
        <v>647</v>
      </c>
      <c r="K1722" s="164" t="s">
        <v>648</v>
      </c>
      <c r="L1722" s="165">
        <v>4</v>
      </c>
      <c r="M1722" s="165">
        <v>5</v>
      </c>
      <c r="N1722" s="164" t="s">
        <v>1577</v>
      </c>
      <c r="O1722" s="165">
        <v>0</v>
      </c>
      <c r="P1722" s="165">
        <v>0</v>
      </c>
      <c r="Q1722" s="165">
        <v>21</v>
      </c>
      <c r="R1722" s="164" t="s">
        <v>200</v>
      </c>
      <c r="S1722" s="164" t="s">
        <v>201</v>
      </c>
      <c r="T1722" s="165">
        <v>442</v>
      </c>
      <c r="U1722" s="164" t="s">
        <v>200</v>
      </c>
      <c r="V1722" s="164" t="s">
        <v>720</v>
      </c>
      <c r="W1722" s="165">
        <v>1</v>
      </c>
      <c r="X1722" s="165">
        <v>4</v>
      </c>
      <c r="Y1722" s="164" t="s">
        <v>203</v>
      </c>
      <c r="Z1722" s="164" t="s">
        <v>195</v>
      </c>
      <c r="AA1722" s="164" t="s">
        <v>196</v>
      </c>
      <c r="AB1722" s="164" t="s">
        <v>187</v>
      </c>
      <c r="AC1722" s="164" t="s">
        <v>187</v>
      </c>
      <c r="AD1722" s="165">
        <v>1</v>
      </c>
      <c r="AE1722" s="164" t="s">
        <v>187</v>
      </c>
      <c r="AF1722" s="165">
        <v>25.046612</v>
      </c>
      <c r="AG1722" s="166">
        <v>91.931057999999993</v>
      </c>
      <c r="AO1722" s="121"/>
      <c r="AT1722" s="111"/>
      <c r="AX1722" s="121"/>
    </row>
    <row r="1723" spans="1:50" s="110" customFormat="1" ht="20" customHeight="1">
      <c r="A1723" s="125" t="s">
        <v>486</v>
      </c>
      <c r="B1723" s="126" t="s">
        <v>57</v>
      </c>
      <c r="C1723" s="127">
        <v>17204</v>
      </c>
      <c r="D1723" s="163">
        <v>112570</v>
      </c>
      <c r="E1723" s="164" t="s">
        <v>2400</v>
      </c>
      <c r="F1723" s="164" t="s">
        <v>2400</v>
      </c>
      <c r="G1723" s="165">
        <v>1200</v>
      </c>
      <c r="H1723" s="165">
        <v>1</v>
      </c>
      <c r="I1723" s="164" t="s">
        <v>187</v>
      </c>
      <c r="J1723" s="164" t="s">
        <v>713</v>
      </c>
      <c r="K1723" s="164" t="s">
        <v>714</v>
      </c>
      <c r="L1723" s="165">
        <v>4</v>
      </c>
      <c r="M1723" s="165">
        <v>5</v>
      </c>
      <c r="N1723" s="164" t="s">
        <v>1577</v>
      </c>
      <c r="O1723" s="165">
        <v>0</v>
      </c>
      <c r="P1723" s="165">
        <v>0</v>
      </c>
      <c r="Q1723" s="165">
        <v>21</v>
      </c>
      <c r="R1723" s="164" t="s">
        <v>200</v>
      </c>
      <c r="S1723" s="164" t="s">
        <v>201</v>
      </c>
      <c r="T1723" s="165">
        <v>442</v>
      </c>
      <c r="U1723" s="164" t="s">
        <v>200</v>
      </c>
      <c r="V1723" s="164" t="s">
        <v>720</v>
      </c>
      <c r="W1723" s="165">
        <v>3</v>
      </c>
      <c r="X1723" s="165">
        <v>4</v>
      </c>
      <c r="Y1723" s="164" t="s">
        <v>203</v>
      </c>
      <c r="Z1723" s="164" t="s">
        <v>195</v>
      </c>
      <c r="AA1723" s="164" t="s">
        <v>196</v>
      </c>
      <c r="AB1723" s="164" t="s">
        <v>187</v>
      </c>
      <c r="AC1723" s="164" t="s">
        <v>187</v>
      </c>
      <c r="AD1723" s="165">
        <v>1</v>
      </c>
      <c r="AE1723" s="164" t="s">
        <v>187</v>
      </c>
      <c r="AF1723" s="165">
        <v>22.448621947525599</v>
      </c>
      <c r="AG1723" s="166">
        <v>91.965544022966697</v>
      </c>
      <c r="AO1723" s="121"/>
      <c r="AT1723" s="111"/>
      <c r="AX1723" s="121"/>
    </row>
    <row r="1724" spans="1:50" s="110" customFormat="1" ht="20" customHeight="1">
      <c r="A1724" s="125" t="s">
        <v>486</v>
      </c>
      <c r="B1724" s="126" t="s">
        <v>57</v>
      </c>
      <c r="C1724" s="127">
        <v>17375</v>
      </c>
      <c r="D1724" s="163">
        <v>112768</v>
      </c>
      <c r="E1724" s="164" t="s">
        <v>2401</v>
      </c>
      <c r="F1724" s="164" t="s">
        <v>2401</v>
      </c>
      <c r="G1724" s="165">
        <v>1200</v>
      </c>
      <c r="H1724" s="165">
        <v>1</v>
      </c>
      <c r="I1724" s="164" t="s">
        <v>187</v>
      </c>
      <c r="J1724" s="164" t="s">
        <v>647</v>
      </c>
      <c r="K1724" s="164" t="s">
        <v>648</v>
      </c>
      <c r="L1724" s="165">
        <v>4</v>
      </c>
      <c r="M1724" s="165">
        <v>5</v>
      </c>
      <c r="N1724" s="164" t="s">
        <v>1577</v>
      </c>
      <c r="O1724" s="165">
        <v>0</v>
      </c>
      <c r="P1724" s="165">
        <v>0</v>
      </c>
      <c r="Q1724" s="165">
        <v>21</v>
      </c>
      <c r="R1724" s="164" t="s">
        <v>200</v>
      </c>
      <c r="S1724" s="164" t="s">
        <v>201</v>
      </c>
      <c r="T1724" s="165">
        <v>442</v>
      </c>
      <c r="U1724" s="164" t="s">
        <v>200</v>
      </c>
      <c r="V1724" s="164" t="s">
        <v>720</v>
      </c>
      <c r="W1724" s="165">
        <v>1</v>
      </c>
      <c r="X1724" s="165">
        <v>4</v>
      </c>
      <c r="Y1724" s="164" t="s">
        <v>203</v>
      </c>
      <c r="Z1724" s="164" t="s">
        <v>195</v>
      </c>
      <c r="AA1724" s="164" t="s">
        <v>196</v>
      </c>
      <c r="AB1724" s="164" t="s">
        <v>187</v>
      </c>
      <c r="AC1724" s="164" t="s">
        <v>187</v>
      </c>
      <c r="AD1724" s="165">
        <v>1</v>
      </c>
      <c r="AE1724" s="164" t="s">
        <v>187</v>
      </c>
      <c r="AF1724" s="165">
        <v>24.931580060996701</v>
      </c>
      <c r="AG1724" s="166">
        <v>92.118925146073096</v>
      </c>
      <c r="AO1724" s="121"/>
      <c r="AT1724" s="111"/>
      <c r="AX1724" s="121"/>
    </row>
    <row r="1725" spans="1:50" s="110" customFormat="1" ht="20" customHeight="1">
      <c r="A1725" s="125" t="s">
        <v>486</v>
      </c>
      <c r="B1725" s="126" t="s">
        <v>57</v>
      </c>
      <c r="C1725" s="127">
        <v>16862</v>
      </c>
      <c r="D1725" s="163">
        <v>112144</v>
      </c>
      <c r="E1725" s="164" t="s">
        <v>2348</v>
      </c>
      <c r="F1725" s="164" t="s">
        <v>2348</v>
      </c>
      <c r="G1725" s="165">
        <v>1100</v>
      </c>
      <c r="H1725" s="165">
        <v>1</v>
      </c>
      <c r="I1725" s="164" t="s">
        <v>187</v>
      </c>
      <c r="J1725" s="164" t="s">
        <v>198</v>
      </c>
      <c r="K1725" s="164" t="s">
        <v>199</v>
      </c>
      <c r="L1725" s="165">
        <v>5</v>
      </c>
      <c r="M1725" s="165">
        <v>5</v>
      </c>
      <c r="N1725" s="164" t="s">
        <v>1577</v>
      </c>
      <c r="O1725" s="165">
        <v>0</v>
      </c>
      <c r="P1725" s="165">
        <v>0</v>
      </c>
      <c r="Q1725" s="165">
        <v>21</v>
      </c>
      <c r="R1725" s="164" t="s">
        <v>200</v>
      </c>
      <c r="S1725" s="164" t="s">
        <v>201</v>
      </c>
      <c r="T1725" s="165">
        <v>442</v>
      </c>
      <c r="U1725" s="164" t="s">
        <v>200</v>
      </c>
      <c r="V1725" s="164" t="s">
        <v>720</v>
      </c>
      <c r="W1725" s="165">
        <v>3</v>
      </c>
      <c r="X1725" s="165">
        <v>4</v>
      </c>
      <c r="Y1725" s="164" t="s">
        <v>203</v>
      </c>
      <c r="Z1725" s="164" t="s">
        <v>195</v>
      </c>
      <c r="AA1725" s="164" t="s">
        <v>196</v>
      </c>
      <c r="AB1725" s="164" t="s">
        <v>187</v>
      </c>
      <c r="AC1725" s="164" t="s">
        <v>187</v>
      </c>
      <c r="AD1725" s="165">
        <v>1</v>
      </c>
      <c r="AE1725" s="164" t="s">
        <v>187</v>
      </c>
      <c r="AF1725" s="165">
        <v>22.778696944299998</v>
      </c>
      <c r="AG1725" s="166">
        <v>91.978632522773495</v>
      </c>
      <c r="AO1725" s="121"/>
      <c r="AT1725" s="111"/>
      <c r="AX1725" s="121"/>
    </row>
    <row r="1726" spans="1:50" s="110" customFormat="1" ht="20" customHeight="1">
      <c r="A1726" s="125" t="s">
        <v>486</v>
      </c>
      <c r="B1726" s="126" t="s">
        <v>57</v>
      </c>
      <c r="C1726" s="127">
        <v>16182</v>
      </c>
      <c r="D1726" s="163">
        <v>111287</v>
      </c>
      <c r="E1726" s="164" t="s">
        <v>2296</v>
      </c>
      <c r="F1726" s="164" t="s">
        <v>2296</v>
      </c>
      <c r="G1726" s="165">
        <v>1000</v>
      </c>
      <c r="H1726" s="165">
        <v>1</v>
      </c>
      <c r="I1726" s="164" t="s">
        <v>187</v>
      </c>
      <c r="J1726" s="164" t="s">
        <v>198</v>
      </c>
      <c r="K1726" s="164" t="s">
        <v>199</v>
      </c>
      <c r="L1726" s="165">
        <v>5</v>
      </c>
      <c r="M1726" s="165">
        <v>5</v>
      </c>
      <c r="N1726" s="164" t="s">
        <v>1577</v>
      </c>
      <c r="O1726" s="165">
        <v>0</v>
      </c>
      <c r="P1726" s="165">
        <v>0</v>
      </c>
      <c r="Q1726" s="165">
        <v>21</v>
      </c>
      <c r="R1726" s="164" t="s">
        <v>200</v>
      </c>
      <c r="S1726" s="164" t="s">
        <v>201</v>
      </c>
      <c r="T1726" s="165">
        <v>442</v>
      </c>
      <c r="U1726" s="164" t="s">
        <v>200</v>
      </c>
      <c r="V1726" s="164" t="s">
        <v>720</v>
      </c>
      <c r="W1726" s="165">
        <v>2</v>
      </c>
      <c r="X1726" s="165">
        <v>4</v>
      </c>
      <c r="Y1726" s="164" t="s">
        <v>203</v>
      </c>
      <c r="Z1726" s="164" t="s">
        <v>195</v>
      </c>
      <c r="AA1726" s="164" t="s">
        <v>196</v>
      </c>
      <c r="AB1726" s="164" t="s">
        <v>187</v>
      </c>
      <c r="AC1726" s="164" t="s">
        <v>187</v>
      </c>
      <c r="AD1726" s="165">
        <v>1</v>
      </c>
      <c r="AE1726" s="164" t="s">
        <v>187</v>
      </c>
      <c r="AF1726" s="165">
        <v>25.867366725178002</v>
      </c>
      <c r="AG1726" s="166">
        <v>88.846610272225007</v>
      </c>
      <c r="AO1726" s="121"/>
      <c r="AT1726" s="111"/>
      <c r="AX1726" s="121"/>
    </row>
    <row r="1727" spans="1:50" s="110" customFormat="1" ht="20" customHeight="1">
      <c r="A1727" s="125" t="s">
        <v>486</v>
      </c>
      <c r="B1727" s="126" t="s">
        <v>57</v>
      </c>
      <c r="C1727" s="127">
        <v>16275</v>
      </c>
      <c r="D1727" s="163">
        <v>111400</v>
      </c>
      <c r="E1727" s="164" t="s">
        <v>2297</v>
      </c>
      <c r="F1727" s="164" t="s">
        <v>2297</v>
      </c>
      <c r="G1727" s="165">
        <v>1000</v>
      </c>
      <c r="H1727" s="165">
        <v>1</v>
      </c>
      <c r="I1727" s="164" t="s">
        <v>187</v>
      </c>
      <c r="J1727" s="164" t="s">
        <v>198</v>
      </c>
      <c r="K1727" s="164" t="s">
        <v>199</v>
      </c>
      <c r="L1727" s="165">
        <v>5</v>
      </c>
      <c r="M1727" s="165">
        <v>5</v>
      </c>
      <c r="N1727" s="164" t="s">
        <v>1577</v>
      </c>
      <c r="O1727" s="165">
        <v>0</v>
      </c>
      <c r="P1727" s="165">
        <v>0</v>
      </c>
      <c r="Q1727" s="165">
        <v>21</v>
      </c>
      <c r="R1727" s="164" t="s">
        <v>200</v>
      </c>
      <c r="S1727" s="164" t="s">
        <v>201</v>
      </c>
      <c r="T1727" s="165">
        <v>442</v>
      </c>
      <c r="U1727" s="164" t="s">
        <v>200</v>
      </c>
      <c r="V1727" s="164" t="s">
        <v>720</v>
      </c>
      <c r="W1727" s="165">
        <v>2</v>
      </c>
      <c r="X1727" s="165">
        <v>4</v>
      </c>
      <c r="Y1727" s="164" t="s">
        <v>203</v>
      </c>
      <c r="Z1727" s="164" t="s">
        <v>195</v>
      </c>
      <c r="AA1727" s="164" t="s">
        <v>196</v>
      </c>
      <c r="AB1727" s="164" t="s">
        <v>187</v>
      </c>
      <c r="AC1727" s="164" t="s">
        <v>187</v>
      </c>
      <c r="AD1727" s="165">
        <v>1</v>
      </c>
      <c r="AE1727" s="164" t="s">
        <v>187</v>
      </c>
      <c r="AF1727" s="165">
        <v>24.487095</v>
      </c>
      <c r="AG1727" s="166">
        <v>89.643750999999995</v>
      </c>
      <c r="AO1727" s="121"/>
      <c r="AT1727" s="111"/>
      <c r="AX1727" s="121"/>
    </row>
    <row r="1728" spans="1:50" s="110" customFormat="1" ht="20" customHeight="1">
      <c r="A1728" s="125" t="s">
        <v>486</v>
      </c>
      <c r="B1728" s="126" t="s">
        <v>57</v>
      </c>
      <c r="C1728" s="127">
        <v>21346</v>
      </c>
      <c r="D1728" s="163">
        <v>118172</v>
      </c>
      <c r="E1728" s="164" t="s">
        <v>2298</v>
      </c>
      <c r="F1728" s="164" t="s">
        <v>2298</v>
      </c>
      <c r="G1728" s="165">
        <v>1000</v>
      </c>
      <c r="H1728" s="165">
        <v>1</v>
      </c>
      <c r="I1728" s="164" t="s">
        <v>187</v>
      </c>
      <c r="J1728" s="164" t="s">
        <v>198</v>
      </c>
      <c r="K1728" s="164" t="s">
        <v>199</v>
      </c>
      <c r="L1728" s="165">
        <v>5</v>
      </c>
      <c r="M1728" s="165">
        <v>5</v>
      </c>
      <c r="N1728" s="164" t="s">
        <v>1577</v>
      </c>
      <c r="O1728" s="165">
        <v>0</v>
      </c>
      <c r="P1728" s="165">
        <v>0</v>
      </c>
      <c r="Q1728" s="165">
        <v>21</v>
      </c>
      <c r="R1728" s="164" t="s">
        <v>200</v>
      </c>
      <c r="S1728" s="164" t="s">
        <v>201</v>
      </c>
      <c r="T1728" s="165">
        <v>442</v>
      </c>
      <c r="U1728" s="164" t="s">
        <v>200</v>
      </c>
      <c r="V1728" s="164" t="s">
        <v>720</v>
      </c>
      <c r="W1728" s="165">
        <v>3</v>
      </c>
      <c r="X1728" s="165">
        <v>4</v>
      </c>
      <c r="Y1728" s="164" t="s">
        <v>203</v>
      </c>
      <c r="Z1728" s="164" t="s">
        <v>195</v>
      </c>
      <c r="AA1728" s="164" t="s">
        <v>196</v>
      </c>
      <c r="AB1728" s="164" t="s">
        <v>187</v>
      </c>
      <c r="AC1728" s="164" t="s">
        <v>187</v>
      </c>
      <c r="AD1728" s="165">
        <v>1</v>
      </c>
      <c r="AE1728" s="164" t="s">
        <v>187</v>
      </c>
      <c r="AF1728" s="165">
        <v>24.70288</v>
      </c>
      <c r="AG1728" s="166">
        <v>90.451999999999998</v>
      </c>
      <c r="AO1728" s="121"/>
      <c r="AT1728" s="111"/>
      <c r="AX1728" s="121"/>
    </row>
    <row r="1729" spans="1:50" s="110" customFormat="1" ht="20" customHeight="1">
      <c r="A1729" s="125" t="s">
        <v>486</v>
      </c>
      <c r="B1729" s="126" t="s">
        <v>57</v>
      </c>
      <c r="C1729" s="127">
        <v>16424</v>
      </c>
      <c r="D1729" s="163">
        <v>111575</v>
      </c>
      <c r="E1729" s="164" t="s">
        <v>2246</v>
      </c>
      <c r="F1729" s="164" t="s">
        <v>2246</v>
      </c>
      <c r="G1729" s="165">
        <v>900</v>
      </c>
      <c r="H1729" s="165">
        <v>1</v>
      </c>
      <c r="I1729" s="164" t="s">
        <v>187</v>
      </c>
      <c r="J1729" s="164" t="s">
        <v>198</v>
      </c>
      <c r="K1729" s="164" t="s">
        <v>199</v>
      </c>
      <c r="L1729" s="165">
        <v>5</v>
      </c>
      <c r="M1729" s="165">
        <v>5</v>
      </c>
      <c r="N1729" s="164" t="s">
        <v>1577</v>
      </c>
      <c r="O1729" s="165">
        <v>0</v>
      </c>
      <c r="P1729" s="165">
        <v>0</v>
      </c>
      <c r="Q1729" s="165">
        <v>21</v>
      </c>
      <c r="R1729" s="164" t="s">
        <v>200</v>
      </c>
      <c r="S1729" s="164" t="s">
        <v>201</v>
      </c>
      <c r="T1729" s="165">
        <v>442</v>
      </c>
      <c r="U1729" s="164" t="s">
        <v>200</v>
      </c>
      <c r="V1729" s="164" t="s">
        <v>720</v>
      </c>
      <c r="W1729" s="165">
        <v>2</v>
      </c>
      <c r="X1729" s="165">
        <v>4</v>
      </c>
      <c r="Y1729" s="164" t="s">
        <v>203</v>
      </c>
      <c r="Z1729" s="164" t="s">
        <v>195</v>
      </c>
      <c r="AA1729" s="164" t="s">
        <v>196</v>
      </c>
      <c r="AB1729" s="164" t="s">
        <v>187</v>
      </c>
      <c r="AC1729" s="164" t="s">
        <v>187</v>
      </c>
      <c r="AD1729" s="165">
        <v>1</v>
      </c>
      <c r="AE1729" s="164" t="s">
        <v>187</v>
      </c>
      <c r="AF1729" s="165">
        <v>25.893334264993999</v>
      </c>
      <c r="AG1729" s="166">
        <v>89.529609713544403</v>
      </c>
      <c r="AO1729" s="121"/>
      <c r="AT1729" s="111"/>
      <c r="AX1729" s="121"/>
    </row>
    <row r="1730" spans="1:50" s="110" customFormat="1" ht="20" customHeight="1">
      <c r="A1730" s="125" t="s">
        <v>486</v>
      </c>
      <c r="B1730" s="126" t="s">
        <v>57</v>
      </c>
      <c r="C1730" s="127">
        <v>21343</v>
      </c>
      <c r="D1730" s="163">
        <v>118169</v>
      </c>
      <c r="E1730" s="164" t="s">
        <v>2247</v>
      </c>
      <c r="F1730" s="164" t="s">
        <v>2247</v>
      </c>
      <c r="G1730" s="165">
        <v>900</v>
      </c>
      <c r="H1730" s="165">
        <v>1</v>
      </c>
      <c r="I1730" s="164" t="s">
        <v>187</v>
      </c>
      <c r="J1730" s="164" t="s">
        <v>198</v>
      </c>
      <c r="K1730" s="164" t="s">
        <v>199</v>
      </c>
      <c r="L1730" s="165">
        <v>5</v>
      </c>
      <c r="M1730" s="165">
        <v>5</v>
      </c>
      <c r="N1730" s="164" t="s">
        <v>1577</v>
      </c>
      <c r="O1730" s="165">
        <v>0</v>
      </c>
      <c r="P1730" s="165">
        <v>0</v>
      </c>
      <c r="Q1730" s="165">
        <v>21</v>
      </c>
      <c r="R1730" s="164" t="s">
        <v>200</v>
      </c>
      <c r="S1730" s="164" t="s">
        <v>201</v>
      </c>
      <c r="T1730" s="165">
        <v>442</v>
      </c>
      <c r="U1730" s="164" t="s">
        <v>200</v>
      </c>
      <c r="V1730" s="164" t="s">
        <v>720</v>
      </c>
      <c r="W1730" s="165">
        <v>3</v>
      </c>
      <c r="X1730" s="165">
        <v>4</v>
      </c>
      <c r="Y1730" s="164" t="s">
        <v>203</v>
      </c>
      <c r="Z1730" s="164" t="s">
        <v>195</v>
      </c>
      <c r="AA1730" s="164" t="s">
        <v>196</v>
      </c>
      <c r="AB1730" s="164" t="s">
        <v>187</v>
      </c>
      <c r="AC1730" s="164" t="s">
        <v>187</v>
      </c>
      <c r="AD1730" s="165">
        <v>1</v>
      </c>
      <c r="AE1730" s="164" t="s">
        <v>187</v>
      </c>
      <c r="AF1730" s="165">
        <v>24.70288</v>
      </c>
      <c r="AG1730" s="166">
        <v>90.451999999999998</v>
      </c>
      <c r="AO1730" s="121"/>
      <c r="AT1730" s="111"/>
      <c r="AX1730" s="121"/>
    </row>
    <row r="1731" spans="1:50" s="110" customFormat="1" ht="20" customHeight="1">
      <c r="A1731" s="125" t="s">
        <v>486</v>
      </c>
      <c r="B1731" s="126" t="s">
        <v>57</v>
      </c>
      <c r="C1731" s="127">
        <v>21766</v>
      </c>
      <c r="D1731" s="167"/>
      <c r="E1731" s="164" t="s">
        <v>2068</v>
      </c>
      <c r="F1731" s="164" t="s">
        <v>2068</v>
      </c>
      <c r="G1731" s="165">
        <v>700</v>
      </c>
      <c r="H1731" s="165">
        <v>1</v>
      </c>
      <c r="I1731" s="164" t="s">
        <v>187</v>
      </c>
      <c r="J1731" s="164" t="s">
        <v>198</v>
      </c>
      <c r="K1731" s="164" t="s">
        <v>199</v>
      </c>
      <c r="L1731" s="165">
        <v>5</v>
      </c>
      <c r="M1731" s="165">
        <v>5</v>
      </c>
      <c r="N1731" s="164" t="s">
        <v>1577</v>
      </c>
      <c r="O1731" s="165">
        <v>0</v>
      </c>
      <c r="P1731" s="165">
        <v>0</v>
      </c>
      <c r="Q1731" s="165">
        <v>21</v>
      </c>
      <c r="R1731" s="164" t="s">
        <v>200</v>
      </c>
      <c r="S1731" s="164" t="s">
        <v>201</v>
      </c>
      <c r="T1731" s="165">
        <v>442</v>
      </c>
      <c r="U1731" s="164" t="s">
        <v>200</v>
      </c>
      <c r="V1731" s="164" t="s">
        <v>720</v>
      </c>
      <c r="W1731" s="165">
        <v>3</v>
      </c>
      <c r="X1731" s="165">
        <v>4</v>
      </c>
      <c r="Y1731" s="164" t="s">
        <v>203</v>
      </c>
      <c r="Z1731" s="164" t="s">
        <v>195</v>
      </c>
      <c r="AA1731" s="164" t="s">
        <v>196</v>
      </c>
      <c r="AB1731" s="164" t="s">
        <v>187</v>
      </c>
      <c r="AC1731" s="164" t="s">
        <v>187</v>
      </c>
      <c r="AD1731" s="165">
        <v>1</v>
      </c>
      <c r="AE1731" s="164" t="s">
        <v>187</v>
      </c>
      <c r="AF1731" s="165">
        <v>25.618770000000001</v>
      </c>
      <c r="AG1731" s="166">
        <v>88.79392</v>
      </c>
      <c r="AO1731" s="121"/>
      <c r="AT1731" s="111"/>
      <c r="AX1731" s="121"/>
    </row>
    <row r="1732" spans="1:50" s="110" customFormat="1" ht="20" customHeight="1">
      <c r="A1732" s="125" t="s">
        <v>486</v>
      </c>
      <c r="B1732" s="126" t="s">
        <v>57</v>
      </c>
      <c r="C1732" s="127">
        <v>17408</v>
      </c>
      <c r="D1732" s="163">
        <v>112808</v>
      </c>
      <c r="E1732" s="164" t="s">
        <v>2069</v>
      </c>
      <c r="F1732" s="164" t="s">
        <v>2069</v>
      </c>
      <c r="G1732" s="165">
        <v>700</v>
      </c>
      <c r="H1732" s="165">
        <v>1</v>
      </c>
      <c r="I1732" s="164" t="s">
        <v>187</v>
      </c>
      <c r="J1732" s="164" t="s">
        <v>198</v>
      </c>
      <c r="K1732" s="164" t="s">
        <v>199</v>
      </c>
      <c r="L1732" s="165">
        <v>5</v>
      </c>
      <c r="M1732" s="165">
        <v>5</v>
      </c>
      <c r="N1732" s="164" t="s">
        <v>1577</v>
      </c>
      <c r="O1732" s="165">
        <v>0</v>
      </c>
      <c r="P1732" s="165">
        <v>0</v>
      </c>
      <c r="Q1732" s="165">
        <v>21</v>
      </c>
      <c r="R1732" s="164" t="s">
        <v>200</v>
      </c>
      <c r="S1732" s="164" t="s">
        <v>201</v>
      </c>
      <c r="T1732" s="165">
        <v>442</v>
      </c>
      <c r="U1732" s="164" t="s">
        <v>200</v>
      </c>
      <c r="V1732" s="164" t="s">
        <v>720</v>
      </c>
      <c r="W1732" s="165">
        <v>2</v>
      </c>
      <c r="X1732" s="165">
        <v>4</v>
      </c>
      <c r="Y1732" s="164" t="s">
        <v>203</v>
      </c>
      <c r="Z1732" s="164" t="s">
        <v>195</v>
      </c>
      <c r="AA1732" s="164" t="s">
        <v>196</v>
      </c>
      <c r="AB1732" s="164" t="s">
        <v>187</v>
      </c>
      <c r="AC1732" s="164" t="s">
        <v>187</v>
      </c>
      <c r="AD1732" s="165">
        <v>1</v>
      </c>
      <c r="AE1732" s="164" t="s">
        <v>187</v>
      </c>
      <c r="AF1732" s="165">
        <v>23.575444000000001</v>
      </c>
      <c r="AG1732" s="166">
        <v>90.955151999999998</v>
      </c>
      <c r="AO1732" s="121"/>
      <c r="AT1732" s="111"/>
      <c r="AX1732" s="121"/>
    </row>
    <row r="1733" spans="1:50" s="110" customFormat="1" ht="20" customHeight="1">
      <c r="A1733" s="125" t="s">
        <v>486</v>
      </c>
      <c r="B1733" s="126" t="s">
        <v>57</v>
      </c>
      <c r="C1733" s="127">
        <v>18030</v>
      </c>
      <c r="D1733" s="163">
        <v>113525</v>
      </c>
      <c r="E1733" s="164" t="s">
        <v>2073</v>
      </c>
      <c r="F1733" s="164" t="s">
        <v>2073</v>
      </c>
      <c r="G1733" s="165">
        <v>700</v>
      </c>
      <c r="H1733" s="165">
        <v>1</v>
      </c>
      <c r="I1733" s="164" t="s">
        <v>187</v>
      </c>
      <c r="J1733" s="164" t="s">
        <v>198</v>
      </c>
      <c r="K1733" s="164" t="s">
        <v>199</v>
      </c>
      <c r="L1733" s="165">
        <v>5</v>
      </c>
      <c r="M1733" s="165">
        <v>5</v>
      </c>
      <c r="N1733" s="164" t="s">
        <v>1577</v>
      </c>
      <c r="O1733" s="165">
        <v>0</v>
      </c>
      <c r="P1733" s="165">
        <v>0</v>
      </c>
      <c r="Q1733" s="165">
        <v>21</v>
      </c>
      <c r="R1733" s="164" t="s">
        <v>200</v>
      </c>
      <c r="S1733" s="164" t="s">
        <v>201</v>
      </c>
      <c r="T1733" s="165">
        <v>442</v>
      </c>
      <c r="U1733" s="164" t="s">
        <v>200</v>
      </c>
      <c r="V1733" s="164" t="s">
        <v>720</v>
      </c>
      <c r="W1733" s="165">
        <v>2</v>
      </c>
      <c r="X1733" s="165">
        <v>4</v>
      </c>
      <c r="Y1733" s="164" t="s">
        <v>203</v>
      </c>
      <c r="Z1733" s="164" t="s">
        <v>195</v>
      </c>
      <c r="AA1733" s="164" t="s">
        <v>196</v>
      </c>
      <c r="AB1733" s="164" t="s">
        <v>187</v>
      </c>
      <c r="AC1733" s="164" t="s">
        <v>187</v>
      </c>
      <c r="AD1733" s="165">
        <v>1</v>
      </c>
      <c r="AE1733" s="164" t="s">
        <v>187</v>
      </c>
      <c r="AF1733" s="165">
        <v>22.853375725881701</v>
      </c>
      <c r="AG1733" s="166">
        <v>90.080354279961895</v>
      </c>
      <c r="AO1733" s="121"/>
      <c r="AT1733" s="111"/>
      <c r="AX1733" s="121"/>
    </row>
    <row r="1734" spans="1:50" s="110" customFormat="1" ht="20" customHeight="1">
      <c r="A1734" s="125" t="s">
        <v>486</v>
      </c>
      <c r="B1734" s="126" t="s">
        <v>57</v>
      </c>
      <c r="C1734" s="127">
        <v>18035</v>
      </c>
      <c r="D1734" s="163">
        <v>113530</v>
      </c>
      <c r="E1734" s="164" t="s">
        <v>2074</v>
      </c>
      <c r="F1734" s="164" t="s">
        <v>2074</v>
      </c>
      <c r="G1734" s="165">
        <v>700</v>
      </c>
      <c r="H1734" s="165">
        <v>1</v>
      </c>
      <c r="I1734" s="164" t="s">
        <v>187</v>
      </c>
      <c r="J1734" s="164" t="s">
        <v>2075</v>
      </c>
      <c r="K1734" s="164" t="s">
        <v>2076</v>
      </c>
      <c r="L1734" s="165">
        <v>5</v>
      </c>
      <c r="M1734" s="165">
        <v>5</v>
      </c>
      <c r="N1734" s="164" t="s">
        <v>1577</v>
      </c>
      <c r="O1734" s="165">
        <v>0</v>
      </c>
      <c r="P1734" s="165">
        <v>0</v>
      </c>
      <c r="Q1734" s="165">
        <v>21</v>
      </c>
      <c r="R1734" s="164" t="s">
        <v>200</v>
      </c>
      <c r="S1734" s="164" t="s">
        <v>201</v>
      </c>
      <c r="T1734" s="165">
        <v>442</v>
      </c>
      <c r="U1734" s="164" t="s">
        <v>200</v>
      </c>
      <c r="V1734" s="164" t="s">
        <v>720</v>
      </c>
      <c r="W1734" s="165">
        <v>4</v>
      </c>
      <c r="X1734" s="165">
        <v>4</v>
      </c>
      <c r="Y1734" s="164" t="s">
        <v>203</v>
      </c>
      <c r="Z1734" s="164" t="s">
        <v>195</v>
      </c>
      <c r="AA1734" s="164" t="s">
        <v>196</v>
      </c>
      <c r="AB1734" s="164" t="s">
        <v>187</v>
      </c>
      <c r="AC1734" s="164" t="s">
        <v>187</v>
      </c>
      <c r="AD1734" s="165">
        <v>1</v>
      </c>
      <c r="AE1734" s="164" t="s">
        <v>187</v>
      </c>
      <c r="AF1734" s="165">
        <v>22.9938227437029</v>
      </c>
      <c r="AG1734" s="166">
        <v>89.730717976479298</v>
      </c>
      <c r="AO1734" s="121"/>
      <c r="AT1734" s="111"/>
      <c r="AX1734" s="121"/>
    </row>
    <row r="1735" spans="1:50" s="110" customFormat="1" ht="20" customHeight="1">
      <c r="A1735" s="125" t="s">
        <v>486</v>
      </c>
      <c r="B1735" s="126" t="s">
        <v>57</v>
      </c>
      <c r="C1735" s="127">
        <v>19924</v>
      </c>
      <c r="D1735" s="163">
        <v>115705</v>
      </c>
      <c r="E1735" s="164" t="s">
        <v>2006</v>
      </c>
      <c r="F1735" s="164" t="s">
        <v>2006</v>
      </c>
      <c r="G1735" s="165">
        <v>600</v>
      </c>
      <c r="H1735" s="165">
        <v>1</v>
      </c>
      <c r="I1735" s="164" t="s">
        <v>187</v>
      </c>
      <c r="J1735" s="164" t="s">
        <v>198</v>
      </c>
      <c r="K1735" s="164" t="s">
        <v>199</v>
      </c>
      <c r="L1735" s="165">
        <v>5</v>
      </c>
      <c r="M1735" s="165">
        <v>5</v>
      </c>
      <c r="N1735" s="164" t="s">
        <v>1577</v>
      </c>
      <c r="O1735" s="165">
        <v>0</v>
      </c>
      <c r="P1735" s="165">
        <v>0</v>
      </c>
      <c r="Q1735" s="165">
        <v>21</v>
      </c>
      <c r="R1735" s="164" t="s">
        <v>200</v>
      </c>
      <c r="S1735" s="164" t="s">
        <v>201</v>
      </c>
      <c r="T1735" s="165">
        <v>442</v>
      </c>
      <c r="U1735" s="164" t="s">
        <v>200</v>
      </c>
      <c r="V1735" s="164" t="s">
        <v>720</v>
      </c>
      <c r="W1735" s="165">
        <v>3</v>
      </c>
      <c r="X1735" s="165">
        <v>4</v>
      </c>
      <c r="Y1735" s="164" t="s">
        <v>203</v>
      </c>
      <c r="Z1735" s="164" t="s">
        <v>195</v>
      </c>
      <c r="AA1735" s="164" t="s">
        <v>196</v>
      </c>
      <c r="AB1735" s="164" t="s">
        <v>187</v>
      </c>
      <c r="AC1735" s="164" t="s">
        <v>187</v>
      </c>
      <c r="AD1735" s="165">
        <v>1</v>
      </c>
      <c r="AE1735" s="164" t="s">
        <v>187</v>
      </c>
      <c r="AF1735" s="165">
        <v>24.277297999999998</v>
      </c>
      <c r="AG1735" s="166">
        <v>89.880634000000001</v>
      </c>
      <c r="AO1735" s="121"/>
      <c r="AT1735" s="111"/>
      <c r="AX1735" s="121"/>
    </row>
    <row r="1736" spans="1:50" s="110" customFormat="1" ht="20" customHeight="1">
      <c r="A1736" s="125" t="s">
        <v>486</v>
      </c>
      <c r="B1736" s="126" t="s">
        <v>57</v>
      </c>
      <c r="C1736" s="127">
        <v>17949</v>
      </c>
      <c r="D1736" s="163">
        <v>113438</v>
      </c>
      <c r="E1736" s="164" t="s">
        <v>2008</v>
      </c>
      <c r="F1736" s="164" t="s">
        <v>2008</v>
      </c>
      <c r="G1736" s="165">
        <v>600</v>
      </c>
      <c r="H1736" s="165">
        <v>1</v>
      </c>
      <c r="I1736" s="164" t="s">
        <v>187</v>
      </c>
      <c r="J1736" s="164" t="s">
        <v>2009</v>
      </c>
      <c r="K1736" s="164" t="s">
        <v>2010</v>
      </c>
      <c r="L1736" s="165">
        <v>4</v>
      </c>
      <c r="M1736" s="165">
        <v>5</v>
      </c>
      <c r="N1736" s="164" t="s">
        <v>1577</v>
      </c>
      <c r="O1736" s="165">
        <v>0</v>
      </c>
      <c r="P1736" s="165">
        <v>0</v>
      </c>
      <c r="Q1736" s="165">
        <v>21</v>
      </c>
      <c r="R1736" s="164" t="s">
        <v>200</v>
      </c>
      <c r="S1736" s="164" t="s">
        <v>201</v>
      </c>
      <c r="T1736" s="165">
        <v>442</v>
      </c>
      <c r="U1736" s="164" t="s">
        <v>200</v>
      </c>
      <c r="V1736" s="164" t="s">
        <v>720</v>
      </c>
      <c r="W1736" s="165">
        <v>2</v>
      </c>
      <c r="X1736" s="165">
        <v>4</v>
      </c>
      <c r="Y1736" s="164" t="s">
        <v>203</v>
      </c>
      <c r="Z1736" s="164" t="s">
        <v>195</v>
      </c>
      <c r="AA1736" s="164" t="s">
        <v>196</v>
      </c>
      <c r="AB1736" s="164" t="s">
        <v>187</v>
      </c>
      <c r="AC1736" s="164" t="s">
        <v>187</v>
      </c>
      <c r="AD1736" s="165">
        <v>1</v>
      </c>
      <c r="AE1736" s="164" t="s">
        <v>187</v>
      </c>
      <c r="AF1736" s="165">
        <v>24.833544</v>
      </c>
      <c r="AG1736" s="166">
        <v>91.953665000000001</v>
      </c>
      <c r="AO1736" s="121"/>
      <c r="AT1736" s="111"/>
      <c r="AX1736" s="121"/>
    </row>
    <row r="1737" spans="1:50" s="110" customFormat="1" ht="20" customHeight="1">
      <c r="A1737" s="125" t="s">
        <v>486</v>
      </c>
      <c r="B1737" s="126" t="s">
        <v>57</v>
      </c>
      <c r="C1737" s="127">
        <v>18255</v>
      </c>
      <c r="D1737" s="163">
        <v>113789</v>
      </c>
      <c r="E1737" s="164" t="s">
        <v>1748</v>
      </c>
      <c r="F1737" s="164" t="s">
        <v>1748</v>
      </c>
      <c r="G1737" s="165">
        <v>300</v>
      </c>
      <c r="H1737" s="165">
        <v>1</v>
      </c>
      <c r="I1737" s="164" t="s">
        <v>187</v>
      </c>
      <c r="J1737" s="164" t="s">
        <v>198</v>
      </c>
      <c r="K1737" s="164" t="s">
        <v>199</v>
      </c>
      <c r="L1737" s="165">
        <v>5</v>
      </c>
      <c r="M1737" s="165">
        <v>5</v>
      </c>
      <c r="N1737" s="164" t="s">
        <v>1577</v>
      </c>
      <c r="O1737" s="165">
        <v>0</v>
      </c>
      <c r="P1737" s="165">
        <v>0</v>
      </c>
      <c r="Q1737" s="165">
        <v>21</v>
      </c>
      <c r="R1737" s="164" t="s">
        <v>200</v>
      </c>
      <c r="S1737" s="164" t="s">
        <v>201</v>
      </c>
      <c r="T1737" s="165">
        <v>442</v>
      </c>
      <c r="U1737" s="164" t="s">
        <v>200</v>
      </c>
      <c r="V1737" s="164" t="s">
        <v>720</v>
      </c>
      <c r="W1737" s="165">
        <v>2</v>
      </c>
      <c r="X1737" s="165">
        <v>4</v>
      </c>
      <c r="Y1737" s="164" t="s">
        <v>203</v>
      </c>
      <c r="Z1737" s="164" t="s">
        <v>195</v>
      </c>
      <c r="AA1737" s="164" t="s">
        <v>196</v>
      </c>
      <c r="AB1737" s="164" t="s">
        <v>187</v>
      </c>
      <c r="AC1737" s="164" t="s">
        <v>187</v>
      </c>
      <c r="AD1737" s="165">
        <v>1</v>
      </c>
      <c r="AE1737" s="164" t="s">
        <v>187</v>
      </c>
      <c r="AF1737" s="165">
        <v>24.990463510320598</v>
      </c>
      <c r="AG1737" s="166">
        <v>88.990517398497303</v>
      </c>
      <c r="AO1737" s="121"/>
      <c r="AT1737" s="111"/>
      <c r="AX1737" s="121"/>
    </row>
    <row r="1738" spans="1:50" s="110" customFormat="1" ht="20" customHeight="1">
      <c r="A1738" s="125" t="s">
        <v>486</v>
      </c>
      <c r="B1738" s="126" t="s">
        <v>57</v>
      </c>
      <c r="C1738" s="127">
        <v>16440</v>
      </c>
      <c r="D1738" s="163">
        <v>111593</v>
      </c>
      <c r="E1738" s="164" t="s">
        <v>1634</v>
      </c>
      <c r="F1738" s="164" t="s">
        <v>1634</v>
      </c>
      <c r="G1738" s="165">
        <v>200</v>
      </c>
      <c r="H1738" s="165">
        <v>1</v>
      </c>
      <c r="I1738" s="164" t="s">
        <v>187</v>
      </c>
      <c r="J1738" s="164" t="s">
        <v>198</v>
      </c>
      <c r="K1738" s="164" t="s">
        <v>199</v>
      </c>
      <c r="L1738" s="165">
        <v>5</v>
      </c>
      <c r="M1738" s="165">
        <v>5</v>
      </c>
      <c r="N1738" s="164" t="s">
        <v>1577</v>
      </c>
      <c r="O1738" s="165">
        <v>0</v>
      </c>
      <c r="P1738" s="165">
        <v>0</v>
      </c>
      <c r="Q1738" s="165">
        <v>21</v>
      </c>
      <c r="R1738" s="164" t="s">
        <v>200</v>
      </c>
      <c r="S1738" s="164" t="s">
        <v>201</v>
      </c>
      <c r="T1738" s="165">
        <v>442</v>
      </c>
      <c r="U1738" s="164" t="s">
        <v>200</v>
      </c>
      <c r="V1738" s="164" t="s">
        <v>720</v>
      </c>
      <c r="W1738" s="165">
        <v>2</v>
      </c>
      <c r="X1738" s="165">
        <v>4</v>
      </c>
      <c r="Y1738" s="164" t="s">
        <v>203</v>
      </c>
      <c r="Z1738" s="164" t="s">
        <v>195</v>
      </c>
      <c r="AA1738" s="164" t="s">
        <v>196</v>
      </c>
      <c r="AB1738" s="164" t="s">
        <v>187</v>
      </c>
      <c r="AC1738" s="164" t="s">
        <v>187</v>
      </c>
      <c r="AD1738" s="165">
        <v>1</v>
      </c>
      <c r="AE1738" s="164" t="s">
        <v>187</v>
      </c>
      <c r="AF1738" s="165">
        <v>24.531268702769999</v>
      </c>
      <c r="AG1738" s="166">
        <v>90.033789811290205</v>
      </c>
      <c r="AO1738" s="121"/>
      <c r="AT1738" s="111"/>
      <c r="AX1738" s="121"/>
    </row>
    <row r="1739" spans="1:50" s="110" customFormat="1" ht="20" customHeight="1">
      <c r="A1739" s="125" t="s">
        <v>486</v>
      </c>
      <c r="B1739" s="126" t="s">
        <v>57</v>
      </c>
      <c r="C1739" s="127">
        <v>16924</v>
      </c>
      <c r="D1739" s="163">
        <v>112222</v>
      </c>
      <c r="E1739" s="164" t="s">
        <v>1637</v>
      </c>
      <c r="F1739" s="164" t="s">
        <v>1637</v>
      </c>
      <c r="G1739" s="165">
        <v>200</v>
      </c>
      <c r="H1739" s="165">
        <v>1</v>
      </c>
      <c r="I1739" s="164" t="s">
        <v>187</v>
      </c>
      <c r="J1739" s="164" t="s">
        <v>198</v>
      </c>
      <c r="K1739" s="164" t="s">
        <v>199</v>
      </c>
      <c r="L1739" s="165">
        <v>5</v>
      </c>
      <c r="M1739" s="165">
        <v>5</v>
      </c>
      <c r="N1739" s="164" t="s">
        <v>1577</v>
      </c>
      <c r="O1739" s="165">
        <v>0</v>
      </c>
      <c r="P1739" s="165">
        <v>0</v>
      </c>
      <c r="Q1739" s="165">
        <v>21</v>
      </c>
      <c r="R1739" s="164" t="s">
        <v>200</v>
      </c>
      <c r="S1739" s="164" t="s">
        <v>201</v>
      </c>
      <c r="T1739" s="165">
        <v>442</v>
      </c>
      <c r="U1739" s="164" t="s">
        <v>200</v>
      </c>
      <c r="V1739" s="164" t="s">
        <v>720</v>
      </c>
      <c r="W1739" s="165">
        <v>2</v>
      </c>
      <c r="X1739" s="165">
        <v>4</v>
      </c>
      <c r="Y1739" s="164" t="s">
        <v>203</v>
      </c>
      <c r="Z1739" s="164" t="s">
        <v>195</v>
      </c>
      <c r="AA1739" s="164" t="s">
        <v>196</v>
      </c>
      <c r="AB1739" s="164" t="s">
        <v>187</v>
      </c>
      <c r="AC1739" s="164" t="s">
        <v>187</v>
      </c>
      <c r="AD1739" s="165">
        <v>1</v>
      </c>
      <c r="AE1739" s="164" t="s">
        <v>187</v>
      </c>
      <c r="AF1739" s="165">
        <v>22.5922755379802</v>
      </c>
      <c r="AG1739" s="166">
        <v>89.678154234065005</v>
      </c>
      <c r="AO1739" s="121"/>
      <c r="AT1739" s="111"/>
      <c r="AX1739" s="121"/>
    </row>
    <row r="1740" spans="1:50" s="110" customFormat="1" ht="20" customHeight="1">
      <c r="A1740" s="125" t="s">
        <v>486</v>
      </c>
      <c r="B1740" s="126" t="s">
        <v>57</v>
      </c>
      <c r="C1740" s="127">
        <v>16936</v>
      </c>
      <c r="D1740" s="163">
        <v>112238</v>
      </c>
      <c r="E1740" s="164" t="s">
        <v>1639</v>
      </c>
      <c r="F1740" s="164" t="s">
        <v>1639</v>
      </c>
      <c r="G1740" s="165">
        <v>200</v>
      </c>
      <c r="H1740" s="165">
        <v>1</v>
      </c>
      <c r="I1740" s="164" t="s">
        <v>187</v>
      </c>
      <c r="J1740" s="164" t="s">
        <v>198</v>
      </c>
      <c r="K1740" s="164" t="s">
        <v>199</v>
      </c>
      <c r="L1740" s="165">
        <v>5</v>
      </c>
      <c r="M1740" s="165">
        <v>5</v>
      </c>
      <c r="N1740" s="164" t="s">
        <v>1577</v>
      </c>
      <c r="O1740" s="165">
        <v>0</v>
      </c>
      <c r="P1740" s="165">
        <v>0</v>
      </c>
      <c r="Q1740" s="165">
        <v>21</v>
      </c>
      <c r="R1740" s="164" t="s">
        <v>200</v>
      </c>
      <c r="S1740" s="164" t="s">
        <v>201</v>
      </c>
      <c r="T1740" s="165">
        <v>442</v>
      </c>
      <c r="U1740" s="164" t="s">
        <v>200</v>
      </c>
      <c r="V1740" s="164" t="s">
        <v>720</v>
      </c>
      <c r="W1740" s="165">
        <v>2</v>
      </c>
      <c r="X1740" s="165">
        <v>4</v>
      </c>
      <c r="Y1740" s="164" t="s">
        <v>203</v>
      </c>
      <c r="Z1740" s="164" t="s">
        <v>195</v>
      </c>
      <c r="AA1740" s="164" t="s">
        <v>196</v>
      </c>
      <c r="AB1740" s="164" t="s">
        <v>187</v>
      </c>
      <c r="AC1740" s="164" t="s">
        <v>187</v>
      </c>
      <c r="AD1740" s="165">
        <v>1</v>
      </c>
      <c r="AE1740" s="164" t="s">
        <v>187</v>
      </c>
      <c r="AF1740" s="165">
        <v>22.977697164530301</v>
      </c>
      <c r="AG1740" s="166">
        <v>90.072555622565304</v>
      </c>
      <c r="AO1740" s="121"/>
      <c r="AT1740" s="111"/>
      <c r="AX1740" s="121"/>
    </row>
    <row r="1741" spans="1:50" s="110" customFormat="1" ht="20" customHeight="1">
      <c r="A1741" s="125" t="s">
        <v>486</v>
      </c>
      <c r="B1741" s="126" t="s">
        <v>57</v>
      </c>
      <c r="C1741" s="127">
        <v>16943</v>
      </c>
      <c r="D1741" s="163">
        <v>112246</v>
      </c>
      <c r="E1741" s="164" t="s">
        <v>1576</v>
      </c>
      <c r="F1741" s="164" t="s">
        <v>1576</v>
      </c>
      <c r="G1741" s="165">
        <v>100</v>
      </c>
      <c r="H1741" s="165">
        <v>1</v>
      </c>
      <c r="I1741" s="164" t="s">
        <v>187</v>
      </c>
      <c r="J1741" s="164" t="s">
        <v>198</v>
      </c>
      <c r="K1741" s="164" t="s">
        <v>199</v>
      </c>
      <c r="L1741" s="165">
        <v>5</v>
      </c>
      <c r="M1741" s="165">
        <v>5</v>
      </c>
      <c r="N1741" s="164" t="s">
        <v>1577</v>
      </c>
      <c r="O1741" s="165">
        <v>0</v>
      </c>
      <c r="P1741" s="165">
        <v>0</v>
      </c>
      <c r="Q1741" s="165">
        <v>21</v>
      </c>
      <c r="R1741" s="164" t="s">
        <v>200</v>
      </c>
      <c r="S1741" s="164" t="s">
        <v>201</v>
      </c>
      <c r="T1741" s="165">
        <v>442</v>
      </c>
      <c r="U1741" s="164" t="s">
        <v>200</v>
      </c>
      <c r="V1741" s="164" t="s">
        <v>720</v>
      </c>
      <c r="W1741" s="165">
        <v>1</v>
      </c>
      <c r="X1741" s="165">
        <v>4</v>
      </c>
      <c r="Y1741" s="164" t="s">
        <v>203</v>
      </c>
      <c r="Z1741" s="164" t="s">
        <v>195</v>
      </c>
      <c r="AA1741" s="164" t="s">
        <v>196</v>
      </c>
      <c r="AB1741" s="164" t="s">
        <v>187</v>
      </c>
      <c r="AC1741" s="164" t="s">
        <v>187</v>
      </c>
      <c r="AD1741" s="165">
        <v>1</v>
      </c>
      <c r="AE1741" s="164" t="s">
        <v>187</v>
      </c>
      <c r="AF1741" s="165">
        <v>23.666286926749699</v>
      </c>
      <c r="AG1741" s="166">
        <v>90.084807382892294</v>
      </c>
      <c r="AO1741" s="121"/>
      <c r="AT1741" s="111"/>
      <c r="AX1741" s="121"/>
    </row>
    <row r="1742" spans="1:50" s="110" customFormat="1" ht="20" customHeight="1">
      <c r="A1742" s="125" t="s">
        <v>370</v>
      </c>
      <c r="B1742" s="126" t="s">
        <v>58</v>
      </c>
      <c r="C1742" s="127">
        <v>13317</v>
      </c>
      <c r="D1742" s="163">
        <v>107204</v>
      </c>
      <c r="E1742" s="164" t="s">
        <v>2544</v>
      </c>
      <c r="F1742" s="164" t="s">
        <v>2545</v>
      </c>
      <c r="G1742" s="165">
        <v>1600</v>
      </c>
      <c r="H1742" s="165">
        <v>1</v>
      </c>
      <c r="I1742" s="164" t="s">
        <v>187</v>
      </c>
      <c r="J1742" s="164" t="s">
        <v>2075</v>
      </c>
      <c r="K1742" s="164" t="s">
        <v>2076</v>
      </c>
      <c r="L1742" s="165">
        <v>5</v>
      </c>
      <c r="M1742" s="165">
        <v>5</v>
      </c>
      <c r="N1742" s="164" t="s">
        <v>1577</v>
      </c>
      <c r="O1742" s="165">
        <v>1</v>
      </c>
      <c r="P1742" s="165">
        <v>0.8</v>
      </c>
      <c r="Q1742" s="165">
        <v>21</v>
      </c>
      <c r="R1742" s="164" t="s">
        <v>200</v>
      </c>
      <c r="S1742" s="164" t="s">
        <v>201</v>
      </c>
      <c r="T1742" s="165">
        <v>442</v>
      </c>
      <c r="U1742" s="164" t="s">
        <v>200</v>
      </c>
      <c r="V1742" s="164" t="s">
        <v>720</v>
      </c>
      <c r="W1742" s="165">
        <v>10</v>
      </c>
      <c r="X1742" s="165">
        <v>2</v>
      </c>
      <c r="Y1742" s="164" t="s">
        <v>194</v>
      </c>
      <c r="Z1742" s="164" t="s">
        <v>195</v>
      </c>
      <c r="AA1742" s="164" t="s">
        <v>196</v>
      </c>
      <c r="AB1742" s="164" t="s">
        <v>187</v>
      </c>
      <c r="AC1742" s="164" t="s">
        <v>209</v>
      </c>
      <c r="AD1742" s="165">
        <v>1</v>
      </c>
      <c r="AE1742" s="164" t="s">
        <v>209</v>
      </c>
      <c r="AF1742" s="165">
        <v>4.8897401278046599</v>
      </c>
      <c r="AG1742" s="166">
        <v>114.837879610955</v>
      </c>
      <c r="AO1742" s="121"/>
      <c r="AT1742" s="111"/>
      <c r="AX1742" s="121"/>
    </row>
    <row r="1743" spans="1:50" s="110" customFormat="1" ht="20" customHeight="1">
      <c r="A1743" s="125" t="s">
        <v>237</v>
      </c>
      <c r="B1743" s="126" t="s">
        <v>60</v>
      </c>
      <c r="C1743" s="127">
        <v>13317</v>
      </c>
      <c r="D1743" s="163">
        <v>107204</v>
      </c>
      <c r="E1743" s="164" t="s">
        <v>2544</v>
      </c>
      <c r="F1743" s="164" t="s">
        <v>4764</v>
      </c>
      <c r="G1743" s="165">
        <v>232000</v>
      </c>
      <c r="H1743" s="165">
        <v>1</v>
      </c>
      <c r="I1743" s="164" t="s">
        <v>187</v>
      </c>
      <c r="J1743" s="164" t="s">
        <v>2075</v>
      </c>
      <c r="K1743" s="164" t="s">
        <v>2076</v>
      </c>
      <c r="L1743" s="165">
        <v>5</v>
      </c>
      <c r="M1743" s="165">
        <v>5</v>
      </c>
      <c r="N1743" s="164" t="s">
        <v>1577</v>
      </c>
      <c r="O1743" s="165">
        <v>2</v>
      </c>
      <c r="P1743" s="165">
        <v>1.8</v>
      </c>
      <c r="Q1743" s="165">
        <v>21</v>
      </c>
      <c r="R1743" s="164" t="s">
        <v>200</v>
      </c>
      <c r="S1743" s="164" t="s">
        <v>201</v>
      </c>
      <c r="T1743" s="165">
        <v>442</v>
      </c>
      <c r="U1743" s="164" t="s">
        <v>200</v>
      </c>
      <c r="V1743" s="164" t="s">
        <v>720</v>
      </c>
      <c r="W1743" s="165">
        <v>10</v>
      </c>
      <c r="X1743" s="165">
        <v>2</v>
      </c>
      <c r="Y1743" s="164" t="s">
        <v>194</v>
      </c>
      <c r="Z1743" s="164" t="s">
        <v>195</v>
      </c>
      <c r="AA1743" s="164" t="s">
        <v>196</v>
      </c>
      <c r="AB1743" s="164" t="s">
        <v>187</v>
      </c>
      <c r="AC1743" s="164" t="s">
        <v>209</v>
      </c>
      <c r="AD1743" s="165">
        <v>5</v>
      </c>
      <c r="AE1743" s="164" t="s">
        <v>209</v>
      </c>
      <c r="AF1743" s="165">
        <v>3.1534153140654602</v>
      </c>
      <c r="AG1743" s="166">
        <v>101.729765631679</v>
      </c>
      <c r="AO1743" s="121"/>
      <c r="AT1743" s="111"/>
      <c r="AX1743" s="121"/>
    </row>
    <row r="1744" spans="1:50" s="110" customFormat="1" ht="20" customHeight="1">
      <c r="A1744" s="125" t="s">
        <v>237</v>
      </c>
      <c r="B1744" s="126" t="s">
        <v>60</v>
      </c>
      <c r="C1744" s="127">
        <v>12486</v>
      </c>
      <c r="D1744" s="163">
        <v>104555</v>
      </c>
      <c r="E1744" s="164" t="s">
        <v>4091</v>
      </c>
      <c r="F1744" s="164" t="s">
        <v>4091</v>
      </c>
      <c r="G1744" s="165">
        <v>59000</v>
      </c>
      <c r="H1744" s="165">
        <v>1</v>
      </c>
      <c r="I1744" s="164" t="s">
        <v>187</v>
      </c>
      <c r="J1744" s="164" t="s">
        <v>4092</v>
      </c>
      <c r="K1744" s="164" t="s">
        <v>4093</v>
      </c>
      <c r="L1744" s="165">
        <v>5</v>
      </c>
      <c r="M1744" s="165">
        <v>5</v>
      </c>
      <c r="N1744" s="164" t="s">
        <v>1577</v>
      </c>
      <c r="O1744" s="165">
        <v>3</v>
      </c>
      <c r="P1744" s="165">
        <v>0</v>
      </c>
      <c r="Q1744" s="165">
        <v>21</v>
      </c>
      <c r="R1744" s="164" t="s">
        <v>200</v>
      </c>
      <c r="S1744" s="164" t="s">
        <v>201</v>
      </c>
      <c r="T1744" s="165">
        <v>442</v>
      </c>
      <c r="U1744" s="164" t="s">
        <v>200</v>
      </c>
      <c r="V1744" s="164" t="s">
        <v>720</v>
      </c>
      <c r="W1744" s="165">
        <v>3</v>
      </c>
      <c r="X1744" s="165">
        <v>2</v>
      </c>
      <c r="Y1744" s="164" t="s">
        <v>194</v>
      </c>
      <c r="Z1744" s="164" t="s">
        <v>195</v>
      </c>
      <c r="AA1744" s="164" t="s">
        <v>196</v>
      </c>
      <c r="AB1744" s="164" t="s">
        <v>187</v>
      </c>
      <c r="AC1744" s="164" t="s">
        <v>209</v>
      </c>
      <c r="AD1744" s="165">
        <v>1</v>
      </c>
      <c r="AE1744" s="164" t="s">
        <v>209</v>
      </c>
      <c r="AF1744" s="165">
        <v>1.4758117657004299</v>
      </c>
      <c r="AG1744" s="166">
        <v>103.759590490409</v>
      </c>
      <c r="AO1744" s="121"/>
      <c r="AT1744" s="111"/>
      <c r="AX1744" s="121"/>
    </row>
    <row r="1745" spans="1:50" s="110" customFormat="1" ht="20" customHeight="1">
      <c r="A1745" s="125" t="s">
        <v>237</v>
      </c>
      <c r="B1745" s="126" t="s">
        <v>60</v>
      </c>
      <c r="C1745" s="127">
        <v>19200</v>
      </c>
      <c r="D1745" s="163">
        <v>115528</v>
      </c>
      <c r="E1745" s="164" t="s">
        <v>4254</v>
      </c>
      <c r="F1745" s="164" t="s">
        <v>4254</v>
      </c>
      <c r="G1745" s="165">
        <v>32000</v>
      </c>
      <c r="H1745" s="165">
        <v>1</v>
      </c>
      <c r="I1745" s="164" t="s">
        <v>187</v>
      </c>
      <c r="J1745" s="164" t="s">
        <v>1989</v>
      </c>
      <c r="K1745" s="164" t="s">
        <v>1990</v>
      </c>
      <c r="L1745" s="165">
        <v>5</v>
      </c>
      <c r="M1745" s="165">
        <v>5</v>
      </c>
      <c r="N1745" s="164" t="s">
        <v>1577</v>
      </c>
      <c r="O1745" s="165">
        <v>0</v>
      </c>
      <c r="P1745" s="165">
        <v>0</v>
      </c>
      <c r="Q1745" s="165">
        <v>21</v>
      </c>
      <c r="R1745" s="164" t="s">
        <v>200</v>
      </c>
      <c r="S1745" s="164" t="s">
        <v>201</v>
      </c>
      <c r="T1745" s="165">
        <v>442</v>
      </c>
      <c r="U1745" s="164" t="s">
        <v>200</v>
      </c>
      <c r="V1745" s="164" t="s">
        <v>720</v>
      </c>
      <c r="W1745" s="165">
        <v>1</v>
      </c>
      <c r="X1745" s="165">
        <v>2</v>
      </c>
      <c r="Y1745" s="164" t="s">
        <v>194</v>
      </c>
      <c r="Z1745" s="164" t="s">
        <v>195</v>
      </c>
      <c r="AA1745" s="164" t="s">
        <v>196</v>
      </c>
      <c r="AB1745" s="164" t="s">
        <v>187</v>
      </c>
      <c r="AC1745" s="164" t="s">
        <v>209</v>
      </c>
      <c r="AD1745" s="165">
        <v>1</v>
      </c>
      <c r="AE1745" s="164" t="s">
        <v>187</v>
      </c>
      <c r="AF1745" s="165">
        <v>5.0118</v>
      </c>
      <c r="AG1745" s="166">
        <v>100.44222000000001</v>
      </c>
      <c r="AO1745" s="121"/>
      <c r="AT1745" s="111"/>
      <c r="AX1745" s="121"/>
    </row>
    <row r="1746" spans="1:50" s="110" customFormat="1" ht="20" customHeight="1">
      <c r="A1746" s="125" t="s">
        <v>237</v>
      </c>
      <c r="B1746" s="126" t="s">
        <v>60</v>
      </c>
      <c r="C1746" s="127">
        <v>18211</v>
      </c>
      <c r="D1746" s="145">
        <v>113732</v>
      </c>
      <c r="E1746" s="146" t="s">
        <v>3599</v>
      </c>
      <c r="F1746" s="146" t="s">
        <v>3599</v>
      </c>
      <c r="G1746" s="147">
        <v>1856000</v>
      </c>
      <c r="H1746" s="147">
        <v>4</v>
      </c>
      <c r="I1746" s="146" t="s">
        <v>209</v>
      </c>
      <c r="J1746" s="146" t="s">
        <v>1989</v>
      </c>
      <c r="K1746" s="146" t="s">
        <v>1990</v>
      </c>
      <c r="L1746" s="147">
        <v>5</v>
      </c>
      <c r="M1746" s="147">
        <v>5</v>
      </c>
      <c r="N1746" s="146" t="s">
        <v>1577</v>
      </c>
      <c r="O1746" s="147">
        <v>6</v>
      </c>
      <c r="P1746" s="147">
        <v>3.45</v>
      </c>
      <c r="Q1746" s="147">
        <v>21</v>
      </c>
      <c r="R1746" s="146" t="s">
        <v>200</v>
      </c>
      <c r="S1746" s="146" t="s">
        <v>201</v>
      </c>
      <c r="T1746" s="147">
        <v>442</v>
      </c>
      <c r="U1746" s="146" t="s">
        <v>200</v>
      </c>
      <c r="V1746" s="146" t="s">
        <v>720</v>
      </c>
      <c r="W1746" s="147">
        <v>19</v>
      </c>
      <c r="X1746" s="147">
        <v>2</v>
      </c>
      <c r="Y1746" s="146" t="s">
        <v>194</v>
      </c>
      <c r="Z1746" s="146" t="s">
        <v>195</v>
      </c>
      <c r="AA1746" s="146" t="s">
        <v>196</v>
      </c>
      <c r="AB1746" s="146" t="s">
        <v>187</v>
      </c>
      <c r="AC1746" s="146" t="s">
        <v>209</v>
      </c>
      <c r="AD1746" s="148"/>
      <c r="AE1746" s="146" t="s">
        <v>209</v>
      </c>
      <c r="AF1746" s="147">
        <v>2.713822</v>
      </c>
      <c r="AG1746" s="149">
        <v>101.942859</v>
      </c>
      <c r="AO1746" s="121"/>
      <c r="AT1746" s="111"/>
      <c r="AX1746" s="121"/>
    </row>
    <row r="1747" spans="1:50" s="110" customFormat="1" ht="20" customHeight="1">
      <c r="A1747" s="125" t="s">
        <v>1620</v>
      </c>
      <c r="B1747" s="126" t="s">
        <v>61</v>
      </c>
      <c r="C1747" s="127">
        <v>13317</v>
      </c>
      <c r="D1747" s="163">
        <v>107204</v>
      </c>
      <c r="E1747" s="164" t="s">
        <v>2544</v>
      </c>
      <c r="F1747" s="164" t="s">
        <v>4764</v>
      </c>
      <c r="G1747" s="165">
        <v>293000</v>
      </c>
      <c r="H1747" s="165">
        <v>1</v>
      </c>
      <c r="I1747" s="164" t="s">
        <v>187</v>
      </c>
      <c r="J1747" s="164" t="s">
        <v>2075</v>
      </c>
      <c r="K1747" s="164" t="s">
        <v>2076</v>
      </c>
      <c r="L1747" s="165">
        <v>5</v>
      </c>
      <c r="M1747" s="165">
        <v>5</v>
      </c>
      <c r="N1747" s="164" t="s">
        <v>1577</v>
      </c>
      <c r="O1747" s="165">
        <v>1</v>
      </c>
      <c r="P1747" s="165">
        <v>0.7</v>
      </c>
      <c r="Q1747" s="165">
        <v>21</v>
      </c>
      <c r="R1747" s="164" t="s">
        <v>200</v>
      </c>
      <c r="S1747" s="164" t="s">
        <v>201</v>
      </c>
      <c r="T1747" s="165">
        <v>442</v>
      </c>
      <c r="U1747" s="164" t="s">
        <v>200</v>
      </c>
      <c r="V1747" s="164" t="s">
        <v>720</v>
      </c>
      <c r="W1747" s="165">
        <v>10</v>
      </c>
      <c r="X1747" s="165">
        <v>2</v>
      </c>
      <c r="Y1747" s="164" t="s">
        <v>194</v>
      </c>
      <c r="Z1747" s="164" t="s">
        <v>195</v>
      </c>
      <c r="AA1747" s="164" t="s">
        <v>196</v>
      </c>
      <c r="AB1747" s="164" t="s">
        <v>187</v>
      </c>
      <c r="AC1747" s="164" t="s">
        <v>209</v>
      </c>
      <c r="AD1747" s="165">
        <v>6</v>
      </c>
      <c r="AE1747" s="164" t="s">
        <v>209</v>
      </c>
      <c r="AF1747" s="165">
        <v>23.778862770100702</v>
      </c>
      <c r="AG1747" s="166">
        <v>94.144652229916503</v>
      </c>
      <c r="AO1747" s="121"/>
      <c r="AT1747" s="111"/>
      <c r="AX1747" s="121"/>
    </row>
    <row r="1748" spans="1:50" s="110" customFormat="1" ht="20" customHeight="1">
      <c r="A1748" s="125" t="s">
        <v>1620</v>
      </c>
      <c r="B1748" s="126" t="s">
        <v>61</v>
      </c>
      <c r="C1748" s="127">
        <v>14212</v>
      </c>
      <c r="D1748" s="163">
        <v>107677</v>
      </c>
      <c r="E1748" s="164" t="s">
        <v>4650</v>
      </c>
      <c r="F1748" s="164" t="s">
        <v>4650</v>
      </c>
      <c r="G1748" s="165">
        <v>119000</v>
      </c>
      <c r="H1748" s="165">
        <v>1</v>
      </c>
      <c r="I1748" s="164" t="s">
        <v>187</v>
      </c>
      <c r="J1748" s="164" t="s">
        <v>1041</v>
      </c>
      <c r="K1748" s="164" t="s">
        <v>1042</v>
      </c>
      <c r="L1748" s="165">
        <v>5</v>
      </c>
      <c r="M1748" s="165">
        <v>5</v>
      </c>
      <c r="N1748" s="164" t="s">
        <v>1577</v>
      </c>
      <c r="O1748" s="165">
        <v>1</v>
      </c>
      <c r="P1748" s="165">
        <v>0.2</v>
      </c>
      <c r="Q1748" s="165">
        <v>21</v>
      </c>
      <c r="R1748" s="164" t="s">
        <v>200</v>
      </c>
      <c r="S1748" s="164" t="s">
        <v>201</v>
      </c>
      <c r="T1748" s="165">
        <v>442</v>
      </c>
      <c r="U1748" s="164" t="s">
        <v>200</v>
      </c>
      <c r="V1748" s="164" t="s">
        <v>720</v>
      </c>
      <c r="W1748" s="165">
        <v>1</v>
      </c>
      <c r="X1748" s="165">
        <v>2</v>
      </c>
      <c r="Y1748" s="164" t="s">
        <v>194</v>
      </c>
      <c r="Z1748" s="164" t="s">
        <v>195</v>
      </c>
      <c r="AA1748" s="164" t="s">
        <v>196</v>
      </c>
      <c r="AB1748" s="164" t="s">
        <v>187</v>
      </c>
      <c r="AC1748" s="164" t="s">
        <v>209</v>
      </c>
      <c r="AD1748" s="165">
        <v>2</v>
      </c>
      <c r="AE1748" s="164" t="s">
        <v>209</v>
      </c>
      <c r="AF1748" s="165">
        <v>20.156078242816601</v>
      </c>
      <c r="AG1748" s="166">
        <v>92.896615393985201</v>
      </c>
      <c r="AO1748" s="121"/>
      <c r="AT1748" s="111"/>
      <c r="AX1748" s="121"/>
    </row>
    <row r="1749" spans="1:50" s="110" customFormat="1" ht="20" customHeight="1">
      <c r="A1749" s="125" t="s">
        <v>1620</v>
      </c>
      <c r="B1749" s="126" t="s">
        <v>61</v>
      </c>
      <c r="C1749" s="127">
        <v>11982</v>
      </c>
      <c r="D1749" s="163">
        <v>103544</v>
      </c>
      <c r="E1749" s="164" t="s">
        <v>718</v>
      </c>
      <c r="F1749" s="164" t="s">
        <v>718</v>
      </c>
      <c r="G1749" s="165">
        <v>35000</v>
      </c>
      <c r="H1749" s="165">
        <v>1</v>
      </c>
      <c r="I1749" s="164" t="s">
        <v>187</v>
      </c>
      <c r="J1749" s="164" t="s">
        <v>719</v>
      </c>
      <c r="K1749" s="164" t="s">
        <v>718</v>
      </c>
      <c r="L1749" s="165">
        <v>5</v>
      </c>
      <c r="M1749" s="165">
        <v>5</v>
      </c>
      <c r="N1749" s="164" t="s">
        <v>1577</v>
      </c>
      <c r="O1749" s="165">
        <v>0.8</v>
      </c>
      <c r="P1749" s="165">
        <v>0.40899999999999997</v>
      </c>
      <c r="Q1749" s="165">
        <v>21</v>
      </c>
      <c r="R1749" s="164" t="s">
        <v>200</v>
      </c>
      <c r="S1749" s="164" t="s">
        <v>201</v>
      </c>
      <c r="T1749" s="165">
        <v>442</v>
      </c>
      <c r="U1749" s="164" t="s">
        <v>200</v>
      </c>
      <c r="V1749" s="164" t="s">
        <v>720</v>
      </c>
      <c r="W1749" s="165">
        <v>27</v>
      </c>
      <c r="X1749" s="165">
        <v>2</v>
      </c>
      <c r="Y1749" s="164" t="s">
        <v>194</v>
      </c>
      <c r="Z1749" s="164" t="s">
        <v>195</v>
      </c>
      <c r="AA1749" s="164" t="s">
        <v>196</v>
      </c>
      <c r="AB1749" s="164" t="s">
        <v>187</v>
      </c>
      <c r="AC1749" s="164" t="s">
        <v>209</v>
      </c>
      <c r="AD1749" s="165">
        <v>1</v>
      </c>
      <c r="AE1749" s="164" t="s">
        <v>209</v>
      </c>
      <c r="AF1749" s="165">
        <v>16.845624204393499</v>
      </c>
      <c r="AG1749" s="166">
        <v>96.182544520912899</v>
      </c>
      <c r="AO1749" s="121"/>
      <c r="AT1749" s="111"/>
      <c r="AX1749" s="121"/>
    </row>
    <row r="1750" spans="1:50" s="110" customFormat="1" ht="20" customHeight="1">
      <c r="A1750" s="125" t="s">
        <v>1620</v>
      </c>
      <c r="B1750" s="126" t="s">
        <v>61</v>
      </c>
      <c r="C1750" s="127">
        <v>13513</v>
      </c>
      <c r="D1750" s="163">
        <v>106268</v>
      </c>
      <c r="E1750" s="164" t="s">
        <v>3712</v>
      </c>
      <c r="F1750" s="164" t="s">
        <v>3713</v>
      </c>
      <c r="G1750" s="165">
        <v>11000</v>
      </c>
      <c r="H1750" s="165">
        <v>1</v>
      </c>
      <c r="I1750" s="164" t="s">
        <v>187</v>
      </c>
      <c r="J1750" s="164" t="s">
        <v>3714</v>
      </c>
      <c r="K1750" s="164" t="s">
        <v>3712</v>
      </c>
      <c r="L1750" s="165">
        <v>5</v>
      </c>
      <c r="M1750" s="165">
        <v>5</v>
      </c>
      <c r="N1750" s="164" t="s">
        <v>1577</v>
      </c>
      <c r="O1750" s="165">
        <v>1.7</v>
      </c>
      <c r="P1750" s="165">
        <v>1.5</v>
      </c>
      <c r="Q1750" s="165">
        <v>21</v>
      </c>
      <c r="R1750" s="164" t="s">
        <v>200</v>
      </c>
      <c r="S1750" s="164" t="s">
        <v>201</v>
      </c>
      <c r="T1750" s="165">
        <v>442</v>
      </c>
      <c r="U1750" s="164" t="s">
        <v>200</v>
      </c>
      <c r="V1750" s="164" t="s">
        <v>720</v>
      </c>
      <c r="W1750" s="165">
        <v>3</v>
      </c>
      <c r="X1750" s="165">
        <v>2</v>
      </c>
      <c r="Y1750" s="164" t="s">
        <v>194</v>
      </c>
      <c r="Z1750" s="164" t="s">
        <v>195</v>
      </c>
      <c r="AA1750" s="164" t="s">
        <v>196</v>
      </c>
      <c r="AB1750" s="164" t="s">
        <v>187</v>
      </c>
      <c r="AC1750" s="164" t="s">
        <v>209</v>
      </c>
      <c r="AD1750" s="165">
        <v>1</v>
      </c>
      <c r="AE1750" s="164" t="s">
        <v>209</v>
      </c>
      <c r="AF1750" s="165">
        <v>24.134889999999999</v>
      </c>
      <c r="AG1750" s="166">
        <v>94.360929999999996</v>
      </c>
      <c r="AO1750" s="121"/>
      <c r="AT1750" s="111"/>
      <c r="AX1750" s="121"/>
    </row>
    <row r="1751" spans="1:50" s="110" customFormat="1" ht="20" customHeight="1">
      <c r="A1751" s="125" t="s">
        <v>1620</v>
      </c>
      <c r="B1751" s="126" t="s">
        <v>61</v>
      </c>
      <c r="C1751" s="127">
        <v>18211</v>
      </c>
      <c r="D1751" s="145">
        <v>113732</v>
      </c>
      <c r="E1751" s="146" t="s">
        <v>3599</v>
      </c>
      <c r="F1751" s="146" t="s">
        <v>3599</v>
      </c>
      <c r="G1751" s="147">
        <v>148000</v>
      </c>
      <c r="H1751" s="147">
        <v>4</v>
      </c>
      <c r="I1751" s="146" t="s">
        <v>209</v>
      </c>
      <c r="J1751" s="146" t="s">
        <v>1989</v>
      </c>
      <c r="K1751" s="146" t="s">
        <v>1990</v>
      </c>
      <c r="L1751" s="147">
        <v>5</v>
      </c>
      <c r="M1751" s="147">
        <v>5</v>
      </c>
      <c r="N1751" s="146" t="s">
        <v>1577</v>
      </c>
      <c r="O1751" s="147">
        <v>11</v>
      </c>
      <c r="P1751" s="147">
        <v>3.8</v>
      </c>
      <c r="Q1751" s="147">
        <v>21</v>
      </c>
      <c r="R1751" s="146" t="s">
        <v>200</v>
      </c>
      <c r="S1751" s="146" t="s">
        <v>201</v>
      </c>
      <c r="T1751" s="147">
        <v>442</v>
      </c>
      <c r="U1751" s="146" t="s">
        <v>200</v>
      </c>
      <c r="V1751" s="146" t="s">
        <v>720</v>
      </c>
      <c r="W1751" s="147">
        <v>19</v>
      </c>
      <c r="X1751" s="147">
        <v>2</v>
      </c>
      <c r="Y1751" s="146" t="s">
        <v>194</v>
      </c>
      <c r="Z1751" s="146" t="s">
        <v>195</v>
      </c>
      <c r="AA1751" s="146" t="s">
        <v>196</v>
      </c>
      <c r="AB1751" s="146" t="s">
        <v>187</v>
      </c>
      <c r="AC1751" s="146" t="s">
        <v>209</v>
      </c>
      <c r="AD1751" s="148"/>
      <c r="AE1751" s="146" t="s">
        <v>209</v>
      </c>
      <c r="AF1751" s="147">
        <v>16.829567999999998</v>
      </c>
      <c r="AG1751" s="149">
        <v>96.153822000000005</v>
      </c>
      <c r="AO1751" s="121"/>
      <c r="AT1751" s="111"/>
      <c r="AX1751" s="121"/>
    </row>
    <row r="1752" spans="1:50" s="110" customFormat="1" ht="20" customHeight="1">
      <c r="A1752" s="125" t="s">
        <v>231</v>
      </c>
      <c r="B1752" s="126" t="s">
        <v>66</v>
      </c>
      <c r="C1752" s="127">
        <v>17294</v>
      </c>
      <c r="D1752" s="163">
        <v>112672</v>
      </c>
      <c r="E1752" s="164" t="s">
        <v>4088</v>
      </c>
      <c r="F1752" s="164" t="s">
        <v>4088</v>
      </c>
      <c r="G1752" s="165">
        <v>22000</v>
      </c>
      <c r="H1752" s="165">
        <v>1</v>
      </c>
      <c r="I1752" s="164" t="s">
        <v>187</v>
      </c>
      <c r="J1752" s="164" t="s">
        <v>219</v>
      </c>
      <c r="K1752" s="164" t="s">
        <v>220</v>
      </c>
      <c r="L1752" s="165">
        <v>5</v>
      </c>
      <c r="M1752" s="165">
        <v>5</v>
      </c>
      <c r="N1752" s="164" t="s">
        <v>1577</v>
      </c>
      <c r="O1752" s="165">
        <v>0</v>
      </c>
      <c r="P1752" s="165">
        <v>0</v>
      </c>
      <c r="Q1752" s="165">
        <v>21</v>
      </c>
      <c r="R1752" s="164" t="s">
        <v>200</v>
      </c>
      <c r="S1752" s="164" t="s">
        <v>201</v>
      </c>
      <c r="T1752" s="165">
        <v>442</v>
      </c>
      <c r="U1752" s="164" t="s">
        <v>200</v>
      </c>
      <c r="V1752" s="164" t="s">
        <v>720</v>
      </c>
      <c r="W1752" s="165">
        <v>2</v>
      </c>
      <c r="X1752" s="165">
        <v>4</v>
      </c>
      <c r="Y1752" s="164" t="s">
        <v>203</v>
      </c>
      <c r="Z1752" s="164" t="s">
        <v>195</v>
      </c>
      <c r="AA1752" s="164" t="s">
        <v>196</v>
      </c>
      <c r="AB1752" s="164" t="s">
        <v>187</v>
      </c>
      <c r="AC1752" s="164" t="s">
        <v>187</v>
      </c>
      <c r="AD1752" s="165">
        <v>1</v>
      </c>
      <c r="AE1752" s="164" t="s">
        <v>187</v>
      </c>
      <c r="AF1752" s="165">
        <v>25.318328483343901</v>
      </c>
      <c r="AG1752" s="166">
        <v>69.152655615056602</v>
      </c>
      <c r="AO1752" s="121"/>
      <c r="AT1752" s="111"/>
      <c r="AX1752" s="121"/>
    </row>
    <row r="1753" spans="1:50" s="110" customFormat="1" ht="20" customHeight="1">
      <c r="A1753" s="125" t="s">
        <v>231</v>
      </c>
      <c r="B1753" s="126" t="s">
        <v>66</v>
      </c>
      <c r="C1753" s="127">
        <v>16406</v>
      </c>
      <c r="D1753" s="163">
        <v>111555</v>
      </c>
      <c r="E1753" s="164" t="s">
        <v>2634</v>
      </c>
      <c r="F1753" s="164" t="s">
        <v>2634</v>
      </c>
      <c r="G1753" s="165">
        <v>12000</v>
      </c>
      <c r="H1753" s="165">
        <v>1</v>
      </c>
      <c r="I1753" s="164" t="s">
        <v>187</v>
      </c>
      <c r="J1753" s="164" t="s">
        <v>219</v>
      </c>
      <c r="K1753" s="164" t="s">
        <v>220</v>
      </c>
      <c r="L1753" s="165">
        <v>5</v>
      </c>
      <c r="M1753" s="165">
        <v>5</v>
      </c>
      <c r="N1753" s="164" t="s">
        <v>1577</v>
      </c>
      <c r="O1753" s="165">
        <v>0</v>
      </c>
      <c r="P1753" s="165">
        <v>0</v>
      </c>
      <c r="Q1753" s="165">
        <v>21</v>
      </c>
      <c r="R1753" s="164" t="s">
        <v>200</v>
      </c>
      <c r="S1753" s="164" t="s">
        <v>201</v>
      </c>
      <c r="T1753" s="165">
        <v>442</v>
      </c>
      <c r="U1753" s="164" t="s">
        <v>200</v>
      </c>
      <c r="V1753" s="164" t="s">
        <v>720</v>
      </c>
      <c r="W1753" s="165">
        <v>4</v>
      </c>
      <c r="X1753" s="165">
        <v>4</v>
      </c>
      <c r="Y1753" s="164" t="s">
        <v>203</v>
      </c>
      <c r="Z1753" s="164" t="s">
        <v>195</v>
      </c>
      <c r="AA1753" s="164" t="s">
        <v>196</v>
      </c>
      <c r="AB1753" s="164" t="s">
        <v>187</v>
      </c>
      <c r="AC1753" s="164" t="s">
        <v>187</v>
      </c>
      <c r="AD1753" s="165">
        <v>1</v>
      </c>
      <c r="AE1753" s="164" t="s">
        <v>187</v>
      </c>
      <c r="AF1753" s="165">
        <v>27.559453421090598</v>
      </c>
      <c r="AG1753" s="166">
        <v>69.110880753240593</v>
      </c>
      <c r="AO1753" s="121"/>
      <c r="AT1753" s="111"/>
      <c r="AX1753" s="121"/>
    </row>
    <row r="1754" spans="1:50" s="110" customFormat="1" ht="20" customHeight="1">
      <c r="A1754" s="125" t="s">
        <v>231</v>
      </c>
      <c r="B1754" s="126" t="s">
        <v>66</v>
      </c>
      <c r="C1754" s="127">
        <v>16239</v>
      </c>
      <c r="D1754" s="163">
        <v>111360</v>
      </c>
      <c r="E1754" s="164" t="s">
        <v>3585</v>
      </c>
      <c r="F1754" s="164" t="s">
        <v>3585</v>
      </c>
      <c r="G1754" s="165">
        <v>9400</v>
      </c>
      <c r="H1754" s="165">
        <v>1</v>
      </c>
      <c r="I1754" s="164" t="s">
        <v>187</v>
      </c>
      <c r="J1754" s="164" t="s">
        <v>222</v>
      </c>
      <c r="K1754" s="164" t="s">
        <v>223</v>
      </c>
      <c r="L1754" s="165">
        <v>4</v>
      </c>
      <c r="M1754" s="165">
        <v>5</v>
      </c>
      <c r="N1754" s="164" t="s">
        <v>1577</v>
      </c>
      <c r="O1754" s="165">
        <v>0</v>
      </c>
      <c r="P1754" s="165">
        <v>0</v>
      </c>
      <c r="Q1754" s="165">
        <v>21</v>
      </c>
      <c r="R1754" s="164" t="s">
        <v>200</v>
      </c>
      <c r="S1754" s="164" t="s">
        <v>201</v>
      </c>
      <c r="T1754" s="165">
        <v>442</v>
      </c>
      <c r="U1754" s="164" t="s">
        <v>200</v>
      </c>
      <c r="V1754" s="164" t="s">
        <v>720</v>
      </c>
      <c r="W1754" s="165">
        <v>3</v>
      </c>
      <c r="X1754" s="165">
        <v>4</v>
      </c>
      <c r="Y1754" s="164" t="s">
        <v>203</v>
      </c>
      <c r="Z1754" s="164" t="s">
        <v>195</v>
      </c>
      <c r="AA1754" s="164" t="s">
        <v>196</v>
      </c>
      <c r="AB1754" s="164" t="s">
        <v>187</v>
      </c>
      <c r="AC1754" s="164" t="s">
        <v>187</v>
      </c>
      <c r="AD1754" s="165">
        <v>1</v>
      </c>
      <c r="AE1754" s="164" t="s">
        <v>187</v>
      </c>
      <c r="AF1754" s="165">
        <v>28.471307899378999</v>
      </c>
      <c r="AG1754" s="166">
        <v>70.485703145785493</v>
      </c>
      <c r="AO1754" s="121"/>
      <c r="AT1754" s="111"/>
      <c r="AX1754" s="121"/>
    </row>
    <row r="1755" spans="1:50" s="110" customFormat="1" ht="20" customHeight="1">
      <c r="A1755" s="125" t="s">
        <v>231</v>
      </c>
      <c r="B1755" s="126" t="s">
        <v>66</v>
      </c>
      <c r="C1755" s="127">
        <v>18290</v>
      </c>
      <c r="D1755" s="163">
        <v>110482</v>
      </c>
      <c r="E1755" s="164" t="s">
        <v>3408</v>
      </c>
      <c r="F1755" s="164" t="s">
        <v>3408</v>
      </c>
      <c r="G1755" s="165">
        <v>7100</v>
      </c>
      <c r="H1755" s="165">
        <v>1</v>
      </c>
      <c r="I1755" s="164" t="s">
        <v>187</v>
      </c>
      <c r="J1755" s="164" t="s">
        <v>1495</v>
      </c>
      <c r="K1755" s="164" t="s">
        <v>1496</v>
      </c>
      <c r="L1755" s="165">
        <v>1</v>
      </c>
      <c r="M1755" s="165">
        <v>5</v>
      </c>
      <c r="N1755" s="164" t="s">
        <v>1577</v>
      </c>
      <c r="O1755" s="165">
        <v>0</v>
      </c>
      <c r="P1755" s="165">
        <v>0</v>
      </c>
      <c r="Q1755" s="165">
        <v>21</v>
      </c>
      <c r="R1755" s="164" t="s">
        <v>200</v>
      </c>
      <c r="S1755" s="164" t="s">
        <v>201</v>
      </c>
      <c r="T1755" s="165">
        <v>442</v>
      </c>
      <c r="U1755" s="164" t="s">
        <v>200</v>
      </c>
      <c r="V1755" s="164" t="s">
        <v>720</v>
      </c>
      <c r="W1755" s="165">
        <v>2</v>
      </c>
      <c r="X1755" s="165">
        <v>4</v>
      </c>
      <c r="Y1755" s="164" t="s">
        <v>203</v>
      </c>
      <c r="Z1755" s="164" t="s">
        <v>195</v>
      </c>
      <c r="AA1755" s="164" t="s">
        <v>196</v>
      </c>
      <c r="AB1755" s="164" t="s">
        <v>187</v>
      </c>
      <c r="AC1755" s="164" t="s">
        <v>187</v>
      </c>
      <c r="AD1755" s="165">
        <v>1</v>
      </c>
      <c r="AE1755" s="164" t="s">
        <v>187</v>
      </c>
      <c r="AF1755" s="165">
        <v>27.6074814169924</v>
      </c>
      <c r="AG1755" s="166">
        <v>67.809144458553007</v>
      </c>
      <c r="AO1755" s="121"/>
      <c r="AT1755" s="111"/>
      <c r="AX1755" s="121"/>
    </row>
    <row r="1756" spans="1:50" s="110" customFormat="1" ht="20" customHeight="1">
      <c r="A1756" s="125" t="s">
        <v>231</v>
      </c>
      <c r="B1756" s="126" t="s">
        <v>66</v>
      </c>
      <c r="C1756" s="127">
        <v>18288</v>
      </c>
      <c r="D1756" s="163">
        <v>113833</v>
      </c>
      <c r="E1756" s="164" t="s">
        <v>3385</v>
      </c>
      <c r="F1756" s="164" t="s">
        <v>3385</v>
      </c>
      <c r="G1756" s="165">
        <v>6700</v>
      </c>
      <c r="H1756" s="165">
        <v>1</v>
      </c>
      <c r="I1756" s="164" t="s">
        <v>187</v>
      </c>
      <c r="J1756" s="164" t="s">
        <v>3386</v>
      </c>
      <c r="K1756" s="164" t="s">
        <v>3387</v>
      </c>
      <c r="L1756" s="165">
        <v>3</v>
      </c>
      <c r="M1756" s="165">
        <v>5</v>
      </c>
      <c r="N1756" s="164" t="s">
        <v>1577</v>
      </c>
      <c r="O1756" s="165">
        <v>0</v>
      </c>
      <c r="P1756" s="165">
        <v>0</v>
      </c>
      <c r="Q1756" s="165">
        <v>21</v>
      </c>
      <c r="R1756" s="164" t="s">
        <v>200</v>
      </c>
      <c r="S1756" s="164" t="s">
        <v>201</v>
      </c>
      <c r="T1756" s="165">
        <v>442</v>
      </c>
      <c r="U1756" s="164" t="s">
        <v>200</v>
      </c>
      <c r="V1756" s="164" t="s">
        <v>720</v>
      </c>
      <c r="W1756" s="165">
        <v>2</v>
      </c>
      <c r="X1756" s="165">
        <v>4</v>
      </c>
      <c r="Y1756" s="164" t="s">
        <v>203</v>
      </c>
      <c r="Z1756" s="164" t="s">
        <v>195</v>
      </c>
      <c r="AA1756" s="164" t="s">
        <v>196</v>
      </c>
      <c r="AB1756" s="164" t="s">
        <v>187</v>
      </c>
      <c r="AC1756" s="164" t="s">
        <v>187</v>
      </c>
      <c r="AD1756" s="165">
        <v>1</v>
      </c>
      <c r="AE1756" s="164" t="s">
        <v>187</v>
      </c>
      <c r="AF1756" s="165">
        <v>28.2507502301</v>
      </c>
      <c r="AG1756" s="166">
        <v>68.7888908507</v>
      </c>
      <c r="AO1756" s="121"/>
      <c r="AT1756" s="111"/>
      <c r="AX1756" s="121"/>
    </row>
    <row r="1757" spans="1:50" s="110" customFormat="1" ht="20" customHeight="1">
      <c r="A1757" s="125" t="s">
        <v>231</v>
      </c>
      <c r="B1757" s="126" t="s">
        <v>66</v>
      </c>
      <c r="C1757" s="127">
        <v>16653</v>
      </c>
      <c r="D1757" s="163">
        <v>111863</v>
      </c>
      <c r="E1757" s="164" t="s">
        <v>3168</v>
      </c>
      <c r="F1757" s="164" t="s">
        <v>3168</v>
      </c>
      <c r="G1757" s="165">
        <v>4800</v>
      </c>
      <c r="H1757" s="165">
        <v>1</v>
      </c>
      <c r="I1757" s="164" t="s">
        <v>187</v>
      </c>
      <c r="J1757" s="164" t="s">
        <v>219</v>
      </c>
      <c r="K1757" s="164" t="s">
        <v>220</v>
      </c>
      <c r="L1757" s="165">
        <v>5</v>
      </c>
      <c r="M1757" s="165">
        <v>5</v>
      </c>
      <c r="N1757" s="164" t="s">
        <v>1577</v>
      </c>
      <c r="O1757" s="165">
        <v>0</v>
      </c>
      <c r="P1757" s="165">
        <v>0</v>
      </c>
      <c r="Q1757" s="165">
        <v>21</v>
      </c>
      <c r="R1757" s="164" t="s">
        <v>200</v>
      </c>
      <c r="S1757" s="164" t="s">
        <v>201</v>
      </c>
      <c r="T1757" s="165">
        <v>442</v>
      </c>
      <c r="U1757" s="164" t="s">
        <v>200</v>
      </c>
      <c r="V1757" s="164" t="s">
        <v>720</v>
      </c>
      <c r="W1757" s="165">
        <v>2</v>
      </c>
      <c r="X1757" s="165">
        <v>4</v>
      </c>
      <c r="Y1757" s="164" t="s">
        <v>203</v>
      </c>
      <c r="Z1757" s="164" t="s">
        <v>195</v>
      </c>
      <c r="AA1757" s="164" t="s">
        <v>196</v>
      </c>
      <c r="AB1757" s="164" t="s">
        <v>187</v>
      </c>
      <c r="AC1757" s="164" t="s">
        <v>187</v>
      </c>
      <c r="AD1757" s="165">
        <v>1</v>
      </c>
      <c r="AE1757" s="164" t="s">
        <v>187</v>
      </c>
      <c r="AF1757" s="165">
        <v>26.927927074999999</v>
      </c>
      <c r="AG1757" s="166">
        <v>68.065991550800007</v>
      </c>
      <c r="AO1757" s="121"/>
      <c r="AT1757" s="111"/>
      <c r="AX1757" s="121"/>
    </row>
    <row r="1758" spans="1:50" s="110" customFormat="1" ht="20" customHeight="1">
      <c r="A1758" s="125" t="s">
        <v>231</v>
      </c>
      <c r="B1758" s="126" t="s">
        <v>66</v>
      </c>
      <c r="C1758" s="127">
        <v>16523</v>
      </c>
      <c r="D1758" s="163">
        <v>111698</v>
      </c>
      <c r="E1758" s="164" t="s">
        <v>3005</v>
      </c>
      <c r="F1758" s="164" t="s">
        <v>3005</v>
      </c>
      <c r="G1758" s="165">
        <v>3700</v>
      </c>
      <c r="H1758" s="165">
        <v>1</v>
      </c>
      <c r="I1758" s="164" t="s">
        <v>187</v>
      </c>
      <c r="J1758" s="164" t="s">
        <v>219</v>
      </c>
      <c r="K1758" s="164" t="s">
        <v>220</v>
      </c>
      <c r="L1758" s="165">
        <v>5</v>
      </c>
      <c r="M1758" s="165">
        <v>5</v>
      </c>
      <c r="N1758" s="164" t="s">
        <v>1577</v>
      </c>
      <c r="O1758" s="165">
        <v>0</v>
      </c>
      <c r="P1758" s="165">
        <v>0</v>
      </c>
      <c r="Q1758" s="165">
        <v>21</v>
      </c>
      <c r="R1758" s="164" t="s">
        <v>200</v>
      </c>
      <c r="S1758" s="164" t="s">
        <v>201</v>
      </c>
      <c r="T1758" s="165">
        <v>442</v>
      </c>
      <c r="U1758" s="164" t="s">
        <v>200</v>
      </c>
      <c r="V1758" s="164" t="s">
        <v>720</v>
      </c>
      <c r="W1758" s="165">
        <v>2</v>
      </c>
      <c r="X1758" s="165">
        <v>4</v>
      </c>
      <c r="Y1758" s="164" t="s">
        <v>203</v>
      </c>
      <c r="Z1758" s="164" t="s">
        <v>195</v>
      </c>
      <c r="AA1758" s="164" t="s">
        <v>196</v>
      </c>
      <c r="AB1758" s="164" t="s">
        <v>187</v>
      </c>
      <c r="AC1758" s="164" t="s">
        <v>187</v>
      </c>
      <c r="AD1758" s="165">
        <v>1</v>
      </c>
      <c r="AE1758" s="164" t="s">
        <v>187</v>
      </c>
      <c r="AF1758" s="165">
        <v>24.906620893875999</v>
      </c>
      <c r="AG1758" s="166">
        <v>67.076183212676895</v>
      </c>
      <c r="AO1758" s="121"/>
      <c r="AT1758" s="111"/>
      <c r="AX1758" s="121"/>
    </row>
    <row r="1759" spans="1:50" s="110" customFormat="1" ht="20" customHeight="1">
      <c r="A1759" s="125" t="s">
        <v>231</v>
      </c>
      <c r="B1759" s="126" t="s">
        <v>66</v>
      </c>
      <c r="C1759" s="127">
        <v>16709</v>
      </c>
      <c r="D1759" s="163">
        <v>111944</v>
      </c>
      <c r="E1759" s="164" t="s">
        <v>2961</v>
      </c>
      <c r="F1759" s="164" t="s">
        <v>2961</v>
      </c>
      <c r="G1759" s="165">
        <v>3400</v>
      </c>
      <c r="H1759" s="165">
        <v>1</v>
      </c>
      <c r="I1759" s="164" t="s">
        <v>187</v>
      </c>
      <c r="J1759" s="164" t="s">
        <v>219</v>
      </c>
      <c r="K1759" s="164" t="s">
        <v>220</v>
      </c>
      <c r="L1759" s="165">
        <v>5</v>
      </c>
      <c r="M1759" s="165">
        <v>5</v>
      </c>
      <c r="N1759" s="164" t="s">
        <v>1577</v>
      </c>
      <c r="O1759" s="165">
        <v>0</v>
      </c>
      <c r="P1759" s="165">
        <v>0</v>
      </c>
      <c r="Q1759" s="165">
        <v>21</v>
      </c>
      <c r="R1759" s="164" t="s">
        <v>200</v>
      </c>
      <c r="S1759" s="164" t="s">
        <v>201</v>
      </c>
      <c r="T1759" s="165">
        <v>442</v>
      </c>
      <c r="U1759" s="164" t="s">
        <v>200</v>
      </c>
      <c r="V1759" s="164" t="s">
        <v>720</v>
      </c>
      <c r="W1759" s="165">
        <v>5</v>
      </c>
      <c r="X1759" s="165">
        <v>4</v>
      </c>
      <c r="Y1759" s="164" t="s">
        <v>203</v>
      </c>
      <c r="Z1759" s="164" t="s">
        <v>195</v>
      </c>
      <c r="AA1759" s="164" t="s">
        <v>196</v>
      </c>
      <c r="AB1759" s="164" t="s">
        <v>187</v>
      </c>
      <c r="AC1759" s="164" t="s">
        <v>187</v>
      </c>
      <c r="AD1759" s="165">
        <v>1</v>
      </c>
      <c r="AE1759" s="164" t="s">
        <v>187</v>
      </c>
      <c r="AF1759" s="165">
        <v>25.316952112800202</v>
      </c>
      <c r="AG1759" s="166">
        <v>69.155770691810304</v>
      </c>
      <c r="AO1759" s="121"/>
      <c r="AT1759" s="111"/>
      <c r="AX1759" s="121"/>
    </row>
    <row r="1760" spans="1:50" s="110" customFormat="1" ht="20" customHeight="1">
      <c r="A1760" s="125" t="s">
        <v>231</v>
      </c>
      <c r="B1760" s="126" t="s">
        <v>66</v>
      </c>
      <c r="C1760" s="127">
        <v>17531</v>
      </c>
      <c r="D1760" s="163">
        <v>112953</v>
      </c>
      <c r="E1760" s="164" t="s">
        <v>2913</v>
      </c>
      <c r="F1760" s="164" t="s">
        <v>2913</v>
      </c>
      <c r="G1760" s="165">
        <v>3100</v>
      </c>
      <c r="H1760" s="165">
        <v>1</v>
      </c>
      <c r="I1760" s="164" t="s">
        <v>187</v>
      </c>
      <c r="J1760" s="164" t="s">
        <v>501</v>
      </c>
      <c r="K1760" s="164" t="s">
        <v>502</v>
      </c>
      <c r="L1760" s="165">
        <v>3</v>
      </c>
      <c r="M1760" s="165">
        <v>5</v>
      </c>
      <c r="N1760" s="164" t="s">
        <v>1577</v>
      </c>
      <c r="O1760" s="165">
        <v>0</v>
      </c>
      <c r="P1760" s="165">
        <v>0</v>
      </c>
      <c r="Q1760" s="165">
        <v>21</v>
      </c>
      <c r="R1760" s="164" t="s">
        <v>200</v>
      </c>
      <c r="S1760" s="164" t="s">
        <v>201</v>
      </c>
      <c r="T1760" s="165">
        <v>442</v>
      </c>
      <c r="U1760" s="164" t="s">
        <v>200</v>
      </c>
      <c r="V1760" s="164" t="s">
        <v>720</v>
      </c>
      <c r="W1760" s="165">
        <v>2</v>
      </c>
      <c r="X1760" s="165">
        <v>4</v>
      </c>
      <c r="Y1760" s="164" t="s">
        <v>203</v>
      </c>
      <c r="Z1760" s="164" t="s">
        <v>195</v>
      </c>
      <c r="AA1760" s="164" t="s">
        <v>196</v>
      </c>
      <c r="AB1760" s="164" t="s">
        <v>187</v>
      </c>
      <c r="AC1760" s="164" t="s">
        <v>187</v>
      </c>
      <c r="AD1760" s="165">
        <v>1</v>
      </c>
      <c r="AE1760" s="164" t="s">
        <v>187</v>
      </c>
      <c r="AF1760" s="165">
        <v>26.254380000000001</v>
      </c>
      <c r="AG1760" s="166">
        <v>67.664940000000001</v>
      </c>
      <c r="AO1760" s="121"/>
      <c r="AT1760" s="111"/>
      <c r="AX1760" s="121"/>
    </row>
    <row r="1761" spans="1:50" s="110" customFormat="1" ht="20" customHeight="1">
      <c r="A1761" s="125" t="s">
        <v>231</v>
      </c>
      <c r="B1761" s="126" t="s">
        <v>66</v>
      </c>
      <c r="C1761" s="127">
        <v>17379</v>
      </c>
      <c r="D1761" s="163">
        <v>112774</v>
      </c>
      <c r="E1761" s="164" t="s">
        <v>2293</v>
      </c>
      <c r="F1761" s="164" t="s">
        <v>2293</v>
      </c>
      <c r="G1761" s="165">
        <v>2600</v>
      </c>
      <c r="H1761" s="165">
        <v>1</v>
      </c>
      <c r="I1761" s="164" t="s">
        <v>187</v>
      </c>
      <c r="J1761" s="164" t="s">
        <v>219</v>
      </c>
      <c r="K1761" s="164" t="s">
        <v>220</v>
      </c>
      <c r="L1761" s="165">
        <v>5</v>
      </c>
      <c r="M1761" s="165">
        <v>5</v>
      </c>
      <c r="N1761" s="164" t="s">
        <v>1577</v>
      </c>
      <c r="O1761" s="165">
        <v>0</v>
      </c>
      <c r="P1761" s="165">
        <v>0</v>
      </c>
      <c r="Q1761" s="165">
        <v>21</v>
      </c>
      <c r="R1761" s="164" t="s">
        <v>200</v>
      </c>
      <c r="S1761" s="164" t="s">
        <v>201</v>
      </c>
      <c r="T1761" s="165">
        <v>442</v>
      </c>
      <c r="U1761" s="164" t="s">
        <v>200</v>
      </c>
      <c r="V1761" s="164" t="s">
        <v>720</v>
      </c>
      <c r="W1761" s="165">
        <v>5</v>
      </c>
      <c r="X1761" s="165">
        <v>4</v>
      </c>
      <c r="Y1761" s="164" t="s">
        <v>203</v>
      </c>
      <c r="Z1761" s="164" t="s">
        <v>195</v>
      </c>
      <c r="AA1761" s="164" t="s">
        <v>196</v>
      </c>
      <c r="AB1761" s="164" t="s">
        <v>187</v>
      </c>
      <c r="AC1761" s="164" t="s">
        <v>187</v>
      </c>
      <c r="AD1761" s="165">
        <v>1</v>
      </c>
      <c r="AE1761" s="164" t="s">
        <v>187</v>
      </c>
      <c r="AF1761" s="165">
        <v>25.495892885034301</v>
      </c>
      <c r="AG1761" s="166">
        <v>68.515386876747797</v>
      </c>
      <c r="AO1761" s="121"/>
      <c r="AT1761" s="111"/>
      <c r="AX1761" s="121"/>
    </row>
    <row r="1762" spans="1:50" s="110" customFormat="1" ht="20" customHeight="1">
      <c r="A1762" s="125" t="s">
        <v>231</v>
      </c>
      <c r="B1762" s="126" t="s">
        <v>66</v>
      </c>
      <c r="C1762" s="127">
        <v>17010</v>
      </c>
      <c r="D1762" s="163">
        <v>112336</v>
      </c>
      <c r="E1762" s="164" t="s">
        <v>2652</v>
      </c>
      <c r="F1762" s="164" t="s">
        <v>2652</v>
      </c>
      <c r="G1762" s="165">
        <v>1800</v>
      </c>
      <c r="H1762" s="165">
        <v>1</v>
      </c>
      <c r="I1762" s="164" t="s">
        <v>187</v>
      </c>
      <c r="J1762" s="164" t="s">
        <v>222</v>
      </c>
      <c r="K1762" s="164" t="s">
        <v>223</v>
      </c>
      <c r="L1762" s="165">
        <v>4</v>
      </c>
      <c r="M1762" s="165">
        <v>5</v>
      </c>
      <c r="N1762" s="164" t="s">
        <v>1577</v>
      </c>
      <c r="O1762" s="165">
        <v>0</v>
      </c>
      <c r="P1762" s="165">
        <v>0</v>
      </c>
      <c r="Q1762" s="165">
        <v>21</v>
      </c>
      <c r="R1762" s="164" t="s">
        <v>200</v>
      </c>
      <c r="S1762" s="164" t="s">
        <v>201</v>
      </c>
      <c r="T1762" s="165">
        <v>442</v>
      </c>
      <c r="U1762" s="164" t="s">
        <v>200</v>
      </c>
      <c r="V1762" s="164" t="s">
        <v>720</v>
      </c>
      <c r="W1762" s="165">
        <v>2</v>
      </c>
      <c r="X1762" s="165">
        <v>4</v>
      </c>
      <c r="Y1762" s="164" t="s">
        <v>203</v>
      </c>
      <c r="Z1762" s="164" t="s">
        <v>195</v>
      </c>
      <c r="AA1762" s="164" t="s">
        <v>196</v>
      </c>
      <c r="AB1762" s="164" t="s">
        <v>187</v>
      </c>
      <c r="AC1762" s="164" t="s">
        <v>187</v>
      </c>
      <c r="AD1762" s="165">
        <v>1</v>
      </c>
      <c r="AE1762" s="164" t="s">
        <v>187</v>
      </c>
      <c r="AF1762" s="165">
        <v>32.407171931343399</v>
      </c>
      <c r="AG1762" s="166">
        <v>74.6318119399712</v>
      </c>
      <c r="AO1762" s="121"/>
      <c r="AT1762" s="111"/>
      <c r="AX1762" s="121"/>
    </row>
    <row r="1763" spans="1:50" s="110" customFormat="1" ht="20" customHeight="1">
      <c r="A1763" s="125" t="s">
        <v>231</v>
      </c>
      <c r="B1763" s="126" t="s">
        <v>66</v>
      </c>
      <c r="C1763" s="127">
        <v>16525</v>
      </c>
      <c r="D1763" s="163">
        <v>111701</v>
      </c>
      <c r="E1763" s="164" t="s">
        <v>2591</v>
      </c>
      <c r="F1763" s="164" t="s">
        <v>2591</v>
      </c>
      <c r="G1763" s="165">
        <v>1600</v>
      </c>
      <c r="H1763" s="165">
        <v>1</v>
      </c>
      <c r="I1763" s="164" t="s">
        <v>187</v>
      </c>
      <c r="J1763" s="164" t="s">
        <v>219</v>
      </c>
      <c r="K1763" s="164" t="s">
        <v>220</v>
      </c>
      <c r="L1763" s="165">
        <v>5</v>
      </c>
      <c r="M1763" s="165">
        <v>5</v>
      </c>
      <c r="N1763" s="164" t="s">
        <v>1577</v>
      </c>
      <c r="O1763" s="165">
        <v>0</v>
      </c>
      <c r="P1763" s="165">
        <v>0</v>
      </c>
      <c r="Q1763" s="165">
        <v>21</v>
      </c>
      <c r="R1763" s="164" t="s">
        <v>200</v>
      </c>
      <c r="S1763" s="164" t="s">
        <v>201</v>
      </c>
      <c r="T1763" s="165">
        <v>442</v>
      </c>
      <c r="U1763" s="164" t="s">
        <v>200</v>
      </c>
      <c r="V1763" s="164" t="s">
        <v>720</v>
      </c>
      <c r="W1763" s="165">
        <v>2</v>
      </c>
      <c r="X1763" s="165">
        <v>4</v>
      </c>
      <c r="Y1763" s="164" t="s">
        <v>203</v>
      </c>
      <c r="Z1763" s="164" t="s">
        <v>195</v>
      </c>
      <c r="AA1763" s="164" t="s">
        <v>196</v>
      </c>
      <c r="AB1763" s="164" t="s">
        <v>187</v>
      </c>
      <c r="AC1763" s="164" t="s">
        <v>187</v>
      </c>
      <c r="AD1763" s="165">
        <v>1</v>
      </c>
      <c r="AE1763" s="164" t="s">
        <v>187</v>
      </c>
      <c r="AF1763" s="165">
        <v>25.4929413805196</v>
      </c>
      <c r="AG1763" s="166">
        <v>68.508822914187306</v>
      </c>
      <c r="AO1763" s="121"/>
      <c r="AT1763" s="111"/>
      <c r="AX1763" s="121"/>
    </row>
    <row r="1764" spans="1:50" s="110" customFormat="1" ht="20" customHeight="1">
      <c r="A1764" s="125" t="s">
        <v>231</v>
      </c>
      <c r="B1764" s="126" t="s">
        <v>66</v>
      </c>
      <c r="C1764" s="127">
        <v>16821</v>
      </c>
      <c r="D1764" s="163">
        <v>112090</v>
      </c>
      <c r="E1764" s="164" t="s">
        <v>2592</v>
      </c>
      <c r="F1764" s="164" t="s">
        <v>2592</v>
      </c>
      <c r="G1764" s="165">
        <v>1600</v>
      </c>
      <c r="H1764" s="165">
        <v>1</v>
      </c>
      <c r="I1764" s="164" t="s">
        <v>187</v>
      </c>
      <c r="J1764" s="164" t="s">
        <v>219</v>
      </c>
      <c r="K1764" s="164" t="s">
        <v>220</v>
      </c>
      <c r="L1764" s="165">
        <v>5</v>
      </c>
      <c r="M1764" s="165">
        <v>5</v>
      </c>
      <c r="N1764" s="164" t="s">
        <v>1577</v>
      </c>
      <c r="O1764" s="165">
        <v>0</v>
      </c>
      <c r="P1764" s="165">
        <v>0</v>
      </c>
      <c r="Q1764" s="165">
        <v>21</v>
      </c>
      <c r="R1764" s="164" t="s">
        <v>200</v>
      </c>
      <c r="S1764" s="164" t="s">
        <v>201</v>
      </c>
      <c r="T1764" s="165">
        <v>442</v>
      </c>
      <c r="U1764" s="164" t="s">
        <v>200</v>
      </c>
      <c r="V1764" s="164" t="s">
        <v>720</v>
      </c>
      <c r="W1764" s="165">
        <v>2</v>
      </c>
      <c r="X1764" s="165">
        <v>4</v>
      </c>
      <c r="Y1764" s="164" t="s">
        <v>203</v>
      </c>
      <c r="Z1764" s="164" t="s">
        <v>195</v>
      </c>
      <c r="AA1764" s="164" t="s">
        <v>196</v>
      </c>
      <c r="AB1764" s="164" t="s">
        <v>187</v>
      </c>
      <c r="AC1764" s="164" t="s">
        <v>187</v>
      </c>
      <c r="AD1764" s="165">
        <v>1</v>
      </c>
      <c r="AE1764" s="164" t="s">
        <v>187</v>
      </c>
      <c r="AF1764" s="165">
        <v>24.911569922205999</v>
      </c>
      <c r="AG1764" s="166">
        <v>67.074798279268094</v>
      </c>
      <c r="AO1764" s="121"/>
      <c r="AT1764" s="111"/>
      <c r="AX1764" s="121"/>
    </row>
    <row r="1765" spans="1:50" s="110" customFormat="1" ht="20" customHeight="1">
      <c r="A1765" s="125" t="s">
        <v>231</v>
      </c>
      <c r="B1765" s="126" t="s">
        <v>66</v>
      </c>
      <c r="C1765" s="127">
        <v>18259</v>
      </c>
      <c r="D1765" s="163">
        <v>113794</v>
      </c>
      <c r="E1765" s="164" t="s">
        <v>2528</v>
      </c>
      <c r="F1765" s="164" t="s">
        <v>2528</v>
      </c>
      <c r="G1765" s="165">
        <v>1500</v>
      </c>
      <c r="H1765" s="165">
        <v>1</v>
      </c>
      <c r="I1765" s="164" t="s">
        <v>187</v>
      </c>
      <c r="J1765" s="164" t="s">
        <v>222</v>
      </c>
      <c r="K1765" s="164" t="s">
        <v>223</v>
      </c>
      <c r="L1765" s="165">
        <v>4</v>
      </c>
      <c r="M1765" s="165">
        <v>5</v>
      </c>
      <c r="N1765" s="164" t="s">
        <v>1577</v>
      </c>
      <c r="O1765" s="165">
        <v>0</v>
      </c>
      <c r="P1765" s="165">
        <v>0</v>
      </c>
      <c r="Q1765" s="165">
        <v>21</v>
      </c>
      <c r="R1765" s="164" t="s">
        <v>200</v>
      </c>
      <c r="S1765" s="164" t="s">
        <v>201</v>
      </c>
      <c r="T1765" s="165">
        <v>442</v>
      </c>
      <c r="U1765" s="164" t="s">
        <v>200</v>
      </c>
      <c r="V1765" s="164" t="s">
        <v>720</v>
      </c>
      <c r="W1765" s="165">
        <v>2</v>
      </c>
      <c r="X1765" s="165">
        <v>4</v>
      </c>
      <c r="Y1765" s="164" t="s">
        <v>203</v>
      </c>
      <c r="Z1765" s="164" t="s">
        <v>195</v>
      </c>
      <c r="AA1765" s="164" t="s">
        <v>196</v>
      </c>
      <c r="AB1765" s="164" t="s">
        <v>187</v>
      </c>
      <c r="AC1765" s="164" t="s">
        <v>187</v>
      </c>
      <c r="AD1765" s="165">
        <v>1</v>
      </c>
      <c r="AE1765" s="164" t="s">
        <v>187</v>
      </c>
      <c r="AF1765" s="165">
        <v>28.465554615898899</v>
      </c>
      <c r="AG1765" s="166">
        <v>70.485926368398296</v>
      </c>
      <c r="AO1765" s="121"/>
      <c r="AT1765" s="111"/>
      <c r="AX1765" s="121"/>
    </row>
    <row r="1766" spans="1:50" s="110" customFormat="1" ht="20" customHeight="1">
      <c r="A1766" s="125" t="s">
        <v>231</v>
      </c>
      <c r="B1766" s="126" t="s">
        <v>66</v>
      </c>
      <c r="C1766" s="127">
        <v>16365</v>
      </c>
      <c r="D1766" s="163">
        <v>111507</v>
      </c>
      <c r="E1766" s="164" t="s">
        <v>2460</v>
      </c>
      <c r="F1766" s="164" t="s">
        <v>2460</v>
      </c>
      <c r="G1766" s="165">
        <v>1300</v>
      </c>
      <c r="H1766" s="165">
        <v>1</v>
      </c>
      <c r="I1766" s="164" t="s">
        <v>187</v>
      </c>
      <c r="J1766" s="164" t="s">
        <v>219</v>
      </c>
      <c r="K1766" s="164" t="s">
        <v>220</v>
      </c>
      <c r="L1766" s="165">
        <v>5</v>
      </c>
      <c r="M1766" s="165">
        <v>5</v>
      </c>
      <c r="N1766" s="164" t="s">
        <v>1577</v>
      </c>
      <c r="O1766" s="165">
        <v>0</v>
      </c>
      <c r="P1766" s="165">
        <v>0</v>
      </c>
      <c r="Q1766" s="165">
        <v>21</v>
      </c>
      <c r="R1766" s="164" t="s">
        <v>200</v>
      </c>
      <c r="S1766" s="164" t="s">
        <v>201</v>
      </c>
      <c r="T1766" s="165">
        <v>442</v>
      </c>
      <c r="U1766" s="164" t="s">
        <v>200</v>
      </c>
      <c r="V1766" s="164" t="s">
        <v>720</v>
      </c>
      <c r="W1766" s="165">
        <v>2</v>
      </c>
      <c r="X1766" s="165">
        <v>4</v>
      </c>
      <c r="Y1766" s="164" t="s">
        <v>203</v>
      </c>
      <c r="Z1766" s="164" t="s">
        <v>195</v>
      </c>
      <c r="AA1766" s="164" t="s">
        <v>196</v>
      </c>
      <c r="AB1766" s="164" t="s">
        <v>187</v>
      </c>
      <c r="AC1766" s="164" t="s">
        <v>187</v>
      </c>
      <c r="AD1766" s="165">
        <v>1</v>
      </c>
      <c r="AE1766" s="164" t="s">
        <v>187</v>
      </c>
      <c r="AF1766" s="165">
        <v>24.913294331779799</v>
      </c>
      <c r="AG1766" s="166">
        <v>67.068656103693201</v>
      </c>
      <c r="AO1766" s="121"/>
      <c r="AT1766" s="111"/>
      <c r="AX1766" s="121"/>
    </row>
    <row r="1767" spans="1:50" s="110" customFormat="1" ht="20" customHeight="1">
      <c r="A1767" s="125" t="s">
        <v>231</v>
      </c>
      <c r="B1767" s="126" t="s">
        <v>66</v>
      </c>
      <c r="C1767" s="127">
        <v>17156</v>
      </c>
      <c r="D1767" s="163">
        <v>112506</v>
      </c>
      <c r="E1767" s="164" t="s">
        <v>2461</v>
      </c>
      <c r="F1767" s="164" t="s">
        <v>2461</v>
      </c>
      <c r="G1767" s="165">
        <v>1300</v>
      </c>
      <c r="H1767" s="165">
        <v>1</v>
      </c>
      <c r="I1767" s="164" t="s">
        <v>187</v>
      </c>
      <c r="J1767" s="164" t="s">
        <v>219</v>
      </c>
      <c r="K1767" s="164" t="s">
        <v>220</v>
      </c>
      <c r="L1767" s="165">
        <v>5</v>
      </c>
      <c r="M1767" s="165">
        <v>5</v>
      </c>
      <c r="N1767" s="164" t="s">
        <v>1577</v>
      </c>
      <c r="O1767" s="165">
        <v>0</v>
      </c>
      <c r="P1767" s="165">
        <v>0</v>
      </c>
      <c r="Q1767" s="165">
        <v>21</v>
      </c>
      <c r="R1767" s="164" t="s">
        <v>200</v>
      </c>
      <c r="S1767" s="164" t="s">
        <v>201</v>
      </c>
      <c r="T1767" s="165">
        <v>442</v>
      </c>
      <c r="U1767" s="164" t="s">
        <v>200</v>
      </c>
      <c r="V1767" s="164" t="s">
        <v>720</v>
      </c>
      <c r="W1767" s="165">
        <v>2</v>
      </c>
      <c r="X1767" s="165">
        <v>4</v>
      </c>
      <c r="Y1767" s="164" t="s">
        <v>203</v>
      </c>
      <c r="Z1767" s="164" t="s">
        <v>195</v>
      </c>
      <c r="AA1767" s="164" t="s">
        <v>196</v>
      </c>
      <c r="AB1767" s="164" t="s">
        <v>187</v>
      </c>
      <c r="AC1767" s="164" t="s">
        <v>187</v>
      </c>
      <c r="AD1767" s="165">
        <v>1</v>
      </c>
      <c r="AE1767" s="164" t="s">
        <v>187</v>
      </c>
      <c r="AF1767" s="165">
        <v>24.913515787795099</v>
      </c>
      <c r="AG1767" s="166">
        <v>67.072746236841297</v>
      </c>
      <c r="AO1767" s="121"/>
      <c r="AT1767" s="111"/>
      <c r="AX1767" s="121"/>
    </row>
    <row r="1768" spans="1:50" s="110" customFormat="1" ht="20" customHeight="1">
      <c r="A1768" s="125" t="s">
        <v>231</v>
      </c>
      <c r="B1768" s="126" t="s">
        <v>66</v>
      </c>
      <c r="C1768" s="127">
        <v>17407</v>
      </c>
      <c r="D1768" s="163">
        <v>112807</v>
      </c>
      <c r="E1768" s="164" t="s">
        <v>2462</v>
      </c>
      <c r="F1768" s="164" t="s">
        <v>2462</v>
      </c>
      <c r="G1768" s="165">
        <v>1300</v>
      </c>
      <c r="H1768" s="165">
        <v>1</v>
      </c>
      <c r="I1768" s="164" t="s">
        <v>187</v>
      </c>
      <c r="J1768" s="164" t="s">
        <v>222</v>
      </c>
      <c r="K1768" s="164" t="s">
        <v>223</v>
      </c>
      <c r="L1768" s="165">
        <v>4</v>
      </c>
      <c r="M1768" s="165">
        <v>5</v>
      </c>
      <c r="N1768" s="164" t="s">
        <v>1577</v>
      </c>
      <c r="O1768" s="165">
        <v>0</v>
      </c>
      <c r="P1768" s="165">
        <v>0</v>
      </c>
      <c r="Q1768" s="165">
        <v>21</v>
      </c>
      <c r="R1768" s="164" t="s">
        <v>200</v>
      </c>
      <c r="S1768" s="164" t="s">
        <v>201</v>
      </c>
      <c r="T1768" s="165">
        <v>442</v>
      </c>
      <c r="U1768" s="164" t="s">
        <v>200</v>
      </c>
      <c r="V1768" s="164" t="s">
        <v>720</v>
      </c>
      <c r="W1768" s="165">
        <v>2</v>
      </c>
      <c r="X1768" s="165">
        <v>4</v>
      </c>
      <c r="Y1768" s="164" t="s">
        <v>203</v>
      </c>
      <c r="Z1768" s="164" t="s">
        <v>195</v>
      </c>
      <c r="AA1768" s="164" t="s">
        <v>196</v>
      </c>
      <c r="AB1768" s="164" t="s">
        <v>187</v>
      </c>
      <c r="AC1768" s="164" t="s">
        <v>187</v>
      </c>
      <c r="AD1768" s="165">
        <v>1</v>
      </c>
      <c r="AE1768" s="164" t="s">
        <v>187</v>
      </c>
      <c r="AF1768" s="165">
        <v>28.468751342022401</v>
      </c>
      <c r="AG1768" s="166">
        <v>70.478210225985194</v>
      </c>
      <c r="AO1768" s="121"/>
      <c r="AT1768" s="111"/>
      <c r="AX1768" s="121"/>
    </row>
    <row r="1769" spans="1:50" s="110" customFormat="1" ht="20" customHeight="1">
      <c r="A1769" s="125" t="s">
        <v>231</v>
      </c>
      <c r="B1769" s="126" t="s">
        <v>66</v>
      </c>
      <c r="C1769" s="127">
        <v>16673</v>
      </c>
      <c r="D1769" s="163">
        <v>111889</v>
      </c>
      <c r="E1769" s="164" t="s">
        <v>2377</v>
      </c>
      <c r="F1769" s="164" t="s">
        <v>2377</v>
      </c>
      <c r="G1769" s="165">
        <v>1100</v>
      </c>
      <c r="H1769" s="165">
        <v>1</v>
      </c>
      <c r="I1769" s="164" t="s">
        <v>187</v>
      </c>
      <c r="J1769" s="164" t="s">
        <v>219</v>
      </c>
      <c r="K1769" s="164" t="s">
        <v>220</v>
      </c>
      <c r="L1769" s="165">
        <v>5</v>
      </c>
      <c r="M1769" s="165">
        <v>5</v>
      </c>
      <c r="N1769" s="164" t="s">
        <v>1577</v>
      </c>
      <c r="O1769" s="165">
        <v>0</v>
      </c>
      <c r="P1769" s="165">
        <v>0</v>
      </c>
      <c r="Q1769" s="165">
        <v>21</v>
      </c>
      <c r="R1769" s="164" t="s">
        <v>200</v>
      </c>
      <c r="S1769" s="164" t="s">
        <v>201</v>
      </c>
      <c r="T1769" s="165">
        <v>442</v>
      </c>
      <c r="U1769" s="164" t="s">
        <v>200</v>
      </c>
      <c r="V1769" s="164" t="s">
        <v>720</v>
      </c>
      <c r="W1769" s="165">
        <v>3</v>
      </c>
      <c r="X1769" s="165">
        <v>4</v>
      </c>
      <c r="Y1769" s="164" t="s">
        <v>203</v>
      </c>
      <c r="Z1769" s="164" t="s">
        <v>195</v>
      </c>
      <c r="AA1769" s="164" t="s">
        <v>196</v>
      </c>
      <c r="AB1769" s="164" t="s">
        <v>187</v>
      </c>
      <c r="AC1769" s="164" t="s">
        <v>187</v>
      </c>
      <c r="AD1769" s="165">
        <v>1</v>
      </c>
      <c r="AE1769" s="164" t="s">
        <v>187</v>
      </c>
      <c r="AF1769" s="165">
        <v>24.912553465150001</v>
      </c>
      <c r="AG1769" s="166">
        <v>67.073132703659596</v>
      </c>
      <c r="AO1769" s="121"/>
      <c r="AT1769" s="111"/>
      <c r="AX1769" s="121"/>
    </row>
    <row r="1770" spans="1:50" s="110" customFormat="1" ht="20" customHeight="1">
      <c r="A1770" s="125" t="s">
        <v>231</v>
      </c>
      <c r="B1770" s="126" t="s">
        <v>66</v>
      </c>
      <c r="C1770" s="127">
        <v>16878</v>
      </c>
      <c r="D1770" s="163">
        <v>112160</v>
      </c>
      <c r="E1770" s="164" t="s">
        <v>2282</v>
      </c>
      <c r="F1770" s="164" t="s">
        <v>2283</v>
      </c>
      <c r="G1770" s="165">
        <v>900</v>
      </c>
      <c r="H1770" s="165">
        <v>1</v>
      </c>
      <c r="I1770" s="164" t="s">
        <v>187</v>
      </c>
      <c r="J1770" s="164" t="s">
        <v>219</v>
      </c>
      <c r="K1770" s="164" t="s">
        <v>220</v>
      </c>
      <c r="L1770" s="165">
        <v>5</v>
      </c>
      <c r="M1770" s="165">
        <v>5</v>
      </c>
      <c r="N1770" s="164" t="s">
        <v>1577</v>
      </c>
      <c r="O1770" s="165">
        <v>0</v>
      </c>
      <c r="P1770" s="165">
        <v>0</v>
      </c>
      <c r="Q1770" s="165">
        <v>21</v>
      </c>
      <c r="R1770" s="164" t="s">
        <v>200</v>
      </c>
      <c r="S1770" s="164" t="s">
        <v>201</v>
      </c>
      <c r="T1770" s="165">
        <v>442</v>
      </c>
      <c r="U1770" s="164" t="s">
        <v>200</v>
      </c>
      <c r="V1770" s="164" t="s">
        <v>720</v>
      </c>
      <c r="W1770" s="165">
        <v>3</v>
      </c>
      <c r="X1770" s="165">
        <v>4</v>
      </c>
      <c r="Y1770" s="164" t="s">
        <v>203</v>
      </c>
      <c r="Z1770" s="164" t="s">
        <v>195</v>
      </c>
      <c r="AA1770" s="164" t="s">
        <v>196</v>
      </c>
      <c r="AB1770" s="164" t="s">
        <v>187</v>
      </c>
      <c r="AC1770" s="164" t="s">
        <v>187</v>
      </c>
      <c r="AD1770" s="165">
        <v>1</v>
      </c>
      <c r="AE1770" s="164" t="s">
        <v>187</v>
      </c>
      <c r="AF1770" s="165">
        <v>26.865480000000002</v>
      </c>
      <c r="AG1770" s="166">
        <v>69.054590000000005</v>
      </c>
      <c r="AO1770" s="121"/>
      <c r="AT1770" s="111"/>
      <c r="AX1770" s="121"/>
    </row>
    <row r="1771" spans="1:50" s="110" customFormat="1" ht="20" customHeight="1">
      <c r="A1771" s="125" t="s">
        <v>231</v>
      </c>
      <c r="B1771" s="126" t="s">
        <v>66</v>
      </c>
      <c r="C1771" s="127">
        <v>17162</v>
      </c>
      <c r="D1771" s="163">
        <v>112513</v>
      </c>
      <c r="E1771" s="164" t="s">
        <v>2219</v>
      </c>
      <c r="F1771" s="164" t="s">
        <v>2219</v>
      </c>
      <c r="G1771" s="165">
        <v>800</v>
      </c>
      <c r="H1771" s="165">
        <v>1</v>
      </c>
      <c r="I1771" s="164" t="s">
        <v>187</v>
      </c>
      <c r="J1771" s="164" t="s">
        <v>219</v>
      </c>
      <c r="K1771" s="164" t="s">
        <v>220</v>
      </c>
      <c r="L1771" s="165">
        <v>5</v>
      </c>
      <c r="M1771" s="165">
        <v>5</v>
      </c>
      <c r="N1771" s="164" t="s">
        <v>1577</v>
      </c>
      <c r="O1771" s="165">
        <v>0</v>
      </c>
      <c r="P1771" s="165">
        <v>0</v>
      </c>
      <c r="Q1771" s="165">
        <v>21</v>
      </c>
      <c r="R1771" s="164" t="s">
        <v>200</v>
      </c>
      <c r="S1771" s="164" t="s">
        <v>201</v>
      </c>
      <c r="T1771" s="165">
        <v>442</v>
      </c>
      <c r="U1771" s="164" t="s">
        <v>200</v>
      </c>
      <c r="V1771" s="164" t="s">
        <v>720</v>
      </c>
      <c r="W1771" s="165">
        <v>2</v>
      </c>
      <c r="X1771" s="165">
        <v>4</v>
      </c>
      <c r="Y1771" s="164" t="s">
        <v>203</v>
      </c>
      <c r="Z1771" s="164" t="s">
        <v>195</v>
      </c>
      <c r="AA1771" s="164" t="s">
        <v>196</v>
      </c>
      <c r="AB1771" s="164" t="s">
        <v>187</v>
      </c>
      <c r="AC1771" s="164" t="s">
        <v>187</v>
      </c>
      <c r="AD1771" s="165">
        <v>1</v>
      </c>
      <c r="AE1771" s="164" t="s">
        <v>187</v>
      </c>
      <c r="AF1771" s="165">
        <v>25.5006220269454</v>
      </c>
      <c r="AG1771" s="166">
        <v>68.507827753581694</v>
      </c>
      <c r="AO1771" s="121"/>
      <c r="AT1771" s="111"/>
      <c r="AX1771" s="121"/>
    </row>
    <row r="1772" spans="1:50" s="110" customFormat="1" ht="20" customHeight="1">
      <c r="A1772" s="125" t="s">
        <v>231</v>
      </c>
      <c r="B1772" s="126" t="s">
        <v>66</v>
      </c>
      <c r="C1772" s="127">
        <v>19465</v>
      </c>
      <c r="D1772" s="163">
        <v>115610</v>
      </c>
      <c r="E1772" s="164" t="s">
        <v>2222</v>
      </c>
      <c r="F1772" s="164" t="s">
        <v>2222</v>
      </c>
      <c r="G1772" s="165">
        <v>800</v>
      </c>
      <c r="H1772" s="165">
        <v>1</v>
      </c>
      <c r="I1772" s="164" t="s">
        <v>187</v>
      </c>
      <c r="J1772" s="164" t="s">
        <v>219</v>
      </c>
      <c r="K1772" s="164" t="s">
        <v>220</v>
      </c>
      <c r="L1772" s="165">
        <v>5</v>
      </c>
      <c r="M1772" s="165">
        <v>5</v>
      </c>
      <c r="N1772" s="164" t="s">
        <v>1577</v>
      </c>
      <c r="O1772" s="165">
        <v>0</v>
      </c>
      <c r="P1772" s="165">
        <v>0</v>
      </c>
      <c r="Q1772" s="165">
        <v>21</v>
      </c>
      <c r="R1772" s="164" t="s">
        <v>200</v>
      </c>
      <c r="S1772" s="164" t="s">
        <v>201</v>
      </c>
      <c r="T1772" s="165">
        <v>442</v>
      </c>
      <c r="U1772" s="164" t="s">
        <v>200</v>
      </c>
      <c r="V1772" s="164" t="s">
        <v>720</v>
      </c>
      <c r="W1772" s="165">
        <v>2</v>
      </c>
      <c r="X1772" s="165">
        <v>4</v>
      </c>
      <c r="Y1772" s="164" t="s">
        <v>203</v>
      </c>
      <c r="Z1772" s="164" t="s">
        <v>195</v>
      </c>
      <c r="AA1772" s="164" t="s">
        <v>196</v>
      </c>
      <c r="AB1772" s="164" t="s">
        <v>187</v>
      </c>
      <c r="AC1772" s="164" t="s">
        <v>187</v>
      </c>
      <c r="AD1772" s="165">
        <v>1</v>
      </c>
      <c r="AE1772" s="164" t="s">
        <v>187</v>
      </c>
      <c r="AF1772" s="165">
        <v>25.319944102704302</v>
      </c>
      <c r="AG1772" s="166">
        <v>69.152759900553505</v>
      </c>
      <c r="AO1772" s="121"/>
      <c r="AT1772" s="111"/>
      <c r="AX1772" s="121"/>
    </row>
    <row r="1773" spans="1:50" s="110" customFormat="1" ht="20" customHeight="1">
      <c r="A1773" s="125" t="s">
        <v>231</v>
      </c>
      <c r="B1773" s="126" t="s">
        <v>66</v>
      </c>
      <c r="C1773" s="127">
        <v>17345</v>
      </c>
      <c r="D1773" s="163">
        <v>112728</v>
      </c>
      <c r="E1773" s="164" t="s">
        <v>2051</v>
      </c>
      <c r="F1773" s="164" t="s">
        <v>2051</v>
      </c>
      <c r="G1773" s="165">
        <v>600</v>
      </c>
      <c r="H1773" s="165">
        <v>1</v>
      </c>
      <c r="I1773" s="164" t="s">
        <v>187</v>
      </c>
      <c r="J1773" s="164" t="s">
        <v>222</v>
      </c>
      <c r="K1773" s="164" t="s">
        <v>223</v>
      </c>
      <c r="L1773" s="165">
        <v>4</v>
      </c>
      <c r="M1773" s="165">
        <v>5</v>
      </c>
      <c r="N1773" s="164" t="s">
        <v>1577</v>
      </c>
      <c r="O1773" s="165">
        <v>0</v>
      </c>
      <c r="P1773" s="165">
        <v>0</v>
      </c>
      <c r="Q1773" s="165">
        <v>21</v>
      </c>
      <c r="R1773" s="164" t="s">
        <v>200</v>
      </c>
      <c r="S1773" s="164" t="s">
        <v>201</v>
      </c>
      <c r="T1773" s="165">
        <v>442</v>
      </c>
      <c r="U1773" s="164" t="s">
        <v>200</v>
      </c>
      <c r="V1773" s="164" t="s">
        <v>720</v>
      </c>
      <c r="W1773" s="165">
        <v>2</v>
      </c>
      <c r="X1773" s="165">
        <v>4</v>
      </c>
      <c r="Y1773" s="164" t="s">
        <v>203</v>
      </c>
      <c r="Z1773" s="164" t="s">
        <v>195</v>
      </c>
      <c r="AA1773" s="164" t="s">
        <v>196</v>
      </c>
      <c r="AB1773" s="164" t="s">
        <v>187</v>
      </c>
      <c r="AC1773" s="164" t="s">
        <v>187</v>
      </c>
      <c r="AD1773" s="165">
        <v>1</v>
      </c>
      <c r="AE1773" s="164" t="s">
        <v>187</v>
      </c>
      <c r="AF1773" s="165">
        <v>28.468879710917999</v>
      </c>
      <c r="AG1773" s="166">
        <v>70.479941419694299</v>
      </c>
      <c r="AO1773" s="121"/>
      <c r="AT1773" s="111"/>
      <c r="AX1773" s="121"/>
    </row>
    <row r="1774" spans="1:50" s="110" customFormat="1" ht="20" customHeight="1">
      <c r="A1774" s="125" t="s">
        <v>231</v>
      </c>
      <c r="B1774" s="126" t="s">
        <v>66</v>
      </c>
      <c r="C1774" s="127">
        <v>16396</v>
      </c>
      <c r="D1774" s="163">
        <v>111542</v>
      </c>
      <c r="E1774" s="164" t="s">
        <v>1808</v>
      </c>
      <c r="F1774" s="164" t="s">
        <v>1808</v>
      </c>
      <c r="G1774" s="165">
        <v>300</v>
      </c>
      <c r="H1774" s="165">
        <v>1</v>
      </c>
      <c r="I1774" s="164" t="s">
        <v>187</v>
      </c>
      <c r="J1774" s="164" t="s">
        <v>222</v>
      </c>
      <c r="K1774" s="164" t="s">
        <v>223</v>
      </c>
      <c r="L1774" s="165">
        <v>4</v>
      </c>
      <c r="M1774" s="165">
        <v>5</v>
      </c>
      <c r="N1774" s="164" t="s">
        <v>1577</v>
      </c>
      <c r="O1774" s="165">
        <v>0</v>
      </c>
      <c r="P1774" s="165">
        <v>0</v>
      </c>
      <c r="Q1774" s="165">
        <v>21</v>
      </c>
      <c r="R1774" s="164" t="s">
        <v>200</v>
      </c>
      <c r="S1774" s="164" t="s">
        <v>201</v>
      </c>
      <c r="T1774" s="165">
        <v>442</v>
      </c>
      <c r="U1774" s="164" t="s">
        <v>200</v>
      </c>
      <c r="V1774" s="164" t="s">
        <v>720</v>
      </c>
      <c r="W1774" s="165">
        <v>2</v>
      </c>
      <c r="X1774" s="165">
        <v>4</v>
      </c>
      <c r="Y1774" s="164" t="s">
        <v>203</v>
      </c>
      <c r="Z1774" s="164" t="s">
        <v>195</v>
      </c>
      <c r="AA1774" s="164" t="s">
        <v>196</v>
      </c>
      <c r="AB1774" s="164" t="s">
        <v>187</v>
      </c>
      <c r="AC1774" s="164" t="s">
        <v>187</v>
      </c>
      <c r="AD1774" s="165">
        <v>1</v>
      </c>
      <c r="AE1774" s="164" t="s">
        <v>187</v>
      </c>
      <c r="AF1774" s="165">
        <v>32.0983306845066</v>
      </c>
      <c r="AG1774" s="166">
        <v>74.225976016852002</v>
      </c>
      <c r="AO1774" s="121"/>
      <c r="AT1774" s="111"/>
      <c r="AX1774" s="121"/>
    </row>
    <row r="1775" spans="1:50" s="110" customFormat="1" ht="20" customHeight="1">
      <c r="A1775" s="125" t="s">
        <v>231</v>
      </c>
      <c r="B1775" s="126" t="s">
        <v>66</v>
      </c>
      <c r="C1775" s="127">
        <v>17092</v>
      </c>
      <c r="D1775" s="163">
        <v>112432</v>
      </c>
      <c r="E1775" s="164" t="s">
        <v>1812</v>
      </c>
      <c r="F1775" s="164" t="s">
        <v>1812</v>
      </c>
      <c r="G1775" s="165">
        <v>300</v>
      </c>
      <c r="H1775" s="165">
        <v>1</v>
      </c>
      <c r="I1775" s="164" t="s">
        <v>187</v>
      </c>
      <c r="J1775" s="164" t="s">
        <v>222</v>
      </c>
      <c r="K1775" s="164" t="s">
        <v>223</v>
      </c>
      <c r="L1775" s="165">
        <v>4</v>
      </c>
      <c r="M1775" s="165">
        <v>5</v>
      </c>
      <c r="N1775" s="164" t="s">
        <v>1577</v>
      </c>
      <c r="O1775" s="165">
        <v>0</v>
      </c>
      <c r="P1775" s="165">
        <v>0</v>
      </c>
      <c r="Q1775" s="165">
        <v>21</v>
      </c>
      <c r="R1775" s="164" t="s">
        <v>200</v>
      </c>
      <c r="S1775" s="164" t="s">
        <v>201</v>
      </c>
      <c r="T1775" s="165">
        <v>442</v>
      </c>
      <c r="U1775" s="164" t="s">
        <v>200</v>
      </c>
      <c r="V1775" s="164" t="s">
        <v>720</v>
      </c>
      <c r="W1775" s="165">
        <v>2</v>
      </c>
      <c r="X1775" s="165">
        <v>4</v>
      </c>
      <c r="Y1775" s="164" t="s">
        <v>203</v>
      </c>
      <c r="Z1775" s="164" t="s">
        <v>195</v>
      </c>
      <c r="AA1775" s="164" t="s">
        <v>196</v>
      </c>
      <c r="AB1775" s="164" t="s">
        <v>187</v>
      </c>
      <c r="AC1775" s="164" t="s">
        <v>187</v>
      </c>
      <c r="AD1775" s="165">
        <v>1</v>
      </c>
      <c r="AE1775" s="164" t="s">
        <v>187</v>
      </c>
      <c r="AF1775" s="165">
        <v>32.406281347169802</v>
      </c>
      <c r="AG1775" s="166">
        <v>74.636784707135305</v>
      </c>
      <c r="AO1775" s="121"/>
      <c r="AT1775" s="111"/>
      <c r="AX1775" s="121"/>
    </row>
    <row r="1776" spans="1:50" s="110" customFormat="1" ht="20" customHeight="1">
      <c r="A1776" s="125" t="s">
        <v>231</v>
      </c>
      <c r="B1776" s="126" t="s">
        <v>66</v>
      </c>
      <c r="C1776" s="127">
        <v>19427</v>
      </c>
      <c r="D1776" s="163">
        <v>115842</v>
      </c>
      <c r="E1776" s="164" t="s">
        <v>1719</v>
      </c>
      <c r="F1776" s="164" t="s">
        <v>1719</v>
      </c>
      <c r="G1776" s="165">
        <v>200</v>
      </c>
      <c r="H1776" s="165">
        <v>1</v>
      </c>
      <c r="I1776" s="164" t="s">
        <v>187</v>
      </c>
      <c r="J1776" s="164" t="s">
        <v>501</v>
      </c>
      <c r="K1776" s="164" t="s">
        <v>502</v>
      </c>
      <c r="L1776" s="165">
        <v>3</v>
      </c>
      <c r="M1776" s="165">
        <v>5</v>
      </c>
      <c r="N1776" s="164" t="s">
        <v>1577</v>
      </c>
      <c r="O1776" s="165">
        <v>0</v>
      </c>
      <c r="P1776" s="165">
        <v>0</v>
      </c>
      <c r="Q1776" s="165">
        <v>21</v>
      </c>
      <c r="R1776" s="164" t="s">
        <v>200</v>
      </c>
      <c r="S1776" s="164" t="s">
        <v>201</v>
      </c>
      <c r="T1776" s="165">
        <v>442</v>
      </c>
      <c r="U1776" s="164" t="s">
        <v>200</v>
      </c>
      <c r="V1776" s="164" t="s">
        <v>720</v>
      </c>
      <c r="W1776" s="165">
        <v>1</v>
      </c>
      <c r="X1776" s="165">
        <v>4</v>
      </c>
      <c r="Y1776" s="164" t="s">
        <v>203</v>
      </c>
      <c r="Z1776" s="164" t="s">
        <v>195</v>
      </c>
      <c r="AA1776" s="164" t="s">
        <v>196</v>
      </c>
      <c r="AB1776" s="164" t="s">
        <v>187</v>
      </c>
      <c r="AC1776" s="164" t="s">
        <v>187</v>
      </c>
      <c r="AD1776" s="165">
        <v>1</v>
      </c>
      <c r="AE1776" s="164" t="s">
        <v>187</v>
      </c>
      <c r="AF1776" s="165">
        <v>30.811644104999999</v>
      </c>
      <c r="AG1776" s="166">
        <v>69.8653830728</v>
      </c>
      <c r="AO1776" s="121"/>
      <c r="AT1776" s="111"/>
      <c r="AX1776" s="121"/>
    </row>
    <row r="1777" spans="1:50" s="110" customFormat="1" ht="20" customHeight="1">
      <c r="A1777" s="125" t="s">
        <v>231</v>
      </c>
      <c r="B1777" s="126" t="s">
        <v>66</v>
      </c>
      <c r="C1777" s="127">
        <v>17455</v>
      </c>
      <c r="D1777" s="163">
        <v>112861</v>
      </c>
      <c r="E1777" s="164" t="s">
        <v>1721</v>
      </c>
      <c r="F1777" s="164" t="s">
        <v>1721</v>
      </c>
      <c r="G1777" s="165">
        <v>200</v>
      </c>
      <c r="H1777" s="165">
        <v>1</v>
      </c>
      <c r="I1777" s="164" t="s">
        <v>187</v>
      </c>
      <c r="J1777" s="164" t="s">
        <v>222</v>
      </c>
      <c r="K1777" s="164" t="s">
        <v>223</v>
      </c>
      <c r="L1777" s="165">
        <v>4</v>
      </c>
      <c r="M1777" s="165">
        <v>5</v>
      </c>
      <c r="N1777" s="164" t="s">
        <v>1577</v>
      </c>
      <c r="O1777" s="165">
        <v>0</v>
      </c>
      <c r="P1777" s="165">
        <v>0</v>
      </c>
      <c r="Q1777" s="165">
        <v>21</v>
      </c>
      <c r="R1777" s="164" t="s">
        <v>200</v>
      </c>
      <c r="S1777" s="164" t="s">
        <v>201</v>
      </c>
      <c r="T1777" s="165">
        <v>442</v>
      </c>
      <c r="U1777" s="164" t="s">
        <v>200</v>
      </c>
      <c r="V1777" s="164" t="s">
        <v>720</v>
      </c>
      <c r="W1777" s="165">
        <v>2</v>
      </c>
      <c r="X1777" s="165">
        <v>4</v>
      </c>
      <c r="Y1777" s="164" t="s">
        <v>203</v>
      </c>
      <c r="Z1777" s="164" t="s">
        <v>195</v>
      </c>
      <c r="AA1777" s="164" t="s">
        <v>196</v>
      </c>
      <c r="AB1777" s="164" t="s">
        <v>187</v>
      </c>
      <c r="AC1777" s="164" t="s">
        <v>187</v>
      </c>
      <c r="AD1777" s="165">
        <v>1</v>
      </c>
      <c r="AE1777" s="164" t="s">
        <v>187</v>
      </c>
      <c r="AF1777" s="165">
        <v>28.462471030524298</v>
      </c>
      <c r="AG1777" s="166">
        <v>70.482416313148704</v>
      </c>
      <c r="AO1777" s="121"/>
      <c r="AT1777" s="111"/>
      <c r="AX1777" s="121"/>
    </row>
    <row r="1778" spans="1:50" s="110" customFormat="1" ht="20" customHeight="1">
      <c r="A1778" s="125" t="s">
        <v>408</v>
      </c>
      <c r="B1778" s="126" t="s">
        <v>64</v>
      </c>
      <c r="C1778" s="127">
        <v>18211</v>
      </c>
      <c r="D1778" s="163">
        <v>113732</v>
      </c>
      <c r="E1778" s="164" t="s">
        <v>3599</v>
      </c>
      <c r="F1778" s="164" t="s">
        <v>3599</v>
      </c>
      <c r="G1778" s="165">
        <v>118000</v>
      </c>
      <c r="H1778" s="165">
        <v>1</v>
      </c>
      <c r="I1778" s="164" t="s">
        <v>187</v>
      </c>
      <c r="J1778" s="164" t="s">
        <v>1989</v>
      </c>
      <c r="K1778" s="164" t="s">
        <v>1990</v>
      </c>
      <c r="L1778" s="165">
        <v>5</v>
      </c>
      <c r="M1778" s="165">
        <v>5</v>
      </c>
      <c r="N1778" s="164" t="s">
        <v>1577</v>
      </c>
      <c r="O1778" s="165">
        <v>5</v>
      </c>
      <c r="P1778" s="165">
        <v>0.8</v>
      </c>
      <c r="Q1778" s="165">
        <v>21</v>
      </c>
      <c r="R1778" s="164" t="s">
        <v>200</v>
      </c>
      <c r="S1778" s="164" t="s">
        <v>201</v>
      </c>
      <c r="T1778" s="165">
        <v>442</v>
      </c>
      <c r="U1778" s="164" t="s">
        <v>200</v>
      </c>
      <c r="V1778" s="164" t="s">
        <v>720</v>
      </c>
      <c r="W1778" s="165">
        <v>19</v>
      </c>
      <c r="X1778" s="165">
        <v>2</v>
      </c>
      <c r="Y1778" s="164" t="s">
        <v>194</v>
      </c>
      <c r="Z1778" s="164" t="s">
        <v>195</v>
      </c>
      <c r="AA1778" s="164" t="s">
        <v>196</v>
      </c>
      <c r="AB1778" s="164" t="s">
        <v>209</v>
      </c>
      <c r="AC1778" s="164" t="s">
        <v>209</v>
      </c>
      <c r="AD1778" s="165">
        <v>2</v>
      </c>
      <c r="AE1778" s="164" t="s">
        <v>209</v>
      </c>
      <c r="AF1778" s="165">
        <v>1.3468599999999999</v>
      </c>
      <c r="AG1778" s="166">
        <v>103.85615</v>
      </c>
      <c r="AO1778" s="121"/>
      <c r="AT1778" s="111"/>
      <c r="AX1778" s="121"/>
    </row>
    <row r="1779" spans="1:50" s="110" customFormat="1" ht="20" customHeight="1">
      <c r="A1779" s="125" t="s">
        <v>408</v>
      </c>
      <c r="B1779" s="126" t="s">
        <v>64</v>
      </c>
      <c r="C1779" s="127">
        <v>12486</v>
      </c>
      <c r="D1779" s="163">
        <v>104555</v>
      </c>
      <c r="E1779" s="164" t="s">
        <v>4091</v>
      </c>
      <c r="F1779" s="164" t="s">
        <v>4091</v>
      </c>
      <c r="G1779" s="165">
        <v>22000</v>
      </c>
      <c r="H1779" s="165">
        <v>1</v>
      </c>
      <c r="I1779" s="164" t="s">
        <v>187</v>
      </c>
      <c r="J1779" s="164" t="s">
        <v>4092</v>
      </c>
      <c r="K1779" s="164" t="s">
        <v>4093</v>
      </c>
      <c r="L1779" s="165">
        <v>5</v>
      </c>
      <c r="M1779" s="165">
        <v>5</v>
      </c>
      <c r="N1779" s="164" t="s">
        <v>1577</v>
      </c>
      <c r="O1779" s="165">
        <v>4</v>
      </c>
      <c r="P1779" s="165">
        <v>0</v>
      </c>
      <c r="Q1779" s="165">
        <v>21</v>
      </c>
      <c r="R1779" s="164" t="s">
        <v>200</v>
      </c>
      <c r="S1779" s="164" t="s">
        <v>201</v>
      </c>
      <c r="T1779" s="165">
        <v>442</v>
      </c>
      <c r="U1779" s="164" t="s">
        <v>200</v>
      </c>
      <c r="V1779" s="164" t="s">
        <v>720</v>
      </c>
      <c r="W1779" s="165">
        <v>3</v>
      </c>
      <c r="X1779" s="165">
        <v>2</v>
      </c>
      <c r="Y1779" s="164" t="s">
        <v>194</v>
      </c>
      <c r="Z1779" s="164" t="s">
        <v>195</v>
      </c>
      <c r="AA1779" s="164" t="s">
        <v>196</v>
      </c>
      <c r="AB1779" s="164" t="s">
        <v>209</v>
      </c>
      <c r="AC1779" s="164" t="s">
        <v>209</v>
      </c>
      <c r="AD1779" s="165">
        <v>1</v>
      </c>
      <c r="AE1779" s="164" t="s">
        <v>209</v>
      </c>
      <c r="AF1779" s="165">
        <v>1.3609128603402501</v>
      </c>
      <c r="AG1779" s="166">
        <v>103.759865355602</v>
      </c>
      <c r="AO1779" s="121"/>
      <c r="AT1779" s="111"/>
      <c r="AX1779" s="121"/>
    </row>
    <row r="1780" spans="1:50" s="110" customFormat="1" ht="20" customHeight="1">
      <c r="A1780" s="125" t="s">
        <v>408</v>
      </c>
      <c r="B1780" s="126" t="s">
        <v>64</v>
      </c>
      <c r="C1780" s="127">
        <v>11982</v>
      </c>
      <c r="D1780" s="163">
        <v>103544</v>
      </c>
      <c r="E1780" s="164" t="s">
        <v>718</v>
      </c>
      <c r="F1780" s="164" t="s">
        <v>718</v>
      </c>
      <c r="G1780" s="165">
        <v>4200</v>
      </c>
      <c r="H1780" s="165">
        <v>1</v>
      </c>
      <c r="I1780" s="164" t="s">
        <v>187</v>
      </c>
      <c r="J1780" s="164" t="s">
        <v>719</v>
      </c>
      <c r="K1780" s="164" t="s">
        <v>718</v>
      </c>
      <c r="L1780" s="165">
        <v>5</v>
      </c>
      <c r="M1780" s="165">
        <v>5</v>
      </c>
      <c r="N1780" s="164" t="s">
        <v>1577</v>
      </c>
      <c r="O1780" s="165">
        <v>0</v>
      </c>
      <c r="P1780" s="165">
        <v>0</v>
      </c>
      <c r="Q1780" s="165">
        <v>21</v>
      </c>
      <c r="R1780" s="164" t="s">
        <v>200</v>
      </c>
      <c r="S1780" s="164" t="s">
        <v>201</v>
      </c>
      <c r="T1780" s="165">
        <v>442</v>
      </c>
      <c r="U1780" s="164" t="s">
        <v>200</v>
      </c>
      <c r="V1780" s="164" t="s">
        <v>720</v>
      </c>
      <c r="W1780" s="165">
        <v>27</v>
      </c>
      <c r="X1780" s="165">
        <v>2</v>
      </c>
      <c r="Y1780" s="164" t="s">
        <v>194</v>
      </c>
      <c r="Z1780" s="164" t="s">
        <v>195</v>
      </c>
      <c r="AA1780" s="164" t="s">
        <v>196</v>
      </c>
      <c r="AB1780" s="164" t="s">
        <v>209</v>
      </c>
      <c r="AC1780" s="164" t="s">
        <v>209</v>
      </c>
      <c r="AD1780" s="165">
        <v>1</v>
      </c>
      <c r="AE1780" s="164" t="s">
        <v>187</v>
      </c>
      <c r="AF1780" s="165">
        <v>1.32609</v>
      </c>
      <c r="AG1780" s="166">
        <v>103.89896</v>
      </c>
      <c r="AO1780" s="121"/>
      <c r="AT1780" s="111"/>
      <c r="AX1780" s="121"/>
    </row>
    <row r="1781" spans="1:50" s="110" customFormat="1" ht="20" customHeight="1">
      <c r="A1781" s="125" t="s">
        <v>224</v>
      </c>
      <c r="B1781" s="126" t="s">
        <v>68</v>
      </c>
      <c r="C1781" s="127">
        <v>16965</v>
      </c>
      <c r="D1781" s="163">
        <v>112271</v>
      </c>
      <c r="E1781" s="164" t="s">
        <v>4527</v>
      </c>
      <c r="F1781" s="164" t="s">
        <v>4527</v>
      </c>
      <c r="G1781" s="165">
        <v>73000</v>
      </c>
      <c r="H1781" s="165">
        <v>1</v>
      </c>
      <c r="I1781" s="164" t="s">
        <v>187</v>
      </c>
      <c r="J1781" s="164" t="s">
        <v>1989</v>
      </c>
      <c r="K1781" s="164" t="s">
        <v>1990</v>
      </c>
      <c r="L1781" s="165">
        <v>5</v>
      </c>
      <c r="M1781" s="165">
        <v>5</v>
      </c>
      <c r="N1781" s="164" t="s">
        <v>1577</v>
      </c>
      <c r="O1781" s="165">
        <v>0.09</v>
      </c>
      <c r="P1781" s="168"/>
      <c r="Q1781" s="165">
        <v>21</v>
      </c>
      <c r="R1781" s="164" t="s">
        <v>200</v>
      </c>
      <c r="S1781" s="164" t="s">
        <v>201</v>
      </c>
      <c r="T1781" s="165">
        <v>442</v>
      </c>
      <c r="U1781" s="164" t="s">
        <v>200</v>
      </c>
      <c r="V1781" s="164" t="s">
        <v>720</v>
      </c>
      <c r="W1781" s="165">
        <v>2</v>
      </c>
      <c r="X1781" s="165">
        <v>4</v>
      </c>
      <c r="Y1781" s="164" t="s">
        <v>203</v>
      </c>
      <c r="Z1781" s="164" t="s">
        <v>195</v>
      </c>
      <c r="AA1781" s="164" t="s">
        <v>196</v>
      </c>
      <c r="AB1781" s="164" t="s">
        <v>187</v>
      </c>
      <c r="AC1781" s="164" t="s">
        <v>187</v>
      </c>
      <c r="AD1781" s="165">
        <v>1</v>
      </c>
      <c r="AE1781" s="164" t="s">
        <v>187</v>
      </c>
      <c r="AF1781" s="165">
        <v>7.0132545112533702</v>
      </c>
      <c r="AG1781" s="166">
        <v>80.766634999163102</v>
      </c>
      <c r="AO1781" s="121"/>
      <c r="AT1781" s="111"/>
      <c r="AX1781" s="121"/>
    </row>
    <row r="1782" spans="1:50" s="110" customFormat="1" ht="20" customHeight="1">
      <c r="A1782" s="125" t="s">
        <v>224</v>
      </c>
      <c r="B1782" s="126" t="s">
        <v>68</v>
      </c>
      <c r="C1782" s="127">
        <v>21453</v>
      </c>
      <c r="D1782" s="163">
        <v>118246</v>
      </c>
      <c r="E1782" s="164" t="s">
        <v>4517</v>
      </c>
      <c r="F1782" s="164" t="s">
        <v>4517</v>
      </c>
      <c r="G1782" s="165">
        <v>71000</v>
      </c>
      <c r="H1782" s="165">
        <v>1</v>
      </c>
      <c r="I1782" s="164" t="s">
        <v>187</v>
      </c>
      <c r="J1782" s="164" t="s">
        <v>1989</v>
      </c>
      <c r="K1782" s="164" t="s">
        <v>1990</v>
      </c>
      <c r="L1782" s="165">
        <v>5</v>
      </c>
      <c r="M1782" s="165">
        <v>5</v>
      </c>
      <c r="N1782" s="164" t="s">
        <v>1577</v>
      </c>
      <c r="O1782" s="165">
        <v>3.0670000000000002</v>
      </c>
      <c r="P1782" s="168"/>
      <c r="Q1782" s="165">
        <v>21</v>
      </c>
      <c r="R1782" s="164" t="s">
        <v>200</v>
      </c>
      <c r="S1782" s="164" t="s">
        <v>201</v>
      </c>
      <c r="T1782" s="165">
        <v>442</v>
      </c>
      <c r="U1782" s="164" t="s">
        <v>200</v>
      </c>
      <c r="V1782" s="164" t="s">
        <v>720</v>
      </c>
      <c r="W1782" s="165">
        <v>1</v>
      </c>
      <c r="X1782" s="165">
        <v>4</v>
      </c>
      <c r="Y1782" s="164" t="s">
        <v>203</v>
      </c>
      <c r="Z1782" s="164" t="s">
        <v>195</v>
      </c>
      <c r="AA1782" s="164" t="s">
        <v>196</v>
      </c>
      <c r="AB1782" s="164" t="s">
        <v>187</v>
      </c>
      <c r="AC1782" s="164" t="s">
        <v>187</v>
      </c>
      <c r="AD1782" s="165">
        <v>1</v>
      </c>
      <c r="AE1782" s="164" t="s">
        <v>209</v>
      </c>
      <c r="AF1782" s="165">
        <v>9.5385517443363206</v>
      </c>
      <c r="AG1782" s="166">
        <v>80.230831266978697</v>
      </c>
      <c r="AO1782" s="121"/>
      <c r="AT1782" s="111"/>
      <c r="AX1782" s="121"/>
    </row>
    <row r="1783" spans="1:50" s="110" customFormat="1" ht="20" customHeight="1">
      <c r="A1783" s="125" t="s">
        <v>224</v>
      </c>
      <c r="B1783" s="126" t="s">
        <v>68</v>
      </c>
      <c r="C1783" s="127">
        <v>17735</v>
      </c>
      <c r="D1783" s="163">
        <v>113193</v>
      </c>
      <c r="E1783" s="164" t="s">
        <v>4158</v>
      </c>
      <c r="F1783" s="164" t="s">
        <v>4158</v>
      </c>
      <c r="G1783" s="165">
        <v>25000</v>
      </c>
      <c r="H1783" s="165">
        <v>1</v>
      </c>
      <c r="I1783" s="164" t="s">
        <v>187</v>
      </c>
      <c r="J1783" s="164" t="s">
        <v>1989</v>
      </c>
      <c r="K1783" s="164" t="s">
        <v>1990</v>
      </c>
      <c r="L1783" s="165">
        <v>5</v>
      </c>
      <c r="M1783" s="165">
        <v>5</v>
      </c>
      <c r="N1783" s="164" t="s">
        <v>1577</v>
      </c>
      <c r="O1783" s="165">
        <v>0</v>
      </c>
      <c r="P1783" s="165">
        <v>0</v>
      </c>
      <c r="Q1783" s="165">
        <v>21</v>
      </c>
      <c r="R1783" s="164" t="s">
        <v>200</v>
      </c>
      <c r="S1783" s="164" t="s">
        <v>201</v>
      </c>
      <c r="T1783" s="165">
        <v>442</v>
      </c>
      <c r="U1783" s="164" t="s">
        <v>200</v>
      </c>
      <c r="V1783" s="164" t="s">
        <v>720</v>
      </c>
      <c r="W1783" s="165">
        <v>2</v>
      </c>
      <c r="X1783" s="165">
        <v>4</v>
      </c>
      <c r="Y1783" s="164" t="s">
        <v>203</v>
      </c>
      <c r="Z1783" s="164" t="s">
        <v>195</v>
      </c>
      <c r="AA1783" s="164" t="s">
        <v>196</v>
      </c>
      <c r="AB1783" s="164" t="s">
        <v>187</v>
      </c>
      <c r="AC1783" s="164" t="s">
        <v>187</v>
      </c>
      <c r="AD1783" s="165">
        <v>1</v>
      </c>
      <c r="AE1783" s="164" t="s">
        <v>187</v>
      </c>
      <c r="AF1783" s="165">
        <v>7.0131531199542003</v>
      </c>
      <c r="AG1783" s="166">
        <v>80.767135996388504</v>
      </c>
      <c r="AO1783" s="121"/>
      <c r="AT1783" s="111"/>
      <c r="AX1783" s="121"/>
    </row>
    <row r="1784" spans="1:50" s="110" customFormat="1" ht="20" customHeight="1">
      <c r="A1784" s="125" t="s">
        <v>224</v>
      </c>
      <c r="B1784" s="126" t="s">
        <v>68</v>
      </c>
      <c r="C1784" s="127">
        <v>18322</v>
      </c>
      <c r="D1784" s="163">
        <v>113869</v>
      </c>
      <c r="E1784" s="164" t="s">
        <v>4159</v>
      </c>
      <c r="F1784" s="164" t="s">
        <v>4159</v>
      </c>
      <c r="G1784" s="165">
        <v>25000</v>
      </c>
      <c r="H1784" s="165">
        <v>1</v>
      </c>
      <c r="I1784" s="164" t="s">
        <v>187</v>
      </c>
      <c r="J1784" s="164" t="s">
        <v>1989</v>
      </c>
      <c r="K1784" s="164" t="s">
        <v>1990</v>
      </c>
      <c r="L1784" s="165">
        <v>5</v>
      </c>
      <c r="M1784" s="165">
        <v>5</v>
      </c>
      <c r="N1784" s="164" t="s">
        <v>1577</v>
      </c>
      <c r="O1784" s="165">
        <v>0</v>
      </c>
      <c r="P1784" s="165">
        <v>0</v>
      </c>
      <c r="Q1784" s="165">
        <v>21</v>
      </c>
      <c r="R1784" s="164" t="s">
        <v>200</v>
      </c>
      <c r="S1784" s="164" t="s">
        <v>201</v>
      </c>
      <c r="T1784" s="165">
        <v>442</v>
      </c>
      <c r="U1784" s="164" t="s">
        <v>200</v>
      </c>
      <c r="V1784" s="164" t="s">
        <v>720</v>
      </c>
      <c r="W1784" s="165">
        <v>2</v>
      </c>
      <c r="X1784" s="165">
        <v>4</v>
      </c>
      <c r="Y1784" s="164" t="s">
        <v>203</v>
      </c>
      <c r="Z1784" s="164" t="s">
        <v>195</v>
      </c>
      <c r="AA1784" s="164" t="s">
        <v>196</v>
      </c>
      <c r="AB1784" s="164" t="s">
        <v>187</v>
      </c>
      <c r="AC1784" s="164" t="s">
        <v>187</v>
      </c>
      <c r="AD1784" s="165">
        <v>1</v>
      </c>
      <c r="AE1784" s="164" t="s">
        <v>187</v>
      </c>
      <c r="AF1784" s="165">
        <v>7.0134489128333399</v>
      </c>
      <c r="AG1784" s="166">
        <v>80.766201220733507</v>
      </c>
      <c r="AO1784" s="121"/>
      <c r="AT1784" s="111"/>
      <c r="AX1784" s="121"/>
    </row>
    <row r="1785" spans="1:50" s="110" customFormat="1" ht="20" customHeight="1">
      <c r="A1785" s="125" t="s">
        <v>224</v>
      </c>
      <c r="B1785" s="126" t="s">
        <v>68</v>
      </c>
      <c r="C1785" s="127">
        <v>16709</v>
      </c>
      <c r="D1785" s="163">
        <v>111944</v>
      </c>
      <c r="E1785" s="164" t="s">
        <v>2961</v>
      </c>
      <c r="F1785" s="164" t="s">
        <v>2961</v>
      </c>
      <c r="G1785" s="165">
        <v>10000</v>
      </c>
      <c r="H1785" s="165">
        <v>1</v>
      </c>
      <c r="I1785" s="164" t="s">
        <v>187</v>
      </c>
      <c r="J1785" s="164" t="s">
        <v>1989</v>
      </c>
      <c r="K1785" s="164" t="s">
        <v>1990</v>
      </c>
      <c r="L1785" s="165">
        <v>5</v>
      </c>
      <c r="M1785" s="165">
        <v>5</v>
      </c>
      <c r="N1785" s="164" t="s">
        <v>1577</v>
      </c>
      <c r="O1785" s="165">
        <v>1.2190000000000001</v>
      </c>
      <c r="P1785" s="168"/>
      <c r="Q1785" s="165">
        <v>21</v>
      </c>
      <c r="R1785" s="164" t="s">
        <v>200</v>
      </c>
      <c r="S1785" s="164" t="s">
        <v>201</v>
      </c>
      <c r="T1785" s="165">
        <v>442</v>
      </c>
      <c r="U1785" s="164" t="s">
        <v>200</v>
      </c>
      <c r="V1785" s="164" t="s">
        <v>720</v>
      </c>
      <c r="W1785" s="165">
        <v>5</v>
      </c>
      <c r="X1785" s="165">
        <v>4</v>
      </c>
      <c r="Y1785" s="164" t="s">
        <v>203</v>
      </c>
      <c r="Z1785" s="164" t="s">
        <v>195</v>
      </c>
      <c r="AA1785" s="164" t="s">
        <v>196</v>
      </c>
      <c r="AB1785" s="164" t="s">
        <v>187</v>
      </c>
      <c r="AC1785" s="164" t="s">
        <v>187</v>
      </c>
      <c r="AD1785" s="165">
        <v>1</v>
      </c>
      <c r="AE1785" s="164" t="s">
        <v>209</v>
      </c>
      <c r="AF1785" s="165">
        <v>7.0130916519699298</v>
      </c>
      <c r="AG1785" s="166">
        <v>80.766546731449395</v>
      </c>
      <c r="AO1785" s="121"/>
      <c r="AT1785" s="111"/>
      <c r="AX1785" s="121"/>
    </row>
    <row r="1786" spans="1:50" s="110" customFormat="1" ht="20" customHeight="1">
      <c r="A1786" s="125" t="s">
        <v>224</v>
      </c>
      <c r="B1786" s="126" t="s">
        <v>68</v>
      </c>
      <c r="C1786" s="127">
        <v>20802</v>
      </c>
      <c r="D1786" s="163">
        <v>117309</v>
      </c>
      <c r="E1786" s="164" t="s">
        <v>3329</v>
      </c>
      <c r="F1786" s="164" t="s">
        <v>3329</v>
      </c>
      <c r="G1786" s="165">
        <v>6200</v>
      </c>
      <c r="H1786" s="165">
        <v>1</v>
      </c>
      <c r="I1786" s="164" t="s">
        <v>187</v>
      </c>
      <c r="J1786" s="164" t="s">
        <v>1989</v>
      </c>
      <c r="K1786" s="164" t="s">
        <v>1990</v>
      </c>
      <c r="L1786" s="165">
        <v>5</v>
      </c>
      <c r="M1786" s="165">
        <v>5</v>
      </c>
      <c r="N1786" s="164" t="s">
        <v>1577</v>
      </c>
      <c r="O1786" s="165">
        <v>0</v>
      </c>
      <c r="P1786" s="165">
        <v>0</v>
      </c>
      <c r="Q1786" s="165">
        <v>21</v>
      </c>
      <c r="R1786" s="164" t="s">
        <v>200</v>
      </c>
      <c r="S1786" s="164" t="s">
        <v>201</v>
      </c>
      <c r="T1786" s="165">
        <v>442</v>
      </c>
      <c r="U1786" s="164" t="s">
        <v>200</v>
      </c>
      <c r="V1786" s="164" t="s">
        <v>720</v>
      </c>
      <c r="W1786" s="165">
        <v>1</v>
      </c>
      <c r="X1786" s="165">
        <v>4</v>
      </c>
      <c r="Y1786" s="164" t="s">
        <v>203</v>
      </c>
      <c r="Z1786" s="164" t="s">
        <v>195</v>
      </c>
      <c r="AA1786" s="164" t="s">
        <v>196</v>
      </c>
      <c r="AB1786" s="164" t="s">
        <v>187</v>
      </c>
      <c r="AC1786" s="164" t="s">
        <v>187</v>
      </c>
      <c r="AD1786" s="165">
        <v>1</v>
      </c>
      <c r="AE1786" s="164" t="s">
        <v>187</v>
      </c>
      <c r="AF1786" s="165">
        <v>7.12507</v>
      </c>
      <c r="AG1786" s="166">
        <v>80.009129999999999</v>
      </c>
      <c r="AO1786" s="121"/>
      <c r="AT1786" s="111"/>
      <c r="AX1786" s="121"/>
    </row>
    <row r="1787" spans="1:50" s="110" customFormat="1" ht="20" customHeight="1">
      <c r="A1787" s="125" t="s">
        <v>224</v>
      </c>
      <c r="B1787" s="126" t="s">
        <v>68</v>
      </c>
      <c r="C1787" s="127">
        <v>17591</v>
      </c>
      <c r="D1787" s="163">
        <v>113020</v>
      </c>
      <c r="E1787" s="164" t="s">
        <v>2395</v>
      </c>
      <c r="F1787" s="164" t="s">
        <v>2395</v>
      </c>
      <c r="G1787" s="165">
        <v>1100</v>
      </c>
      <c r="H1787" s="165">
        <v>1</v>
      </c>
      <c r="I1787" s="164" t="s">
        <v>187</v>
      </c>
      <c r="J1787" s="164" t="s">
        <v>1989</v>
      </c>
      <c r="K1787" s="164" t="s">
        <v>1990</v>
      </c>
      <c r="L1787" s="165">
        <v>5</v>
      </c>
      <c r="M1787" s="165">
        <v>5</v>
      </c>
      <c r="N1787" s="164" t="s">
        <v>1577</v>
      </c>
      <c r="O1787" s="165">
        <v>2.7770000000000001</v>
      </c>
      <c r="P1787" s="168"/>
      <c r="Q1787" s="165">
        <v>21</v>
      </c>
      <c r="R1787" s="164" t="s">
        <v>200</v>
      </c>
      <c r="S1787" s="164" t="s">
        <v>201</v>
      </c>
      <c r="T1787" s="165">
        <v>442</v>
      </c>
      <c r="U1787" s="164" t="s">
        <v>200</v>
      </c>
      <c r="V1787" s="164" t="s">
        <v>720</v>
      </c>
      <c r="W1787" s="165">
        <v>2</v>
      </c>
      <c r="X1787" s="165">
        <v>4</v>
      </c>
      <c r="Y1787" s="164" t="s">
        <v>203</v>
      </c>
      <c r="Z1787" s="164" t="s">
        <v>195</v>
      </c>
      <c r="AA1787" s="164" t="s">
        <v>196</v>
      </c>
      <c r="AB1787" s="164" t="s">
        <v>187</v>
      </c>
      <c r="AC1787" s="164" t="s">
        <v>187</v>
      </c>
      <c r="AD1787" s="165">
        <v>1</v>
      </c>
      <c r="AE1787" s="164" t="s">
        <v>209</v>
      </c>
      <c r="AF1787" s="165">
        <v>7.0129397115236403</v>
      </c>
      <c r="AG1787" s="166">
        <v>80.766403785037198</v>
      </c>
      <c r="AO1787" s="121"/>
      <c r="AT1787" s="111"/>
      <c r="AX1787" s="121"/>
    </row>
    <row r="1788" spans="1:50" s="110" customFormat="1" ht="20" customHeight="1">
      <c r="A1788" s="125" t="s">
        <v>224</v>
      </c>
      <c r="B1788" s="126" t="s">
        <v>68</v>
      </c>
      <c r="C1788" s="127">
        <v>17379</v>
      </c>
      <c r="D1788" s="163">
        <v>112774</v>
      </c>
      <c r="E1788" s="164" t="s">
        <v>2293</v>
      </c>
      <c r="F1788" s="164" t="s">
        <v>2293</v>
      </c>
      <c r="G1788" s="165">
        <v>900</v>
      </c>
      <c r="H1788" s="165">
        <v>1</v>
      </c>
      <c r="I1788" s="164" t="s">
        <v>187</v>
      </c>
      <c r="J1788" s="164" t="s">
        <v>2228</v>
      </c>
      <c r="K1788" s="164" t="s">
        <v>2229</v>
      </c>
      <c r="L1788" s="165">
        <v>5</v>
      </c>
      <c r="M1788" s="165">
        <v>5</v>
      </c>
      <c r="N1788" s="164" t="s">
        <v>1577</v>
      </c>
      <c r="O1788" s="165">
        <v>0</v>
      </c>
      <c r="P1788" s="165">
        <v>0</v>
      </c>
      <c r="Q1788" s="165">
        <v>21</v>
      </c>
      <c r="R1788" s="164" t="s">
        <v>200</v>
      </c>
      <c r="S1788" s="164" t="s">
        <v>201</v>
      </c>
      <c r="T1788" s="165">
        <v>442</v>
      </c>
      <c r="U1788" s="164" t="s">
        <v>200</v>
      </c>
      <c r="V1788" s="164" t="s">
        <v>720</v>
      </c>
      <c r="W1788" s="165">
        <v>5</v>
      </c>
      <c r="X1788" s="165">
        <v>4</v>
      </c>
      <c r="Y1788" s="164" t="s">
        <v>203</v>
      </c>
      <c r="Z1788" s="164" t="s">
        <v>195</v>
      </c>
      <c r="AA1788" s="164" t="s">
        <v>196</v>
      </c>
      <c r="AB1788" s="164" t="s">
        <v>187</v>
      </c>
      <c r="AC1788" s="164" t="s">
        <v>187</v>
      </c>
      <c r="AD1788" s="165">
        <v>1</v>
      </c>
      <c r="AE1788" s="164" t="s">
        <v>187</v>
      </c>
      <c r="AF1788" s="165">
        <v>7.0129585399402901</v>
      </c>
      <c r="AG1788" s="166">
        <v>80.766946776085405</v>
      </c>
      <c r="AO1788" s="121"/>
      <c r="AT1788" s="111"/>
      <c r="AX1788" s="121"/>
    </row>
    <row r="1789" spans="1:50" s="110" customFormat="1" ht="20" customHeight="1">
      <c r="A1789" s="125" t="s">
        <v>224</v>
      </c>
      <c r="B1789" s="126" t="s">
        <v>68</v>
      </c>
      <c r="C1789" s="127">
        <v>19068</v>
      </c>
      <c r="D1789" s="163">
        <v>115279</v>
      </c>
      <c r="E1789" s="164" t="s">
        <v>2138</v>
      </c>
      <c r="F1789" s="164" t="s">
        <v>2138</v>
      </c>
      <c r="G1789" s="165">
        <v>700</v>
      </c>
      <c r="H1789" s="165">
        <v>1</v>
      </c>
      <c r="I1789" s="164" t="s">
        <v>187</v>
      </c>
      <c r="J1789" s="164" t="s">
        <v>2139</v>
      </c>
      <c r="K1789" s="164" t="s">
        <v>2140</v>
      </c>
      <c r="L1789" s="165">
        <v>5</v>
      </c>
      <c r="M1789" s="165">
        <v>5</v>
      </c>
      <c r="N1789" s="164" t="s">
        <v>1577</v>
      </c>
      <c r="O1789" s="165">
        <v>0</v>
      </c>
      <c r="P1789" s="165">
        <v>0</v>
      </c>
      <c r="Q1789" s="165">
        <v>21</v>
      </c>
      <c r="R1789" s="164" t="s">
        <v>200</v>
      </c>
      <c r="S1789" s="164" t="s">
        <v>201</v>
      </c>
      <c r="T1789" s="165">
        <v>442</v>
      </c>
      <c r="U1789" s="164" t="s">
        <v>200</v>
      </c>
      <c r="V1789" s="164" t="s">
        <v>720</v>
      </c>
      <c r="W1789" s="165">
        <v>2</v>
      </c>
      <c r="X1789" s="165">
        <v>4</v>
      </c>
      <c r="Y1789" s="164" t="s">
        <v>203</v>
      </c>
      <c r="Z1789" s="164" t="s">
        <v>195</v>
      </c>
      <c r="AA1789" s="164" t="s">
        <v>196</v>
      </c>
      <c r="AB1789" s="164" t="s">
        <v>187</v>
      </c>
      <c r="AC1789" s="164" t="s">
        <v>187</v>
      </c>
      <c r="AD1789" s="165">
        <v>1</v>
      </c>
      <c r="AE1789" s="164" t="s">
        <v>187</v>
      </c>
      <c r="AF1789" s="165">
        <v>7.0127380554248804</v>
      </c>
      <c r="AG1789" s="166">
        <v>80.766985446907199</v>
      </c>
      <c r="AO1789" s="121"/>
      <c r="AT1789" s="111"/>
      <c r="AX1789" s="121"/>
    </row>
    <row r="1790" spans="1:50" s="110" customFormat="1" ht="20" customHeight="1">
      <c r="A1790" s="125" t="s">
        <v>224</v>
      </c>
      <c r="B1790" s="126" t="s">
        <v>68</v>
      </c>
      <c r="C1790" s="127">
        <v>16444</v>
      </c>
      <c r="D1790" s="163">
        <v>111597</v>
      </c>
      <c r="E1790" s="164" t="s">
        <v>2061</v>
      </c>
      <c r="F1790" s="164" t="s">
        <v>2061</v>
      </c>
      <c r="G1790" s="165">
        <v>600</v>
      </c>
      <c r="H1790" s="165">
        <v>1</v>
      </c>
      <c r="I1790" s="164" t="s">
        <v>187</v>
      </c>
      <c r="J1790" s="164" t="s">
        <v>1989</v>
      </c>
      <c r="K1790" s="164" t="s">
        <v>1990</v>
      </c>
      <c r="L1790" s="165">
        <v>5</v>
      </c>
      <c r="M1790" s="165">
        <v>5</v>
      </c>
      <c r="N1790" s="164" t="s">
        <v>1577</v>
      </c>
      <c r="O1790" s="165">
        <v>0</v>
      </c>
      <c r="P1790" s="165">
        <v>0</v>
      </c>
      <c r="Q1790" s="165">
        <v>21</v>
      </c>
      <c r="R1790" s="164" t="s">
        <v>200</v>
      </c>
      <c r="S1790" s="164" t="s">
        <v>201</v>
      </c>
      <c r="T1790" s="165">
        <v>442</v>
      </c>
      <c r="U1790" s="164" t="s">
        <v>200</v>
      </c>
      <c r="V1790" s="164" t="s">
        <v>720</v>
      </c>
      <c r="W1790" s="165">
        <v>2</v>
      </c>
      <c r="X1790" s="165">
        <v>4</v>
      </c>
      <c r="Y1790" s="164" t="s">
        <v>203</v>
      </c>
      <c r="Z1790" s="164" t="s">
        <v>195</v>
      </c>
      <c r="AA1790" s="164" t="s">
        <v>196</v>
      </c>
      <c r="AB1790" s="164" t="s">
        <v>187</v>
      </c>
      <c r="AC1790" s="164" t="s">
        <v>187</v>
      </c>
      <c r="AD1790" s="165">
        <v>1</v>
      </c>
      <c r="AE1790" s="164" t="s">
        <v>187</v>
      </c>
      <c r="AF1790" s="165">
        <v>6.8681700000000001</v>
      </c>
      <c r="AG1790" s="166">
        <v>80.020849999999996</v>
      </c>
      <c r="AO1790" s="121"/>
      <c r="AT1790" s="111"/>
      <c r="AX1790" s="121"/>
    </row>
    <row r="1791" spans="1:50" s="110" customFormat="1" ht="20" customHeight="1">
      <c r="A1791" s="125" t="s">
        <v>224</v>
      </c>
      <c r="B1791" s="126" t="s">
        <v>68</v>
      </c>
      <c r="C1791" s="127">
        <v>21448</v>
      </c>
      <c r="D1791" s="157">
        <v>118265</v>
      </c>
      <c r="E1791" s="158" t="s">
        <v>4874</v>
      </c>
      <c r="F1791" s="158" t="s">
        <v>4874</v>
      </c>
      <c r="G1791" s="159">
        <v>1157000</v>
      </c>
      <c r="H1791" s="159">
        <v>2</v>
      </c>
      <c r="I1791" s="158" t="s">
        <v>209</v>
      </c>
      <c r="J1791" s="158" t="s">
        <v>1989</v>
      </c>
      <c r="K1791" s="158" t="s">
        <v>1990</v>
      </c>
      <c r="L1791" s="159">
        <v>5</v>
      </c>
      <c r="M1791" s="159">
        <v>5</v>
      </c>
      <c r="N1791" s="158" t="s">
        <v>1577</v>
      </c>
      <c r="O1791" s="159">
        <v>14.795999999999999</v>
      </c>
      <c r="P1791" s="160"/>
      <c r="Q1791" s="159">
        <v>21</v>
      </c>
      <c r="R1791" s="158" t="s">
        <v>200</v>
      </c>
      <c r="S1791" s="158" t="s">
        <v>201</v>
      </c>
      <c r="T1791" s="159">
        <v>442</v>
      </c>
      <c r="U1791" s="158" t="s">
        <v>200</v>
      </c>
      <c r="V1791" s="158" t="s">
        <v>720</v>
      </c>
      <c r="W1791" s="159">
        <v>1</v>
      </c>
      <c r="X1791" s="159">
        <v>4</v>
      </c>
      <c r="Y1791" s="158" t="s">
        <v>203</v>
      </c>
      <c r="Z1791" s="158" t="s">
        <v>195</v>
      </c>
      <c r="AA1791" s="158" t="s">
        <v>196</v>
      </c>
      <c r="AB1791" s="158" t="s">
        <v>187</v>
      </c>
      <c r="AC1791" s="158" t="s">
        <v>187</v>
      </c>
      <c r="AD1791" s="160"/>
      <c r="AE1791" s="158" t="s">
        <v>209</v>
      </c>
      <c r="AF1791" s="159">
        <v>9.5388541283923391</v>
      </c>
      <c r="AG1791" s="161">
        <v>80.230225219955003</v>
      </c>
      <c r="AO1791" s="121"/>
      <c r="AT1791" s="111"/>
      <c r="AX1791" s="121"/>
    </row>
    <row r="1792" spans="1:50" s="110" customFormat="1" ht="20" customHeight="1">
      <c r="A1792" s="125" t="s">
        <v>224</v>
      </c>
      <c r="B1792" s="126" t="s">
        <v>68</v>
      </c>
      <c r="C1792" s="127">
        <v>21415</v>
      </c>
      <c r="D1792" s="157">
        <v>118221</v>
      </c>
      <c r="E1792" s="158" t="s">
        <v>4750</v>
      </c>
      <c r="F1792" s="158" t="s">
        <v>4750</v>
      </c>
      <c r="G1792" s="159">
        <v>208000</v>
      </c>
      <c r="H1792" s="159">
        <v>2</v>
      </c>
      <c r="I1792" s="158" t="s">
        <v>209</v>
      </c>
      <c r="J1792" s="158" t="s">
        <v>1989</v>
      </c>
      <c r="K1792" s="158" t="s">
        <v>1990</v>
      </c>
      <c r="L1792" s="159">
        <v>5</v>
      </c>
      <c r="M1792" s="159">
        <v>5</v>
      </c>
      <c r="N1792" s="158" t="s">
        <v>1577</v>
      </c>
      <c r="O1792" s="159">
        <v>17.021999999999998</v>
      </c>
      <c r="P1792" s="160"/>
      <c r="Q1792" s="159">
        <v>21</v>
      </c>
      <c r="R1792" s="158" t="s">
        <v>200</v>
      </c>
      <c r="S1792" s="158" t="s">
        <v>201</v>
      </c>
      <c r="T1792" s="159">
        <v>442</v>
      </c>
      <c r="U1792" s="158" t="s">
        <v>200</v>
      </c>
      <c r="V1792" s="158" t="s">
        <v>720</v>
      </c>
      <c r="W1792" s="159">
        <v>1</v>
      </c>
      <c r="X1792" s="159">
        <v>4</v>
      </c>
      <c r="Y1792" s="158" t="s">
        <v>203</v>
      </c>
      <c r="Z1792" s="158" t="s">
        <v>195</v>
      </c>
      <c r="AA1792" s="158" t="s">
        <v>196</v>
      </c>
      <c r="AB1792" s="158" t="s">
        <v>187</v>
      </c>
      <c r="AC1792" s="158" t="s">
        <v>187</v>
      </c>
      <c r="AD1792" s="160"/>
      <c r="AE1792" s="158" t="s">
        <v>209</v>
      </c>
      <c r="AF1792" s="159">
        <v>9.5387423548263399</v>
      </c>
      <c r="AG1792" s="161">
        <v>80.230631627405799</v>
      </c>
      <c r="AO1792" s="121"/>
      <c r="AT1792" s="111"/>
      <c r="AX1792" s="121"/>
    </row>
    <row r="1793" spans="1:50" s="110" customFormat="1" ht="20" customHeight="1">
      <c r="A1793" s="125" t="s">
        <v>224</v>
      </c>
      <c r="B1793" s="126" t="s">
        <v>68</v>
      </c>
      <c r="C1793" s="127">
        <v>21410</v>
      </c>
      <c r="D1793" s="157">
        <v>118216</v>
      </c>
      <c r="E1793" s="158" t="s">
        <v>4733</v>
      </c>
      <c r="F1793" s="158" t="s">
        <v>4733</v>
      </c>
      <c r="G1793" s="159">
        <v>193000</v>
      </c>
      <c r="H1793" s="159">
        <v>2</v>
      </c>
      <c r="I1793" s="158" t="s">
        <v>209</v>
      </c>
      <c r="J1793" s="158" t="s">
        <v>1989</v>
      </c>
      <c r="K1793" s="158" t="s">
        <v>1990</v>
      </c>
      <c r="L1793" s="159">
        <v>5</v>
      </c>
      <c r="M1793" s="159">
        <v>5</v>
      </c>
      <c r="N1793" s="158" t="s">
        <v>1577</v>
      </c>
      <c r="O1793" s="159">
        <v>15.805999999999999</v>
      </c>
      <c r="P1793" s="160"/>
      <c r="Q1793" s="159">
        <v>21</v>
      </c>
      <c r="R1793" s="158" t="s">
        <v>200</v>
      </c>
      <c r="S1793" s="158" t="s">
        <v>201</v>
      </c>
      <c r="T1793" s="159">
        <v>442</v>
      </c>
      <c r="U1793" s="158" t="s">
        <v>200</v>
      </c>
      <c r="V1793" s="158" t="s">
        <v>720</v>
      </c>
      <c r="W1793" s="159">
        <v>1</v>
      </c>
      <c r="X1793" s="159">
        <v>4</v>
      </c>
      <c r="Y1793" s="158" t="s">
        <v>203</v>
      </c>
      <c r="Z1793" s="158" t="s">
        <v>195</v>
      </c>
      <c r="AA1793" s="158" t="s">
        <v>196</v>
      </c>
      <c r="AB1793" s="158" t="s">
        <v>187</v>
      </c>
      <c r="AC1793" s="158" t="s">
        <v>187</v>
      </c>
      <c r="AD1793" s="160"/>
      <c r="AE1793" s="158" t="s">
        <v>209</v>
      </c>
      <c r="AF1793" s="159">
        <v>9.5387749913752593</v>
      </c>
      <c r="AG1793" s="161">
        <v>80.231005757477504</v>
      </c>
      <c r="AO1793" s="121"/>
      <c r="AT1793" s="111"/>
      <c r="AX1793" s="121"/>
    </row>
    <row r="1794" spans="1:50" s="110" customFormat="1" ht="20" customHeight="1">
      <c r="A1794" s="125" t="s">
        <v>224</v>
      </c>
      <c r="B1794" s="126" t="s">
        <v>68</v>
      </c>
      <c r="C1794" s="127">
        <v>21447</v>
      </c>
      <c r="D1794" s="157">
        <v>118264</v>
      </c>
      <c r="E1794" s="158" t="s">
        <v>4596</v>
      </c>
      <c r="F1794" s="158" t="s">
        <v>4596</v>
      </c>
      <c r="G1794" s="159">
        <v>99000</v>
      </c>
      <c r="H1794" s="159">
        <v>2</v>
      </c>
      <c r="I1794" s="158" t="s">
        <v>209</v>
      </c>
      <c r="J1794" s="158" t="s">
        <v>1989</v>
      </c>
      <c r="K1794" s="158" t="s">
        <v>1990</v>
      </c>
      <c r="L1794" s="159">
        <v>5</v>
      </c>
      <c r="M1794" s="159">
        <v>5</v>
      </c>
      <c r="N1794" s="158" t="s">
        <v>1577</v>
      </c>
      <c r="O1794" s="159">
        <v>15.455</v>
      </c>
      <c r="P1794" s="160"/>
      <c r="Q1794" s="159">
        <v>21</v>
      </c>
      <c r="R1794" s="158" t="s">
        <v>200</v>
      </c>
      <c r="S1794" s="158" t="s">
        <v>201</v>
      </c>
      <c r="T1794" s="159">
        <v>442</v>
      </c>
      <c r="U1794" s="158" t="s">
        <v>200</v>
      </c>
      <c r="V1794" s="158" t="s">
        <v>720</v>
      </c>
      <c r="W1794" s="159">
        <v>1</v>
      </c>
      <c r="X1794" s="159">
        <v>4</v>
      </c>
      <c r="Y1794" s="158" t="s">
        <v>203</v>
      </c>
      <c r="Z1794" s="158" t="s">
        <v>195</v>
      </c>
      <c r="AA1794" s="158" t="s">
        <v>196</v>
      </c>
      <c r="AB1794" s="158" t="s">
        <v>187</v>
      </c>
      <c r="AC1794" s="158" t="s">
        <v>187</v>
      </c>
      <c r="AD1794" s="160"/>
      <c r="AE1794" s="158" t="s">
        <v>209</v>
      </c>
      <c r="AF1794" s="159">
        <v>7.7888664877377503</v>
      </c>
      <c r="AG1794" s="161">
        <v>81.497489921578804</v>
      </c>
      <c r="AO1794" s="121"/>
      <c r="AT1794" s="111"/>
      <c r="AX1794" s="121"/>
    </row>
    <row r="1795" spans="1:50" s="110" customFormat="1" ht="20" customHeight="1">
      <c r="A1795" s="125" t="s">
        <v>224</v>
      </c>
      <c r="B1795" s="126" t="s">
        <v>68</v>
      </c>
      <c r="C1795" s="127">
        <v>21419</v>
      </c>
      <c r="D1795" s="157">
        <v>118230</v>
      </c>
      <c r="E1795" s="158" t="s">
        <v>4567</v>
      </c>
      <c r="F1795" s="158" t="s">
        <v>4567</v>
      </c>
      <c r="G1795" s="159">
        <v>85000</v>
      </c>
      <c r="H1795" s="159">
        <v>2</v>
      </c>
      <c r="I1795" s="158" t="s">
        <v>209</v>
      </c>
      <c r="J1795" s="158" t="s">
        <v>1989</v>
      </c>
      <c r="K1795" s="158" t="s">
        <v>1990</v>
      </c>
      <c r="L1795" s="159">
        <v>5</v>
      </c>
      <c r="M1795" s="159">
        <v>5</v>
      </c>
      <c r="N1795" s="158" t="s">
        <v>1577</v>
      </c>
      <c r="O1795" s="159">
        <v>16.489999999999998</v>
      </c>
      <c r="P1795" s="160"/>
      <c r="Q1795" s="159">
        <v>21</v>
      </c>
      <c r="R1795" s="158" t="s">
        <v>200</v>
      </c>
      <c r="S1795" s="158" t="s">
        <v>201</v>
      </c>
      <c r="T1795" s="159">
        <v>442</v>
      </c>
      <c r="U1795" s="158" t="s">
        <v>200</v>
      </c>
      <c r="V1795" s="158" t="s">
        <v>720</v>
      </c>
      <c r="W1795" s="159">
        <v>1</v>
      </c>
      <c r="X1795" s="159">
        <v>4</v>
      </c>
      <c r="Y1795" s="158" t="s">
        <v>203</v>
      </c>
      <c r="Z1795" s="158" t="s">
        <v>195</v>
      </c>
      <c r="AA1795" s="158" t="s">
        <v>196</v>
      </c>
      <c r="AB1795" s="158" t="s">
        <v>187</v>
      </c>
      <c r="AC1795" s="158" t="s">
        <v>187</v>
      </c>
      <c r="AD1795" s="160"/>
      <c r="AE1795" s="158" t="s">
        <v>209</v>
      </c>
      <c r="AF1795" s="159">
        <v>9.5391756862824604</v>
      </c>
      <c r="AG1795" s="161">
        <v>80.230799191113107</v>
      </c>
      <c r="AO1795" s="121"/>
      <c r="AT1795" s="111"/>
      <c r="AX1795" s="121"/>
    </row>
    <row r="1796" spans="1:50" s="110" customFormat="1" ht="20" customHeight="1">
      <c r="A1796" s="125" t="s">
        <v>224</v>
      </c>
      <c r="B1796" s="126" t="s">
        <v>68</v>
      </c>
      <c r="C1796" s="127">
        <v>17199</v>
      </c>
      <c r="D1796" s="157">
        <v>112563</v>
      </c>
      <c r="E1796" s="158" t="s">
        <v>4542</v>
      </c>
      <c r="F1796" s="158" t="s">
        <v>4542</v>
      </c>
      <c r="G1796" s="159">
        <v>78000</v>
      </c>
      <c r="H1796" s="159">
        <v>2</v>
      </c>
      <c r="I1796" s="158" t="s">
        <v>209</v>
      </c>
      <c r="J1796" s="158" t="s">
        <v>1989</v>
      </c>
      <c r="K1796" s="158" t="s">
        <v>1990</v>
      </c>
      <c r="L1796" s="159">
        <v>5</v>
      </c>
      <c r="M1796" s="159">
        <v>5</v>
      </c>
      <c r="N1796" s="158" t="s">
        <v>1577</v>
      </c>
      <c r="O1796" s="159">
        <v>12.516</v>
      </c>
      <c r="P1796" s="160"/>
      <c r="Q1796" s="159">
        <v>21</v>
      </c>
      <c r="R1796" s="158" t="s">
        <v>200</v>
      </c>
      <c r="S1796" s="158" t="s">
        <v>201</v>
      </c>
      <c r="T1796" s="159">
        <v>442</v>
      </c>
      <c r="U1796" s="158" t="s">
        <v>200</v>
      </c>
      <c r="V1796" s="158" t="s">
        <v>720</v>
      </c>
      <c r="W1796" s="159">
        <v>2</v>
      </c>
      <c r="X1796" s="159">
        <v>4</v>
      </c>
      <c r="Y1796" s="158" t="s">
        <v>203</v>
      </c>
      <c r="Z1796" s="158" t="s">
        <v>195</v>
      </c>
      <c r="AA1796" s="158" t="s">
        <v>196</v>
      </c>
      <c r="AB1796" s="158" t="s">
        <v>187</v>
      </c>
      <c r="AC1796" s="158" t="s">
        <v>187</v>
      </c>
      <c r="AD1796" s="160"/>
      <c r="AE1796" s="158" t="s">
        <v>209</v>
      </c>
      <c r="AF1796" s="159">
        <v>7.0132846072096102</v>
      </c>
      <c r="AG1796" s="161">
        <v>80.766993835906902</v>
      </c>
      <c r="AO1796" s="121"/>
      <c r="AT1796" s="111"/>
      <c r="AX1796" s="121"/>
    </row>
    <row r="1797" spans="1:50" s="110" customFormat="1" ht="20" customHeight="1">
      <c r="A1797" s="125" t="s">
        <v>224</v>
      </c>
      <c r="B1797" s="126" t="s">
        <v>68</v>
      </c>
      <c r="C1797" s="127">
        <v>21430</v>
      </c>
      <c r="D1797" s="157">
        <v>118243</v>
      </c>
      <c r="E1797" s="158" t="s">
        <v>4509</v>
      </c>
      <c r="F1797" s="158" t="s">
        <v>4509</v>
      </c>
      <c r="G1797" s="159">
        <v>69000</v>
      </c>
      <c r="H1797" s="159">
        <v>2</v>
      </c>
      <c r="I1797" s="158" t="s">
        <v>209</v>
      </c>
      <c r="J1797" s="158" t="s">
        <v>1989</v>
      </c>
      <c r="K1797" s="158" t="s">
        <v>1990</v>
      </c>
      <c r="L1797" s="159">
        <v>5</v>
      </c>
      <c r="M1797" s="159">
        <v>5</v>
      </c>
      <c r="N1797" s="158" t="s">
        <v>1577</v>
      </c>
      <c r="O1797" s="159">
        <v>15.032</v>
      </c>
      <c r="P1797" s="160"/>
      <c r="Q1797" s="159">
        <v>21</v>
      </c>
      <c r="R1797" s="158" t="s">
        <v>200</v>
      </c>
      <c r="S1797" s="158" t="s">
        <v>201</v>
      </c>
      <c r="T1797" s="159">
        <v>442</v>
      </c>
      <c r="U1797" s="158" t="s">
        <v>200</v>
      </c>
      <c r="V1797" s="158" t="s">
        <v>720</v>
      </c>
      <c r="W1797" s="159">
        <v>1</v>
      </c>
      <c r="X1797" s="159">
        <v>4</v>
      </c>
      <c r="Y1797" s="158" t="s">
        <v>203</v>
      </c>
      <c r="Z1797" s="158" t="s">
        <v>195</v>
      </c>
      <c r="AA1797" s="158" t="s">
        <v>196</v>
      </c>
      <c r="AB1797" s="158" t="s">
        <v>187</v>
      </c>
      <c r="AC1797" s="158" t="s">
        <v>187</v>
      </c>
      <c r="AD1797" s="160"/>
      <c r="AE1797" s="158" t="s">
        <v>209</v>
      </c>
      <c r="AF1797" s="159">
        <v>9.5390230280823207</v>
      </c>
      <c r="AG1797" s="161">
        <v>80.230425196778398</v>
      </c>
      <c r="AO1797" s="121"/>
      <c r="AT1797" s="111"/>
      <c r="AX1797" s="121"/>
    </row>
    <row r="1798" spans="1:50" s="110" customFormat="1" ht="20" customHeight="1">
      <c r="A1798" s="125" t="s">
        <v>224</v>
      </c>
      <c r="B1798" s="126" t="s">
        <v>68</v>
      </c>
      <c r="C1798" s="127">
        <v>21425</v>
      </c>
      <c r="D1798" s="157">
        <v>118238</v>
      </c>
      <c r="E1798" s="158" t="s">
        <v>4499</v>
      </c>
      <c r="F1798" s="158" t="s">
        <v>4499</v>
      </c>
      <c r="G1798" s="159">
        <v>68000</v>
      </c>
      <c r="H1798" s="159">
        <v>2</v>
      </c>
      <c r="I1798" s="158" t="s">
        <v>209</v>
      </c>
      <c r="J1798" s="158" t="s">
        <v>1989</v>
      </c>
      <c r="K1798" s="158" t="s">
        <v>1990</v>
      </c>
      <c r="L1798" s="159">
        <v>5</v>
      </c>
      <c r="M1798" s="159">
        <v>5</v>
      </c>
      <c r="N1798" s="158" t="s">
        <v>1577</v>
      </c>
      <c r="O1798" s="159">
        <v>16.04</v>
      </c>
      <c r="P1798" s="160"/>
      <c r="Q1798" s="159">
        <v>21</v>
      </c>
      <c r="R1798" s="158" t="s">
        <v>200</v>
      </c>
      <c r="S1798" s="158" t="s">
        <v>201</v>
      </c>
      <c r="T1798" s="159">
        <v>442</v>
      </c>
      <c r="U1798" s="158" t="s">
        <v>200</v>
      </c>
      <c r="V1798" s="158" t="s">
        <v>720</v>
      </c>
      <c r="W1798" s="159">
        <v>1</v>
      </c>
      <c r="X1798" s="159">
        <v>4</v>
      </c>
      <c r="Y1798" s="158" t="s">
        <v>203</v>
      </c>
      <c r="Z1798" s="158" t="s">
        <v>195</v>
      </c>
      <c r="AA1798" s="158" t="s">
        <v>196</v>
      </c>
      <c r="AB1798" s="158" t="s">
        <v>187</v>
      </c>
      <c r="AC1798" s="158" t="s">
        <v>187</v>
      </c>
      <c r="AD1798" s="160"/>
      <c r="AE1798" s="158" t="s">
        <v>209</v>
      </c>
      <c r="AF1798" s="159">
        <v>7.7882298808387604</v>
      </c>
      <c r="AG1798" s="161">
        <v>81.497596497662798</v>
      </c>
      <c r="AO1798" s="121"/>
      <c r="AT1798" s="111"/>
      <c r="AX1798" s="121"/>
    </row>
    <row r="1799" spans="1:50" s="110" customFormat="1" ht="20" customHeight="1">
      <c r="A1799" s="125" t="s">
        <v>224</v>
      </c>
      <c r="B1799" s="126" t="s">
        <v>68</v>
      </c>
      <c r="C1799" s="127">
        <v>21421</v>
      </c>
      <c r="D1799" s="157">
        <v>118232</v>
      </c>
      <c r="E1799" s="158" t="s">
        <v>4391</v>
      </c>
      <c r="F1799" s="158" t="s">
        <v>4391</v>
      </c>
      <c r="G1799" s="159">
        <v>44000</v>
      </c>
      <c r="H1799" s="159">
        <v>2</v>
      </c>
      <c r="I1799" s="158" t="s">
        <v>209</v>
      </c>
      <c r="J1799" s="158" t="s">
        <v>1989</v>
      </c>
      <c r="K1799" s="158" t="s">
        <v>1990</v>
      </c>
      <c r="L1799" s="159">
        <v>5</v>
      </c>
      <c r="M1799" s="159">
        <v>5</v>
      </c>
      <c r="N1799" s="158" t="s">
        <v>1577</v>
      </c>
      <c r="O1799" s="159">
        <v>15.416</v>
      </c>
      <c r="P1799" s="160"/>
      <c r="Q1799" s="159">
        <v>21</v>
      </c>
      <c r="R1799" s="158" t="s">
        <v>200</v>
      </c>
      <c r="S1799" s="158" t="s">
        <v>201</v>
      </c>
      <c r="T1799" s="159">
        <v>442</v>
      </c>
      <c r="U1799" s="158" t="s">
        <v>200</v>
      </c>
      <c r="V1799" s="158" t="s">
        <v>720</v>
      </c>
      <c r="W1799" s="159">
        <v>1</v>
      </c>
      <c r="X1799" s="159">
        <v>4</v>
      </c>
      <c r="Y1799" s="158" t="s">
        <v>203</v>
      </c>
      <c r="Z1799" s="158" t="s">
        <v>195</v>
      </c>
      <c r="AA1799" s="158" t="s">
        <v>196</v>
      </c>
      <c r="AB1799" s="158" t="s">
        <v>187</v>
      </c>
      <c r="AC1799" s="158" t="s">
        <v>187</v>
      </c>
      <c r="AD1799" s="160"/>
      <c r="AE1799" s="158" t="s">
        <v>209</v>
      </c>
      <c r="AF1799" s="159">
        <v>9.53837295980885</v>
      </c>
      <c r="AG1799" s="161">
        <v>80.230437352745398</v>
      </c>
      <c r="AO1799" s="121"/>
      <c r="AT1799" s="111"/>
      <c r="AX1799" s="121"/>
    </row>
    <row r="1800" spans="1:50" s="110" customFormat="1" ht="20" customHeight="1">
      <c r="A1800" s="125" t="s">
        <v>224</v>
      </c>
      <c r="B1800" s="126" t="s">
        <v>68</v>
      </c>
      <c r="C1800" s="127">
        <v>21420</v>
      </c>
      <c r="D1800" s="157">
        <v>118231</v>
      </c>
      <c r="E1800" s="158" t="s">
        <v>4373</v>
      </c>
      <c r="F1800" s="158" t="s">
        <v>4373</v>
      </c>
      <c r="G1800" s="159">
        <v>41000</v>
      </c>
      <c r="H1800" s="159">
        <v>2</v>
      </c>
      <c r="I1800" s="158" t="s">
        <v>209</v>
      </c>
      <c r="J1800" s="158" t="s">
        <v>1989</v>
      </c>
      <c r="K1800" s="158" t="s">
        <v>1990</v>
      </c>
      <c r="L1800" s="159">
        <v>5</v>
      </c>
      <c r="M1800" s="159">
        <v>5</v>
      </c>
      <c r="N1800" s="158" t="s">
        <v>1577</v>
      </c>
      <c r="O1800" s="159">
        <v>18.513999999999999</v>
      </c>
      <c r="P1800" s="160"/>
      <c r="Q1800" s="159">
        <v>21</v>
      </c>
      <c r="R1800" s="158" t="s">
        <v>200</v>
      </c>
      <c r="S1800" s="158" t="s">
        <v>201</v>
      </c>
      <c r="T1800" s="159">
        <v>442</v>
      </c>
      <c r="U1800" s="158" t="s">
        <v>200</v>
      </c>
      <c r="V1800" s="158" t="s">
        <v>720</v>
      </c>
      <c r="W1800" s="159">
        <v>1</v>
      </c>
      <c r="X1800" s="159">
        <v>4</v>
      </c>
      <c r="Y1800" s="158" t="s">
        <v>203</v>
      </c>
      <c r="Z1800" s="158" t="s">
        <v>195</v>
      </c>
      <c r="AA1800" s="158" t="s">
        <v>196</v>
      </c>
      <c r="AB1800" s="158" t="s">
        <v>187</v>
      </c>
      <c r="AC1800" s="158" t="s">
        <v>187</v>
      </c>
      <c r="AD1800" s="160"/>
      <c r="AE1800" s="158" t="s">
        <v>209</v>
      </c>
      <c r="AF1800" s="159">
        <v>9.5389715282118992</v>
      </c>
      <c r="AG1800" s="161">
        <v>80.230743160366899</v>
      </c>
      <c r="AO1800" s="121"/>
      <c r="AT1800" s="111"/>
      <c r="AX1800" s="121"/>
    </row>
    <row r="1801" spans="1:50" s="110" customFormat="1" ht="20" customHeight="1">
      <c r="A1801" s="125" t="s">
        <v>224</v>
      </c>
      <c r="B1801" s="126" t="s">
        <v>68</v>
      </c>
      <c r="C1801" s="127">
        <v>18323</v>
      </c>
      <c r="D1801" s="157">
        <v>113870</v>
      </c>
      <c r="E1801" s="158" t="s">
        <v>4316</v>
      </c>
      <c r="F1801" s="158" t="s">
        <v>4316</v>
      </c>
      <c r="G1801" s="159">
        <v>36000</v>
      </c>
      <c r="H1801" s="159">
        <v>2</v>
      </c>
      <c r="I1801" s="158" t="s">
        <v>209</v>
      </c>
      <c r="J1801" s="158" t="s">
        <v>1989</v>
      </c>
      <c r="K1801" s="158" t="s">
        <v>1990</v>
      </c>
      <c r="L1801" s="159">
        <v>5</v>
      </c>
      <c r="M1801" s="159">
        <v>5</v>
      </c>
      <c r="N1801" s="158" t="s">
        <v>1577</v>
      </c>
      <c r="O1801" s="159">
        <v>12.061999999999999</v>
      </c>
      <c r="P1801" s="160"/>
      <c r="Q1801" s="159">
        <v>21</v>
      </c>
      <c r="R1801" s="158" t="s">
        <v>200</v>
      </c>
      <c r="S1801" s="158" t="s">
        <v>201</v>
      </c>
      <c r="T1801" s="159">
        <v>442</v>
      </c>
      <c r="U1801" s="158" t="s">
        <v>200</v>
      </c>
      <c r="V1801" s="158" t="s">
        <v>720</v>
      </c>
      <c r="W1801" s="159">
        <v>2</v>
      </c>
      <c r="X1801" s="159">
        <v>4</v>
      </c>
      <c r="Y1801" s="158" t="s">
        <v>203</v>
      </c>
      <c r="Z1801" s="158" t="s">
        <v>195</v>
      </c>
      <c r="AA1801" s="158" t="s">
        <v>196</v>
      </c>
      <c r="AB1801" s="158" t="s">
        <v>187</v>
      </c>
      <c r="AC1801" s="158" t="s">
        <v>187</v>
      </c>
      <c r="AD1801" s="160"/>
      <c r="AE1801" s="158" t="s">
        <v>209</v>
      </c>
      <c r="AF1801" s="159">
        <v>7.0130703016549498</v>
      </c>
      <c r="AG1801" s="161">
        <v>80.766636273484096</v>
      </c>
      <c r="AO1801" s="121"/>
      <c r="AT1801" s="111"/>
      <c r="AX1801" s="121"/>
    </row>
    <row r="1802" spans="1:50" s="110" customFormat="1" ht="20" customHeight="1">
      <c r="A1802" s="125" t="s">
        <v>224</v>
      </c>
      <c r="B1802" s="126" t="s">
        <v>68</v>
      </c>
      <c r="C1802" s="127">
        <v>21424</v>
      </c>
      <c r="D1802" s="157">
        <v>118237</v>
      </c>
      <c r="E1802" s="158" t="s">
        <v>4255</v>
      </c>
      <c r="F1802" s="158" t="s">
        <v>4255</v>
      </c>
      <c r="G1802" s="159">
        <v>32000</v>
      </c>
      <c r="H1802" s="159">
        <v>2</v>
      </c>
      <c r="I1802" s="158" t="s">
        <v>209</v>
      </c>
      <c r="J1802" s="158" t="s">
        <v>1989</v>
      </c>
      <c r="K1802" s="158" t="s">
        <v>1990</v>
      </c>
      <c r="L1802" s="159">
        <v>5</v>
      </c>
      <c r="M1802" s="159">
        <v>5</v>
      </c>
      <c r="N1802" s="158" t="s">
        <v>1577</v>
      </c>
      <c r="O1802" s="159">
        <v>15.911</v>
      </c>
      <c r="P1802" s="160"/>
      <c r="Q1802" s="159">
        <v>21</v>
      </c>
      <c r="R1802" s="158" t="s">
        <v>200</v>
      </c>
      <c r="S1802" s="158" t="s">
        <v>201</v>
      </c>
      <c r="T1802" s="159">
        <v>442</v>
      </c>
      <c r="U1802" s="158" t="s">
        <v>200</v>
      </c>
      <c r="V1802" s="158" t="s">
        <v>720</v>
      </c>
      <c r="W1802" s="159">
        <v>1</v>
      </c>
      <c r="X1802" s="159">
        <v>4</v>
      </c>
      <c r="Y1802" s="158" t="s">
        <v>203</v>
      </c>
      <c r="Z1802" s="158" t="s">
        <v>195</v>
      </c>
      <c r="AA1802" s="158" t="s">
        <v>196</v>
      </c>
      <c r="AB1802" s="158" t="s">
        <v>187</v>
      </c>
      <c r="AC1802" s="158" t="s">
        <v>187</v>
      </c>
      <c r="AD1802" s="160"/>
      <c r="AE1802" s="158" t="s">
        <v>209</v>
      </c>
      <c r="AF1802" s="159">
        <v>7.7884304530755601</v>
      </c>
      <c r="AG1802" s="161">
        <v>81.497301397378493</v>
      </c>
      <c r="AO1802" s="121"/>
      <c r="AT1802" s="111"/>
      <c r="AX1802" s="121"/>
    </row>
    <row r="1803" spans="1:50" s="110" customFormat="1" ht="20" customHeight="1">
      <c r="A1803" s="125" t="s">
        <v>224</v>
      </c>
      <c r="B1803" s="126" t="s">
        <v>68</v>
      </c>
      <c r="C1803" s="127">
        <v>21428</v>
      </c>
      <c r="D1803" s="157">
        <v>118241</v>
      </c>
      <c r="E1803" s="158" t="s">
        <v>4256</v>
      </c>
      <c r="F1803" s="158" t="s">
        <v>4256</v>
      </c>
      <c r="G1803" s="159">
        <v>32000</v>
      </c>
      <c r="H1803" s="159">
        <v>2</v>
      </c>
      <c r="I1803" s="158" t="s">
        <v>209</v>
      </c>
      <c r="J1803" s="158" t="s">
        <v>1989</v>
      </c>
      <c r="K1803" s="158" t="s">
        <v>1990</v>
      </c>
      <c r="L1803" s="159">
        <v>5</v>
      </c>
      <c r="M1803" s="159">
        <v>5</v>
      </c>
      <c r="N1803" s="158" t="s">
        <v>1577</v>
      </c>
      <c r="O1803" s="159">
        <v>16.382000000000001</v>
      </c>
      <c r="P1803" s="160"/>
      <c r="Q1803" s="159">
        <v>21</v>
      </c>
      <c r="R1803" s="158" t="s">
        <v>200</v>
      </c>
      <c r="S1803" s="158" t="s">
        <v>201</v>
      </c>
      <c r="T1803" s="159">
        <v>442</v>
      </c>
      <c r="U1803" s="158" t="s">
        <v>200</v>
      </c>
      <c r="V1803" s="158" t="s">
        <v>720</v>
      </c>
      <c r="W1803" s="159">
        <v>1</v>
      </c>
      <c r="X1803" s="159">
        <v>4</v>
      </c>
      <c r="Y1803" s="158" t="s">
        <v>203</v>
      </c>
      <c r="Z1803" s="158" t="s">
        <v>195</v>
      </c>
      <c r="AA1803" s="158" t="s">
        <v>196</v>
      </c>
      <c r="AB1803" s="158" t="s">
        <v>187</v>
      </c>
      <c r="AC1803" s="158" t="s">
        <v>187</v>
      </c>
      <c r="AD1803" s="160"/>
      <c r="AE1803" s="158" t="s">
        <v>209</v>
      </c>
      <c r="AF1803" s="159">
        <v>7.7891723393422803</v>
      </c>
      <c r="AG1803" s="161">
        <v>81.497535830223498</v>
      </c>
      <c r="AO1803" s="121"/>
      <c r="AT1803" s="111"/>
      <c r="AX1803" s="121"/>
    </row>
    <row r="1804" spans="1:50" s="110" customFormat="1" ht="20" customHeight="1">
      <c r="A1804" s="125" t="s">
        <v>224</v>
      </c>
      <c r="B1804" s="126" t="s">
        <v>68</v>
      </c>
      <c r="C1804" s="127">
        <v>17766</v>
      </c>
      <c r="D1804" s="157">
        <v>113227</v>
      </c>
      <c r="E1804" s="158" t="s">
        <v>4072</v>
      </c>
      <c r="F1804" s="158" t="s">
        <v>4072</v>
      </c>
      <c r="G1804" s="159">
        <v>21000</v>
      </c>
      <c r="H1804" s="159">
        <v>2</v>
      </c>
      <c r="I1804" s="158" t="s">
        <v>209</v>
      </c>
      <c r="J1804" s="158" t="s">
        <v>1989</v>
      </c>
      <c r="K1804" s="158" t="s">
        <v>1990</v>
      </c>
      <c r="L1804" s="159">
        <v>5</v>
      </c>
      <c r="M1804" s="159">
        <v>5</v>
      </c>
      <c r="N1804" s="158" t="s">
        <v>1577</v>
      </c>
      <c r="O1804" s="159">
        <v>13.763999999999999</v>
      </c>
      <c r="P1804" s="160"/>
      <c r="Q1804" s="159">
        <v>21</v>
      </c>
      <c r="R1804" s="158" t="s">
        <v>200</v>
      </c>
      <c r="S1804" s="158" t="s">
        <v>201</v>
      </c>
      <c r="T1804" s="159">
        <v>442</v>
      </c>
      <c r="U1804" s="158" t="s">
        <v>200</v>
      </c>
      <c r="V1804" s="158" t="s">
        <v>720</v>
      </c>
      <c r="W1804" s="159">
        <v>2</v>
      </c>
      <c r="X1804" s="159">
        <v>4</v>
      </c>
      <c r="Y1804" s="158" t="s">
        <v>203</v>
      </c>
      <c r="Z1804" s="158" t="s">
        <v>195</v>
      </c>
      <c r="AA1804" s="158" t="s">
        <v>196</v>
      </c>
      <c r="AB1804" s="158" t="s">
        <v>187</v>
      </c>
      <c r="AC1804" s="158" t="s">
        <v>187</v>
      </c>
      <c r="AD1804" s="160"/>
      <c r="AE1804" s="158" t="s">
        <v>209</v>
      </c>
      <c r="AF1804" s="159">
        <v>7.0133651112602804</v>
      </c>
      <c r="AG1804" s="161">
        <v>80.767052389050704</v>
      </c>
      <c r="AO1804" s="121"/>
      <c r="AT1804" s="111"/>
      <c r="AX1804" s="121"/>
    </row>
    <row r="1805" spans="1:50" s="110" customFormat="1" ht="20" customHeight="1">
      <c r="A1805" s="125" t="s">
        <v>224</v>
      </c>
      <c r="B1805" s="126" t="s">
        <v>68</v>
      </c>
      <c r="C1805" s="127">
        <v>21443</v>
      </c>
      <c r="D1805" s="157">
        <v>118260</v>
      </c>
      <c r="E1805" s="158" t="s">
        <v>4073</v>
      </c>
      <c r="F1805" s="158" t="s">
        <v>4073</v>
      </c>
      <c r="G1805" s="159">
        <v>21000</v>
      </c>
      <c r="H1805" s="159">
        <v>2</v>
      </c>
      <c r="I1805" s="158" t="s">
        <v>209</v>
      </c>
      <c r="J1805" s="158" t="s">
        <v>1989</v>
      </c>
      <c r="K1805" s="158" t="s">
        <v>1990</v>
      </c>
      <c r="L1805" s="159">
        <v>5</v>
      </c>
      <c r="M1805" s="159">
        <v>5</v>
      </c>
      <c r="N1805" s="158" t="s">
        <v>1577</v>
      </c>
      <c r="O1805" s="159">
        <v>15.420999999999999</v>
      </c>
      <c r="P1805" s="160"/>
      <c r="Q1805" s="159">
        <v>21</v>
      </c>
      <c r="R1805" s="158" t="s">
        <v>200</v>
      </c>
      <c r="S1805" s="158" t="s">
        <v>201</v>
      </c>
      <c r="T1805" s="159">
        <v>442</v>
      </c>
      <c r="U1805" s="158" t="s">
        <v>200</v>
      </c>
      <c r="V1805" s="158" t="s">
        <v>720</v>
      </c>
      <c r="W1805" s="159">
        <v>1</v>
      </c>
      <c r="X1805" s="159">
        <v>4</v>
      </c>
      <c r="Y1805" s="158" t="s">
        <v>203</v>
      </c>
      <c r="Z1805" s="158" t="s">
        <v>195</v>
      </c>
      <c r="AA1805" s="158" t="s">
        <v>196</v>
      </c>
      <c r="AB1805" s="158" t="s">
        <v>187</v>
      </c>
      <c r="AC1805" s="158" t="s">
        <v>187</v>
      </c>
      <c r="AD1805" s="160"/>
      <c r="AE1805" s="158" t="s">
        <v>209</v>
      </c>
      <c r="AF1805" s="159">
        <v>9.5392261692871099</v>
      </c>
      <c r="AG1805" s="161">
        <v>80.230694438143203</v>
      </c>
      <c r="AO1805" s="121"/>
      <c r="AT1805" s="111"/>
      <c r="AX1805" s="121"/>
    </row>
    <row r="1806" spans="1:50" s="110" customFormat="1" ht="20" customHeight="1">
      <c r="A1806" s="125" t="s">
        <v>224</v>
      </c>
      <c r="B1806" s="126" t="s">
        <v>68</v>
      </c>
      <c r="C1806" s="127">
        <v>16172</v>
      </c>
      <c r="D1806" s="157">
        <v>111274</v>
      </c>
      <c r="E1806" s="158" t="s">
        <v>3966</v>
      </c>
      <c r="F1806" s="158" t="s">
        <v>3966</v>
      </c>
      <c r="G1806" s="159">
        <v>17000</v>
      </c>
      <c r="H1806" s="159">
        <v>2</v>
      </c>
      <c r="I1806" s="158" t="s">
        <v>209</v>
      </c>
      <c r="J1806" s="158" t="s">
        <v>1989</v>
      </c>
      <c r="K1806" s="158" t="s">
        <v>1990</v>
      </c>
      <c r="L1806" s="159">
        <v>5</v>
      </c>
      <c r="M1806" s="159">
        <v>5</v>
      </c>
      <c r="N1806" s="158" t="s">
        <v>1577</v>
      </c>
      <c r="O1806" s="159">
        <v>13.593999999999999</v>
      </c>
      <c r="P1806" s="160"/>
      <c r="Q1806" s="159">
        <v>21</v>
      </c>
      <c r="R1806" s="158" t="s">
        <v>200</v>
      </c>
      <c r="S1806" s="158" t="s">
        <v>201</v>
      </c>
      <c r="T1806" s="159">
        <v>442</v>
      </c>
      <c r="U1806" s="158" t="s">
        <v>200</v>
      </c>
      <c r="V1806" s="158" t="s">
        <v>720</v>
      </c>
      <c r="W1806" s="159">
        <v>2</v>
      </c>
      <c r="X1806" s="159">
        <v>4</v>
      </c>
      <c r="Y1806" s="158" t="s">
        <v>203</v>
      </c>
      <c r="Z1806" s="158" t="s">
        <v>195</v>
      </c>
      <c r="AA1806" s="158" t="s">
        <v>196</v>
      </c>
      <c r="AB1806" s="158" t="s">
        <v>187</v>
      </c>
      <c r="AC1806" s="158" t="s">
        <v>187</v>
      </c>
      <c r="AD1806" s="160"/>
      <c r="AE1806" s="158" t="s">
        <v>209</v>
      </c>
      <c r="AF1806" s="159">
        <v>7.0125000000000002</v>
      </c>
      <c r="AG1806" s="161">
        <v>80.766170000000002</v>
      </c>
      <c r="AO1806" s="121"/>
      <c r="AT1806" s="111"/>
      <c r="AX1806" s="121"/>
    </row>
    <row r="1807" spans="1:50" s="110" customFormat="1" ht="20" customHeight="1">
      <c r="A1807" s="125" t="s">
        <v>224</v>
      </c>
      <c r="B1807" s="126" t="s">
        <v>68</v>
      </c>
      <c r="C1807" s="127">
        <v>17057</v>
      </c>
      <c r="D1807" s="157">
        <v>112395</v>
      </c>
      <c r="E1807" s="158" t="s">
        <v>3968</v>
      </c>
      <c r="F1807" s="158" t="s">
        <v>3968</v>
      </c>
      <c r="G1807" s="159">
        <v>17000</v>
      </c>
      <c r="H1807" s="159">
        <v>2</v>
      </c>
      <c r="I1807" s="158" t="s">
        <v>209</v>
      </c>
      <c r="J1807" s="158" t="s">
        <v>1989</v>
      </c>
      <c r="K1807" s="158" t="s">
        <v>1990</v>
      </c>
      <c r="L1807" s="159">
        <v>5</v>
      </c>
      <c r="M1807" s="159">
        <v>5</v>
      </c>
      <c r="N1807" s="158" t="s">
        <v>1577</v>
      </c>
      <c r="O1807" s="159">
        <v>9.1150000000000002</v>
      </c>
      <c r="P1807" s="160"/>
      <c r="Q1807" s="159">
        <v>21</v>
      </c>
      <c r="R1807" s="158" t="s">
        <v>200</v>
      </c>
      <c r="S1807" s="158" t="s">
        <v>201</v>
      </c>
      <c r="T1807" s="159">
        <v>442</v>
      </c>
      <c r="U1807" s="158" t="s">
        <v>200</v>
      </c>
      <c r="V1807" s="158" t="s">
        <v>720</v>
      </c>
      <c r="W1807" s="159">
        <v>2</v>
      </c>
      <c r="X1807" s="159">
        <v>4</v>
      </c>
      <c r="Y1807" s="158" t="s">
        <v>203</v>
      </c>
      <c r="Z1807" s="158" t="s">
        <v>195</v>
      </c>
      <c r="AA1807" s="158" t="s">
        <v>196</v>
      </c>
      <c r="AB1807" s="158" t="s">
        <v>187</v>
      </c>
      <c r="AC1807" s="158" t="s">
        <v>187</v>
      </c>
      <c r="AD1807" s="160"/>
      <c r="AE1807" s="158" t="s">
        <v>209</v>
      </c>
      <c r="AF1807" s="159">
        <v>7.0133624126064502</v>
      </c>
      <c r="AG1807" s="161">
        <v>80.767081665870606</v>
      </c>
      <c r="AO1807" s="121"/>
      <c r="AT1807" s="111"/>
      <c r="AX1807" s="121"/>
    </row>
    <row r="1808" spans="1:50" s="110" customFormat="1" ht="20" customHeight="1">
      <c r="A1808" s="125" t="s">
        <v>224</v>
      </c>
      <c r="B1808" s="126" t="s">
        <v>68</v>
      </c>
      <c r="C1808" s="127">
        <v>20707</v>
      </c>
      <c r="D1808" s="157">
        <v>117085</v>
      </c>
      <c r="E1808" s="158" t="s">
        <v>3970</v>
      </c>
      <c r="F1808" s="158" t="s">
        <v>3970</v>
      </c>
      <c r="G1808" s="159">
        <v>17000</v>
      </c>
      <c r="H1808" s="159">
        <v>2</v>
      </c>
      <c r="I1808" s="158" t="s">
        <v>209</v>
      </c>
      <c r="J1808" s="158" t="s">
        <v>1989</v>
      </c>
      <c r="K1808" s="158" t="s">
        <v>1990</v>
      </c>
      <c r="L1808" s="159">
        <v>5</v>
      </c>
      <c r="M1808" s="159">
        <v>5</v>
      </c>
      <c r="N1808" s="158" t="s">
        <v>1577</v>
      </c>
      <c r="O1808" s="159">
        <v>12.771000000000001</v>
      </c>
      <c r="P1808" s="160"/>
      <c r="Q1808" s="159">
        <v>21</v>
      </c>
      <c r="R1808" s="158" t="s">
        <v>200</v>
      </c>
      <c r="S1808" s="158" t="s">
        <v>201</v>
      </c>
      <c r="T1808" s="159">
        <v>442</v>
      </c>
      <c r="U1808" s="158" t="s">
        <v>200</v>
      </c>
      <c r="V1808" s="158" t="s">
        <v>720</v>
      </c>
      <c r="W1808" s="159">
        <v>2</v>
      </c>
      <c r="X1808" s="159">
        <v>4</v>
      </c>
      <c r="Y1808" s="158" t="s">
        <v>203</v>
      </c>
      <c r="Z1808" s="158" t="s">
        <v>195</v>
      </c>
      <c r="AA1808" s="158" t="s">
        <v>196</v>
      </c>
      <c r="AB1808" s="158" t="s">
        <v>187</v>
      </c>
      <c r="AC1808" s="158" t="s">
        <v>187</v>
      </c>
      <c r="AD1808" s="160"/>
      <c r="AE1808" s="158" t="s">
        <v>209</v>
      </c>
      <c r="AF1808" s="159">
        <v>7.0129235740270204</v>
      </c>
      <c r="AG1808" s="161">
        <v>80.766650834039893</v>
      </c>
      <c r="AO1808" s="121"/>
      <c r="AT1808" s="111"/>
      <c r="AX1808" s="121"/>
    </row>
    <row r="1809" spans="1:50" s="110" customFormat="1" ht="20" customHeight="1">
      <c r="A1809" s="125" t="s">
        <v>224</v>
      </c>
      <c r="B1809" s="126" t="s">
        <v>68</v>
      </c>
      <c r="C1809" s="127">
        <v>21446</v>
      </c>
      <c r="D1809" s="157">
        <v>118263</v>
      </c>
      <c r="E1809" s="158" t="s">
        <v>3971</v>
      </c>
      <c r="F1809" s="158" t="s">
        <v>3971</v>
      </c>
      <c r="G1809" s="159">
        <v>17000</v>
      </c>
      <c r="H1809" s="159">
        <v>2</v>
      </c>
      <c r="I1809" s="158" t="s">
        <v>209</v>
      </c>
      <c r="J1809" s="158" t="s">
        <v>1989</v>
      </c>
      <c r="K1809" s="158" t="s">
        <v>1990</v>
      </c>
      <c r="L1809" s="159">
        <v>5</v>
      </c>
      <c r="M1809" s="159">
        <v>5</v>
      </c>
      <c r="N1809" s="158" t="s">
        <v>1577</v>
      </c>
      <c r="O1809" s="159">
        <v>14.484999999999999</v>
      </c>
      <c r="P1809" s="160"/>
      <c r="Q1809" s="159">
        <v>21</v>
      </c>
      <c r="R1809" s="158" t="s">
        <v>200</v>
      </c>
      <c r="S1809" s="158" t="s">
        <v>201</v>
      </c>
      <c r="T1809" s="159">
        <v>442</v>
      </c>
      <c r="U1809" s="158" t="s">
        <v>200</v>
      </c>
      <c r="V1809" s="158" t="s">
        <v>720</v>
      </c>
      <c r="W1809" s="159">
        <v>1</v>
      </c>
      <c r="X1809" s="159">
        <v>4</v>
      </c>
      <c r="Y1809" s="158" t="s">
        <v>203</v>
      </c>
      <c r="Z1809" s="158" t="s">
        <v>195</v>
      </c>
      <c r="AA1809" s="158" t="s">
        <v>196</v>
      </c>
      <c r="AB1809" s="158" t="s">
        <v>187</v>
      </c>
      <c r="AC1809" s="158" t="s">
        <v>187</v>
      </c>
      <c r="AD1809" s="160"/>
      <c r="AE1809" s="158" t="s">
        <v>209</v>
      </c>
      <c r="AF1809" s="159">
        <v>9.53914700770083</v>
      </c>
      <c r="AG1809" s="161">
        <v>80.230637655395299</v>
      </c>
      <c r="AO1809" s="121"/>
      <c r="AT1809" s="111"/>
      <c r="AX1809" s="121"/>
    </row>
    <row r="1810" spans="1:50" s="110" customFormat="1" ht="20" customHeight="1">
      <c r="A1810" s="125" t="s">
        <v>224</v>
      </c>
      <c r="B1810" s="126" t="s">
        <v>68</v>
      </c>
      <c r="C1810" s="127">
        <v>16207</v>
      </c>
      <c r="D1810" s="157">
        <v>111316</v>
      </c>
      <c r="E1810" s="158" t="s">
        <v>3935</v>
      </c>
      <c r="F1810" s="158" t="s">
        <v>3935</v>
      </c>
      <c r="G1810" s="159">
        <v>16000</v>
      </c>
      <c r="H1810" s="159">
        <v>2</v>
      </c>
      <c r="I1810" s="158" t="s">
        <v>209</v>
      </c>
      <c r="J1810" s="158" t="s">
        <v>1989</v>
      </c>
      <c r="K1810" s="158" t="s">
        <v>1990</v>
      </c>
      <c r="L1810" s="159">
        <v>5</v>
      </c>
      <c r="M1810" s="159">
        <v>5</v>
      </c>
      <c r="N1810" s="158" t="s">
        <v>1577</v>
      </c>
      <c r="O1810" s="159">
        <v>14.98</v>
      </c>
      <c r="P1810" s="160"/>
      <c r="Q1810" s="159">
        <v>21</v>
      </c>
      <c r="R1810" s="158" t="s">
        <v>200</v>
      </c>
      <c r="S1810" s="158" t="s">
        <v>201</v>
      </c>
      <c r="T1810" s="159">
        <v>442</v>
      </c>
      <c r="U1810" s="158" t="s">
        <v>200</v>
      </c>
      <c r="V1810" s="158" t="s">
        <v>720</v>
      </c>
      <c r="W1810" s="159">
        <v>2</v>
      </c>
      <c r="X1810" s="159">
        <v>4</v>
      </c>
      <c r="Y1810" s="158" t="s">
        <v>203</v>
      </c>
      <c r="Z1810" s="158" t="s">
        <v>195</v>
      </c>
      <c r="AA1810" s="158" t="s">
        <v>196</v>
      </c>
      <c r="AB1810" s="158" t="s">
        <v>187</v>
      </c>
      <c r="AC1810" s="158" t="s">
        <v>187</v>
      </c>
      <c r="AD1810" s="160"/>
      <c r="AE1810" s="158" t="s">
        <v>209</v>
      </c>
      <c r="AF1810" s="159">
        <v>7.0609200000000003</v>
      </c>
      <c r="AG1810" s="161">
        <v>81.044340000000005</v>
      </c>
      <c r="AO1810" s="121"/>
      <c r="AT1810" s="111"/>
      <c r="AX1810" s="121"/>
    </row>
    <row r="1811" spans="1:50" s="110" customFormat="1" ht="20" customHeight="1">
      <c r="A1811" s="125" t="s">
        <v>224</v>
      </c>
      <c r="B1811" s="126" t="s">
        <v>68</v>
      </c>
      <c r="C1811" s="127">
        <v>16518</v>
      </c>
      <c r="D1811" s="157">
        <v>111690</v>
      </c>
      <c r="E1811" s="158" t="s">
        <v>3936</v>
      </c>
      <c r="F1811" s="158" t="s">
        <v>3936</v>
      </c>
      <c r="G1811" s="159">
        <v>16000</v>
      </c>
      <c r="H1811" s="159">
        <v>2</v>
      </c>
      <c r="I1811" s="158" t="s">
        <v>209</v>
      </c>
      <c r="J1811" s="158" t="s">
        <v>1989</v>
      </c>
      <c r="K1811" s="158" t="s">
        <v>1990</v>
      </c>
      <c r="L1811" s="159">
        <v>5</v>
      </c>
      <c r="M1811" s="159">
        <v>5</v>
      </c>
      <c r="N1811" s="158" t="s">
        <v>1577</v>
      </c>
      <c r="O1811" s="159">
        <v>14.004</v>
      </c>
      <c r="P1811" s="160"/>
      <c r="Q1811" s="159">
        <v>21</v>
      </c>
      <c r="R1811" s="158" t="s">
        <v>200</v>
      </c>
      <c r="S1811" s="158" t="s">
        <v>201</v>
      </c>
      <c r="T1811" s="159">
        <v>442</v>
      </c>
      <c r="U1811" s="158" t="s">
        <v>200</v>
      </c>
      <c r="V1811" s="158" t="s">
        <v>720</v>
      </c>
      <c r="W1811" s="159">
        <v>2</v>
      </c>
      <c r="X1811" s="159">
        <v>4</v>
      </c>
      <c r="Y1811" s="158" t="s">
        <v>203</v>
      </c>
      <c r="Z1811" s="158" t="s">
        <v>195</v>
      </c>
      <c r="AA1811" s="158" t="s">
        <v>196</v>
      </c>
      <c r="AB1811" s="158" t="s">
        <v>187</v>
      </c>
      <c r="AC1811" s="158" t="s">
        <v>187</v>
      </c>
      <c r="AD1811" s="160"/>
      <c r="AE1811" s="158" t="s">
        <v>209</v>
      </c>
      <c r="AF1811" s="159">
        <v>7.0129448804499397</v>
      </c>
      <c r="AG1811" s="161">
        <v>80.766261830720097</v>
      </c>
      <c r="AO1811" s="121"/>
      <c r="AT1811" s="111"/>
      <c r="AX1811" s="121"/>
    </row>
    <row r="1812" spans="1:50" s="110" customFormat="1" ht="20" customHeight="1">
      <c r="A1812" s="125" t="s">
        <v>224</v>
      </c>
      <c r="B1812" s="126" t="s">
        <v>68</v>
      </c>
      <c r="C1812" s="127">
        <v>21386</v>
      </c>
      <c r="D1812" s="157">
        <v>118191</v>
      </c>
      <c r="E1812" s="158" t="s">
        <v>3906</v>
      </c>
      <c r="F1812" s="158" t="s">
        <v>3906</v>
      </c>
      <c r="G1812" s="159">
        <v>15000</v>
      </c>
      <c r="H1812" s="159">
        <v>2</v>
      </c>
      <c r="I1812" s="158" t="s">
        <v>209</v>
      </c>
      <c r="J1812" s="158" t="s">
        <v>1989</v>
      </c>
      <c r="K1812" s="158" t="s">
        <v>1990</v>
      </c>
      <c r="L1812" s="159">
        <v>5</v>
      </c>
      <c r="M1812" s="159">
        <v>5</v>
      </c>
      <c r="N1812" s="158" t="s">
        <v>1577</v>
      </c>
      <c r="O1812" s="159">
        <v>14.489000000000001</v>
      </c>
      <c r="P1812" s="160"/>
      <c r="Q1812" s="159">
        <v>21</v>
      </c>
      <c r="R1812" s="158" t="s">
        <v>200</v>
      </c>
      <c r="S1812" s="158" t="s">
        <v>201</v>
      </c>
      <c r="T1812" s="159">
        <v>442</v>
      </c>
      <c r="U1812" s="158" t="s">
        <v>200</v>
      </c>
      <c r="V1812" s="158" t="s">
        <v>720</v>
      </c>
      <c r="W1812" s="159">
        <v>1</v>
      </c>
      <c r="X1812" s="159">
        <v>4</v>
      </c>
      <c r="Y1812" s="158" t="s">
        <v>203</v>
      </c>
      <c r="Z1812" s="158" t="s">
        <v>195</v>
      </c>
      <c r="AA1812" s="158" t="s">
        <v>196</v>
      </c>
      <c r="AB1812" s="158" t="s">
        <v>187</v>
      </c>
      <c r="AC1812" s="158" t="s">
        <v>187</v>
      </c>
      <c r="AD1812" s="160"/>
      <c r="AE1812" s="158" t="s">
        <v>209</v>
      </c>
      <c r="AF1812" s="159">
        <v>9.5389241802850009</v>
      </c>
      <c r="AG1812" s="161">
        <v>80.230462916781903</v>
      </c>
      <c r="AO1812" s="121"/>
      <c r="AT1812" s="111"/>
      <c r="AX1812" s="121"/>
    </row>
    <row r="1813" spans="1:50" s="110" customFormat="1" ht="20" customHeight="1">
      <c r="A1813" s="125" t="s">
        <v>224</v>
      </c>
      <c r="B1813" s="126" t="s">
        <v>68</v>
      </c>
      <c r="C1813" s="127">
        <v>21439</v>
      </c>
      <c r="D1813" s="157">
        <v>118255</v>
      </c>
      <c r="E1813" s="158" t="s">
        <v>3583</v>
      </c>
      <c r="F1813" s="158" t="s">
        <v>3583</v>
      </c>
      <c r="G1813" s="159">
        <v>9300</v>
      </c>
      <c r="H1813" s="159">
        <v>2</v>
      </c>
      <c r="I1813" s="158" t="s">
        <v>209</v>
      </c>
      <c r="J1813" s="158" t="s">
        <v>1989</v>
      </c>
      <c r="K1813" s="158" t="s">
        <v>1990</v>
      </c>
      <c r="L1813" s="159">
        <v>5</v>
      </c>
      <c r="M1813" s="159">
        <v>5</v>
      </c>
      <c r="N1813" s="158" t="s">
        <v>1577</v>
      </c>
      <c r="O1813" s="159">
        <v>37.715000000000003</v>
      </c>
      <c r="P1813" s="160"/>
      <c r="Q1813" s="159">
        <v>21</v>
      </c>
      <c r="R1813" s="158" t="s">
        <v>200</v>
      </c>
      <c r="S1813" s="158" t="s">
        <v>201</v>
      </c>
      <c r="T1813" s="159">
        <v>442</v>
      </c>
      <c r="U1813" s="158" t="s">
        <v>200</v>
      </c>
      <c r="V1813" s="158" t="s">
        <v>720</v>
      </c>
      <c r="W1813" s="159">
        <v>1</v>
      </c>
      <c r="X1813" s="159">
        <v>4</v>
      </c>
      <c r="Y1813" s="158" t="s">
        <v>203</v>
      </c>
      <c r="Z1813" s="158" t="s">
        <v>195</v>
      </c>
      <c r="AA1813" s="158" t="s">
        <v>196</v>
      </c>
      <c r="AB1813" s="158" t="s">
        <v>187</v>
      </c>
      <c r="AC1813" s="158" t="s">
        <v>187</v>
      </c>
      <c r="AD1813" s="160"/>
      <c r="AE1813" s="158" t="s">
        <v>209</v>
      </c>
      <c r="AF1813" s="159">
        <v>9.5388011658009102</v>
      </c>
      <c r="AG1813" s="161">
        <v>80.230079163186701</v>
      </c>
      <c r="AO1813" s="121"/>
      <c r="AT1813" s="111"/>
      <c r="AX1813" s="121"/>
    </row>
    <row r="1814" spans="1:50" s="110" customFormat="1" ht="20" customHeight="1">
      <c r="A1814" s="125" t="s">
        <v>224</v>
      </c>
      <c r="B1814" s="126" t="s">
        <v>68</v>
      </c>
      <c r="C1814" s="127">
        <v>16962</v>
      </c>
      <c r="D1814" s="157">
        <v>112267</v>
      </c>
      <c r="E1814" s="158" t="s">
        <v>3571</v>
      </c>
      <c r="F1814" s="158" t="s">
        <v>3571</v>
      </c>
      <c r="G1814" s="159">
        <v>9100</v>
      </c>
      <c r="H1814" s="159">
        <v>2</v>
      </c>
      <c r="I1814" s="158" t="s">
        <v>209</v>
      </c>
      <c r="J1814" s="158" t="s">
        <v>1989</v>
      </c>
      <c r="K1814" s="158" t="s">
        <v>1990</v>
      </c>
      <c r="L1814" s="159">
        <v>5</v>
      </c>
      <c r="M1814" s="159">
        <v>5</v>
      </c>
      <c r="N1814" s="158" t="s">
        <v>1577</v>
      </c>
      <c r="O1814" s="159">
        <v>12.717000000000001</v>
      </c>
      <c r="P1814" s="160"/>
      <c r="Q1814" s="159">
        <v>21</v>
      </c>
      <c r="R1814" s="158" t="s">
        <v>200</v>
      </c>
      <c r="S1814" s="158" t="s">
        <v>201</v>
      </c>
      <c r="T1814" s="159">
        <v>442</v>
      </c>
      <c r="U1814" s="158" t="s">
        <v>200</v>
      </c>
      <c r="V1814" s="158" t="s">
        <v>720</v>
      </c>
      <c r="W1814" s="159">
        <v>2</v>
      </c>
      <c r="X1814" s="159">
        <v>4</v>
      </c>
      <c r="Y1814" s="158" t="s">
        <v>203</v>
      </c>
      <c r="Z1814" s="158" t="s">
        <v>195</v>
      </c>
      <c r="AA1814" s="158" t="s">
        <v>196</v>
      </c>
      <c r="AB1814" s="158" t="s">
        <v>187</v>
      </c>
      <c r="AC1814" s="158" t="s">
        <v>187</v>
      </c>
      <c r="AD1814" s="160"/>
      <c r="AE1814" s="158" t="s">
        <v>209</v>
      </c>
      <c r="AF1814" s="159">
        <v>7.0132803740887599</v>
      </c>
      <c r="AG1814" s="161">
        <v>80.766206698702106</v>
      </c>
      <c r="AO1814" s="121"/>
      <c r="AT1814" s="111"/>
      <c r="AX1814" s="121"/>
    </row>
    <row r="1815" spans="1:50" s="110" customFormat="1" ht="20" customHeight="1">
      <c r="A1815" s="125" t="s">
        <v>224</v>
      </c>
      <c r="B1815" s="126" t="s">
        <v>68</v>
      </c>
      <c r="C1815" s="127">
        <v>21312</v>
      </c>
      <c r="D1815" s="157">
        <v>118144</v>
      </c>
      <c r="E1815" s="158" t="s">
        <v>3514</v>
      </c>
      <c r="F1815" s="158" t="s">
        <v>3514</v>
      </c>
      <c r="G1815" s="159">
        <v>8500</v>
      </c>
      <c r="H1815" s="159">
        <v>2</v>
      </c>
      <c r="I1815" s="158" t="s">
        <v>209</v>
      </c>
      <c r="J1815" s="158" t="s">
        <v>1989</v>
      </c>
      <c r="K1815" s="158" t="s">
        <v>1990</v>
      </c>
      <c r="L1815" s="159">
        <v>5</v>
      </c>
      <c r="M1815" s="159">
        <v>5</v>
      </c>
      <c r="N1815" s="158" t="s">
        <v>1577</v>
      </c>
      <c r="O1815" s="159">
        <v>14.654</v>
      </c>
      <c r="P1815" s="160"/>
      <c r="Q1815" s="159">
        <v>21</v>
      </c>
      <c r="R1815" s="158" t="s">
        <v>200</v>
      </c>
      <c r="S1815" s="158" t="s">
        <v>201</v>
      </c>
      <c r="T1815" s="159">
        <v>442</v>
      </c>
      <c r="U1815" s="158" t="s">
        <v>200</v>
      </c>
      <c r="V1815" s="158" t="s">
        <v>720</v>
      </c>
      <c r="W1815" s="159">
        <v>2</v>
      </c>
      <c r="X1815" s="159">
        <v>4</v>
      </c>
      <c r="Y1815" s="158" t="s">
        <v>203</v>
      </c>
      <c r="Z1815" s="158" t="s">
        <v>195</v>
      </c>
      <c r="AA1815" s="158" t="s">
        <v>196</v>
      </c>
      <c r="AB1815" s="158" t="s">
        <v>187</v>
      </c>
      <c r="AC1815" s="158" t="s">
        <v>187</v>
      </c>
      <c r="AD1815" s="160"/>
      <c r="AE1815" s="158" t="s">
        <v>209</v>
      </c>
      <c r="AF1815" s="159">
        <v>7.0134063804557103</v>
      </c>
      <c r="AG1815" s="161">
        <v>80.766448251152298</v>
      </c>
      <c r="AO1815" s="121"/>
      <c r="AT1815" s="111"/>
      <c r="AX1815" s="121"/>
    </row>
    <row r="1816" spans="1:50" s="110" customFormat="1" ht="20" customHeight="1">
      <c r="A1816" s="125" t="s">
        <v>224</v>
      </c>
      <c r="B1816" s="126" t="s">
        <v>68</v>
      </c>
      <c r="C1816" s="127">
        <v>21440</v>
      </c>
      <c r="D1816" s="157">
        <v>118257</v>
      </c>
      <c r="E1816" s="158" t="s">
        <v>3288</v>
      </c>
      <c r="F1816" s="158" t="s">
        <v>3288</v>
      </c>
      <c r="G1816" s="159">
        <v>5800</v>
      </c>
      <c r="H1816" s="159">
        <v>2</v>
      </c>
      <c r="I1816" s="158" t="s">
        <v>209</v>
      </c>
      <c r="J1816" s="158" t="s">
        <v>1989</v>
      </c>
      <c r="K1816" s="158" t="s">
        <v>1990</v>
      </c>
      <c r="L1816" s="159">
        <v>5</v>
      </c>
      <c r="M1816" s="159">
        <v>5</v>
      </c>
      <c r="N1816" s="158" t="s">
        <v>1577</v>
      </c>
      <c r="O1816" s="159">
        <v>12.058999999999999</v>
      </c>
      <c r="P1816" s="160"/>
      <c r="Q1816" s="159">
        <v>21</v>
      </c>
      <c r="R1816" s="158" t="s">
        <v>200</v>
      </c>
      <c r="S1816" s="158" t="s">
        <v>201</v>
      </c>
      <c r="T1816" s="159">
        <v>442</v>
      </c>
      <c r="U1816" s="158" t="s">
        <v>200</v>
      </c>
      <c r="V1816" s="158" t="s">
        <v>720</v>
      </c>
      <c r="W1816" s="159">
        <v>1</v>
      </c>
      <c r="X1816" s="159">
        <v>4</v>
      </c>
      <c r="Y1816" s="158" t="s">
        <v>203</v>
      </c>
      <c r="Z1816" s="158" t="s">
        <v>195</v>
      </c>
      <c r="AA1816" s="158" t="s">
        <v>196</v>
      </c>
      <c r="AB1816" s="158" t="s">
        <v>187</v>
      </c>
      <c r="AC1816" s="158" t="s">
        <v>187</v>
      </c>
      <c r="AD1816" s="160"/>
      <c r="AE1816" s="158" t="s">
        <v>209</v>
      </c>
      <c r="AF1816" s="159">
        <v>7.7883554284612</v>
      </c>
      <c r="AG1816" s="161">
        <v>81.498088316384795</v>
      </c>
      <c r="AO1816" s="121"/>
      <c r="AT1816" s="111"/>
      <c r="AX1816" s="121"/>
    </row>
    <row r="1817" spans="1:50" s="110" customFormat="1" ht="20" customHeight="1">
      <c r="A1817" s="125" t="s">
        <v>224</v>
      </c>
      <c r="B1817" s="126" t="s">
        <v>68</v>
      </c>
      <c r="C1817" s="127">
        <v>17825</v>
      </c>
      <c r="D1817" s="157">
        <v>113298</v>
      </c>
      <c r="E1817" s="158" t="s">
        <v>3201</v>
      </c>
      <c r="F1817" s="158" t="s">
        <v>3202</v>
      </c>
      <c r="G1817" s="159">
        <v>5000</v>
      </c>
      <c r="H1817" s="159">
        <v>2</v>
      </c>
      <c r="I1817" s="158" t="s">
        <v>209</v>
      </c>
      <c r="J1817" s="158" t="s">
        <v>1989</v>
      </c>
      <c r="K1817" s="158" t="s">
        <v>1990</v>
      </c>
      <c r="L1817" s="159">
        <v>5</v>
      </c>
      <c r="M1817" s="159">
        <v>5</v>
      </c>
      <c r="N1817" s="158" t="s">
        <v>1577</v>
      </c>
      <c r="O1817" s="159">
        <v>11.958</v>
      </c>
      <c r="P1817" s="160"/>
      <c r="Q1817" s="159">
        <v>21</v>
      </c>
      <c r="R1817" s="158" t="s">
        <v>200</v>
      </c>
      <c r="S1817" s="158" t="s">
        <v>201</v>
      </c>
      <c r="T1817" s="159">
        <v>442</v>
      </c>
      <c r="U1817" s="158" t="s">
        <v>200</v>
      </c>
      <c r="V1817" s="158" t="s">
        <v>720</v>
      </c>
      <c r="W1817" s="159">
        <v>2</v>
      </c>
      <c r="X1817" s="159">
        <v>4</v>
      </c>
      <c r="Y1817" s="158" t="s">
        <v>203</v>
      </c>
      <c r="Z1817" s="158" t="s">
        <v>195</v>
      </c>
      <c r="AA1817" s="158" t="s">
        <v>196</v>
      </c>
      <c r="AB1817" s="158" t="s">
        <v>187</v>
      </c>
      <c r="AC1817" s="158" t="s">
        <v>187</v>
      </c>
      <c r="AD1817" s="160"/>
      <c r="AE1817" s="158" t="s">
        <v>209</v>
      </c>
      <c r="AF1817" s="159">
        <v>7.0127702369885201</v>
      </c>
      <c r="AG1817" s="161">
        <v>80.766491932543204</v>
      </c>
      <c r="AO1817" s="121"/>
      <c r="AT1817" s="111"/>
      <c r="AX1817" s="121"/>
    </row>
    <row r="1818" spans="1:50" s="110" customFormat="1" ht="20" customHeight="1">
      <c r="A1818" s="125" t="s">
        <v>224</v>
      </c>
      <c r="B1818" s="126" t="s">
        <v>68</v>
      </c>
      <c r="C1818" s="127">
        <v>17110</v>
      </c>
      <c r="D1818" s="157">
        <v>112453</v>
      </c>
      <c r="E1818" s="158" t="s">
        <v>2943</v>
      </c>
      <c r="F1818" s="158" t="s">
        <v>2943</v>
      </c>
      <c r="G1818" s="159">
        <v>3300</v>
      </c>
      <c r="H1818" s="159">
        <v>2</v>
      </c>
      <c r="I1818" s="158" t="s">
        <v>209</v>
      </c>
      <c r="J1818" s="158" t="s">
        <v>1989</v>
      </c>
      <c r="K1818" s="158" t="s">
        <v>1990</v>
      </c>
      <c r="L1818" s="159">
        <v>5</v>
      </c>
      <c r="M1818" s="159">
        <v>5</v>
      </c>
      <c r="N1818" s="158" t="s">
        <v>1577</v>
      </c>
      <c r="O1818" s="159">
        <v>7.9509999999999996</v>
      </c>
      <c r="P1818" s="160"/>
      <c r="Q1818" s="159">
        <v>21</v>
      </c>
      <c r="R1818" s="158" t="s">
        <v>200</v>
      </c>
      <c r="S1818" s="158" t="s">
        <v>201</v>
      </c>
      <c r="T1818" s="159">
        <v>442</v>
      </c>
      <c r="U1818" s="158" t="s">
        <v>200</v>
      </c>
      <c r="V1818" s="158" t="s">
        <v>720</v>
      </c>
      <c r="W1818" s="159">
        <v>3</v>
      </c>
      <c r="X1818" s="159">
        <v>4</v>
      </c>
      <c r="Y1818" s="158" t="s">
        <v>203</v>
      </c>
      <c r="Z1818" s="158" t="s">
        <v>195</v>
      </c>
      <c r="AA1818" s="158" t="s">
        <v>196</v>
      </c>
      <c r="AB1818" s="158" t="s">
        <v>187</v>
      </c>
      <c r="AC1818" s="158" t="s">
        <v>187</v>
      </c>
      <c r="AD1818" s="160"/>
      <c r="AE1818" s="158" t="s">
        <v>209</v>
      </c>
      <c r="AF1818" s="159">
        <v>7.01324252842769</v>
      </c>
      <c r="AG1818" s="161">
        <v>80.766311478765601</v>
      </c>
      <c r="AO1818" s="121"/>
      <c r="AT1818" s="111"/>
      <c r="AX1818" s="121"/>
    </row>
    <row r="1819" spans="1:50" s="110" customFormat="1" ht="20" customHeight="1">
      <c r="A1819" s="125" t="s">
        <v>224</v>
      </c>
      <c r="B1819" s="126" t="s">
        <v>68</v>
      </c>
      <c r="C1819" s="127">
        <v>18002</v>
      </c>
      <c r="D1819" s="157">
        <v>113495</v>
      </c>
      <c r="E1819" s="158" t="s">
        <v>2944</v>
      </c>
      <c r="F1819" s="158" t="s">
        <v>2945</v>
      </c>
      <c r="G1819" s="159">
        <v>3300</v>
      </c>
      <c r="H1819" s="159">
        <v>2</v>
      </c>
      <c r="I1819" s="158" t="s">
        <v>209</v>
      </c>
      <c r="J1819" s="158" t="s">
        <v>1989</v>
      </c>
      <c r="K1819" s="158" t="s">
        <v>1990</v>
      </c>
      <c r="L1819" s="159">
        <v>5</v>
      </c>
      <c r="M1819" s="159">
        <v>5</v>
      </c>
      <c r="N1819" s="158" t="s">
        <v>1577</v>
      </c>
      <c r="O1819" s="159">
        <v>10.939</v>
      </c>
      <c r="P1819" s="160"/>
      <c r="Q1819" s="159">
        <v>21</v>
      </c>
      <c r="R1819" s="158" t="s">
        <v>200</v>
      </c>
      <c r="S1819" s="158" t="s">
        <v>201</v>
      </c>
      <c r="T1819" s="159">
        <v>442</v>
      </c>
      <c r="U1819" s="158" t="s">
        <v>200</v>
      </c>
      <c r="V1819" s="158" t="s">
        <v>720</v>
      </c>
      <c r="W1819" s="159">
        <v>2</v>
      </c>
      <c r="X1819" s="159">
        <v>4</v>
      </c>
      <c r="Y1819" s="158" t="s">
        <v>203</v>
      </c>
      <c r="Z1819" s="158" t="s">
        <v>195</v>
      </c>
      <c r="AA1819" s="158" t="s">
        <v>196</v>
      </c>
      <c r="AB1819" s="158" t="s">
        <v>187</v>
      </c>
      <c r="AC1819" s="158" t="s">
        <v>187</v>
      </c>
      <c r="AD1819" s="160"/>
      <c r="AE1819" s="158" t="s">
        <v>209</v>
      </c>
      <c r="AF1819" s="159">
        <v>7.01251106710576</v>
      </c>
      <c r="AG1819" s="161">
        <v>80.766765217435207</v>
      </c>
      <c r="AO1819" s="121"/>
      <c r="AT1819" s="111"/>
      <c r="AX1819" s="121"/>
    </row>
    <row r="1820" spans="1:50" s="110" customFormat="1" ht="20" customHeight="1">
      <c r="A1820" s="125" t="s">
        <v>224</v>
      </c>
      <c r="B1820" s="126" t="s">
        <v>68</v>
      </c>
      <c r="C1820" s="127">
        <v>21383</v>
      </c>
      <c r="D1820" s="157">
        <v>118252</v>
      </c>
      <c r="E1820" s="158" t="s">
        <v>2946</v>
      </c>
      <c r="F1820" s="158" t="s">
        <v>2946</v>
      </c>
      <c r="G1820" s="159">
        <v>3300</v>
      </c>
      <c r="H1820" s="159">
        <v>2</v>
      </c>
      <c r="I1820" s="158" t="s">
        <v>209</v>
      </c>
      <c r="J1820" s="158" t="s">
        <v>1989</v>
      </c>
      <c r="K1820" s="158" t="s">
        <v>1990</v>
      </c>
      <c r="L1820" s="159">
        <v>5</v>
      </c>
      <c r="M1820" s="159">
        <v>5</v>
      </c>
      <c r="N1820" s="158" t="s">
        <v>1577</v>
      </c>
      <c r="O1820" s="159">
        <v>10.802</v>
      </c>
      <c r="P1820" s="160"/>
      <c r="Q1820" s="159">
        <v>21</v>
      </c>
      <c r="R1820" s="158" t="s">
        <v>200</v>
      </c>
      <c r="S1820" s="158" t="s">
        <v>201</v>
      </c>
      <c r="T1820" s="159">
        <v>442</v>
      </c>
      <c r="U1820" s="158" t="s">
        <v>200</v>
      </c>
      <c r="V1820" s="158" t="s">
        <v>720</v>
      </c>
      <c r="W1820" s="159">
        <v>2</v>
      </c>
      <c r="X1820" s="159">
        <v>4</v>
      </c>
      <c r="Y1820" s="158" t="s">
        <v>203</v>
      </c>
      <c r="Z1820" s="158" t="s">
        <v>195</v>
      </c>
      <c r="AA1820" s="158" t="s">
        <v>196</v>
      </c>
      <c r="AB1820" s="158" t="s">
        <v>187</v>
      </c>
      <c r="AC1820" s="158" t="s">
        <v>187</v>
      </c>
      <c r="AD1820" s="160"/>
      <c r="AE1820" s="158" t="s">
        <v>209</v>
      </c>
      <c r="AF1820" s="159">
        <v>7.0129673156515704</v>
      </c>
      <c r="AG1820" s="161">
        <v>80.766180373834004</v>
      </c>
      <c r="AO1820" s="121"/>
      <c r="AT1820" s="111"/>
      <c r="AX1820" s="121"/>
    </row>
    <row r="1821" spans="1:50" s="110" customFormat="1" ht="20" customHeight="1">
      <c r="A1821" s="125" t="s">
        <v>224</v>
      </c>
      <c r="B1821" s="126" t="s">
        <v>68</v>
      </c>
      <c r="C1821" s="127">
        <v>21441</v>
      </c>
      <c r="D1821" s="157">
        <v>118258</v>
      </c>
      <c r="E1821" s="158" t="s">
        <v>2914</v>
      </c>
      <c r="F1821" s="158" t="s">
        <v>2914</v>
      </c>
      <c r="G1821" s="159">
        <v>3100</v>
      </c>
      <c r="H1821" s="159">
        <v>2</v>
      </c>
      <c r="I1821" s="158" t="s">
        <v>209</v>
      </c>
      <c r="J1821" s="158" t="s">
        <v>1989</v>
      </c>
      <c r="K1821" s="158" t="s">
        <v>1990</v>
      </c>
      <c r="L1821" s="159">
        <v>5</v>
      </c>
      <c r="M1821" s="159">
        <v>5</v>
      </c>
      <c r="N1821" s="158" t="s">
        <v>1577</v>
      </c>
      <c r="O1821" s="159">
        <v>9.8330000000000002</v>
      </c>
      <c r="P1821" s="160"/>
      <c r="Q1821" s="159">
        <v>21</v>
      </c>
      <c r="R1821" s="158" t="s">
        <v>200</v>
      </c>
      <c r="S1821" s="158" t="s">
        <v>201</v>
      </c>
      <c r="T1821" s="159">
        <v>442</v>
      </c>
      <c r="U1821" s="158" t="s">
        <v>200</v>
      </c>
      <c r="V1821" s="158" t="s">
        <v>720</v>
      </c>
      <c r="W1821" s="159">
        <v>1</v>
      </c>
      <c r="X1821" s="159">
        <v>4</v>
      </c>
      <c r="Y1821" s="158" t="s">
        <v>203</v>
      </c>
      <c r="Z1821" s="158" t="s">
        <v>195</v>
      </c>
      <c r="AA1821" s="158" t="s">
        <v>196</v>
      </c>
      <c r="AB1821" s="158" t="s">
        <v>187</v>
      </c>
      <c r="AC1821" s="158" t="s">
        <v>187</v>
      </c>
      <c r="AD1821" s="160"/>
      <c r="AE1821" s="158" t="s">
        <v>209</v>
      </c>
      <c r="AF1821" s="159">
        <v>7.7887865244359302</v>
      </c>
      <c r="AG1821" s="161">
        <v>81.497625197088496</v>
      </c>
      <c r="AO1821" s="121"/>
      <c r="AT1821" s="111"/>
      <c r="AX1821" s="121"/>
    </row>
    <row r="1822" spans="1:50" s="110" customFormat="1" ht="20" customHeight="1">
      <c r="A1822" s="125" t="s">
        <v>224</v>
      </c>
      <c r="B1822" s="126" t="s">
        <v>68</v>
      </c>
      <c r="C1822" s="127">
        <v>21450</v>
      </c>
      <c r="D1822" s="157">
        <v>118267</v>
      </c>
      <c r="E1822" s="158" t="s">
        <v>2893</v>
      </c>
      <c r="F1822" s="158" t="s">
        <v>2893</v>
      </c>
      <c r="G1822" s="159">
        <v>3000</v>
      </c>
      <c r="H1822" s="159">
        <v>2</v>
      </c>
      <c r="I1822" s="158" t="s">
        <v>209</v>
      </c>
      <c r="J1822" s="158" t="s">
        <v>1989</v>
      </c>
      <c r="K1822" s="158" t="s">
        <v>1990</v>
      </c>
      <c r="L1822" s="159">
        <v>5</v>
      </c>
      <c r="M1822" s="159">
        <v>5</v>
      </c>
      <c r="N1822" s="158" t="s">
        <v>1577</v>
      </c>
      <c r="O1822" s="159">
        <v>8.8580000000000005</v>
      </c>
      <c r="P1822" s="160"/>
      <c r="Q1822" s="159">
        <v>21</v>
      </c>
      <c r="R1822" s="158" t="s">
        <v>200</v>
      </c>
      <c r="S1822" s="158" t="s">
        <v>201</v>
      </c>
      <c r="T1822" s="159">
        <v>442</v>
      </c>
      <c r="U1822" s="158" t="s">
        <v>200</v>
      </c>
      <c r="V1822" s="158" t="s">
        <v>720</v>
      </c>
      <c r="W1822" s="159">
        <v>1</v>
      </c>
      <c r="X1822" s="159">
        <v>4</v>
      </c>
      <c r="Y1822" s="158" t="s">
        <v>203</v>
      </c>
      <c r="Z1822" s="158" t="s">
        <v>195</v>
      </c>
      <c r="AA1822" s="158" t="s">
        <v>196</v>
      </c>
      <c r="AB1822" s="158" t="s">
        <v>187</v>
      </c>
      <c r="AC1822" s="158" t="s">
        <v>187</v>
      </c>
      <c r="AD1822" s="160"/>
      <c r="AE1822" s="158" t="s">
        <v>209</v>
      </c>
      <c r="AF1822" s="159">
        <v>7.7891457164373303</v>
      </c>
      <c r="AG1822" s="161">
        <v>81.497496414319997</v>
      </c>
      <c r="AO1822" s="121"/>
      <c r="AT1822" s="111"/>
      <c r="AX1822" s="121"/>
    </row>
    <row r="1823" spans="1:50" s="110" customFormat="1" ht="20" customHeight="1">
      <c r="A1823" s="125" t="s">
        <v>224</v>
      </c>
      <c r="B1823" s="126" t="s">
        <v>68</v>
      </c>
      <c r="C1823" s="127">
        <v>21442</v>
      </c>
      <c r="D1823" s="157">
        <v>118259</v>
      </c>
      <c r="E1823" s="158" t="s">
        <v>2805</v>
      </c>
      <c r="F1823" s="158" t="s">
        <v>2805</v>
      </c>
      <c r="G1823" s="159">
        <v>2400</v>
      </c>
      <c r="H1823" s="159">
        <v>2</v>
      </c>
      <c r="I1823" s="158" t="s">
        <v>209</v>
      </c>
      <c r="J1823" s="158" t="s">
        <v>1989</v>
      </c>
      <c r="K1823" s="158" t="s">
        <v>1990</v>
      </c>
      <c r="L1823" s="159">
        <v>5</v>
      </c>
      <c r="M1823" s="159">
        <v>5</v>
      </c>
      <c r="N1823" s="158" t="s">
        <v>1577</v>
      </c>
      <c r="O1823" s="159">
        <v>9.5329999999999995</v>
      </c>
      <c r="P1823" s="160"/>
      <c r="Q1823" s="159">
        <v>21</v>
      </c>
      <c r="R1823" s="158" t="s">
        <v>200</v>
      </c>
      <c r="S1823" s="158" t="s">
        <v>201</v>
      </c>
      <c r="T1823" s="159">
        <v>442</v>
      </c>
      <c r="U1823" s="158" t="s">
        <v>200</v>
      </c>
      <c r="V1823" s="158" t="s">
        <v>720</v>
      </c>
      <c r="W1823" s="159">
        <v>1</v>
      </c>
      <c r="X1823" s="159">
        <v>4</v>
      </c>
      <c r="Y1823" s="158" t="s">
        <v>203</v>
      </c>
      <c r="Z1823" s="158" t="s">
        <v>195</v>
      </c>
      <c r="AA1823" s="158" t="s">
        <v>196</v>
      </c>
      <c r="AB1823" s="158" t="s">
        <v>187</v>
      </c>
      <c r="AC1823" s="158" t="s">
        <v>187</v>
      </c>
      <c r="AD1823" s="160"/>
      <c r="AE1823" s="158" t="s">
        <v>209</v>
      </c>
      <c r="AF1823" s="159">
        <v>7.0125694609671898</v>
      </c>
      <c r="AG1823" s="161">
        <v>80.767063666555401</v>
      </c>
      <c r="AO1823" s="121"/>
      <c r="AT1823" s="111"/>
      <c r="AX1823" s="121"/>
    </row>
    <row r="1824" spans="1:50" s="110" customFormat="1" ht="20" customHeight="1">
      <c r="A1824" s="125" t="s">
        <v>224</v>
      </c>
      <c r="B1824" s="126" t="s">
        <v>68</v>
      </c>
      <c r="C1824" s="127">
        <v>21426</v>
      </c>
      <c r="D1824" s="157">
        <v>118239</v>
      </c>
      <c r="E1824" s="158" t="s">
        <v>2757</v>
      </c>
      <c r="F1824" s="158" t="s">
        <v>2757</v>
      </c>
      <c r="G1824" s="159">
        <v>2200</v>
      </c>
      <c r="H1824" s="159">
        <v>2</v>
      </c>
      <c r="I1824" s="158" t="s">
        <v>209</v>
      </c>
      <c r="J1824" s="158" t="s">
        <v>1989</v>
      </c>
      <c r="K1824" s="158" t="s">
        <v>1990</v>
      </c>
      <c r="L1824" s="159">
        <v>5</v>
      </c>
      <c r="M1824" s="159">
        <v>5</v>
      </c>
      <c r="N1824" s="158" t="s">
        <v>1577</v>
      </c>
      <c r="O1824" s="159">
        <v>15.081</v>
      </c>
      <c r="P1824" s="160"/>
      <c r="Q1824" s="159">
        <v>21</v>
      </c>
      <c r="R1824" s="158" t="s">
        <v>200</v>
      </c>
      <c r="S1824" s="158" t="s">
        <v>201</v>
      </c>
      <c r="T1824" s="159">
        <v>442</v>
      </c>
      <c r="U1824" s="158" t="s">
        <v>200</v>
      </c>
      <c r="V1824" s="158" t="s">
        <v>720</v>
      </c>
      <c r="W1824" s="159">
        <v>1</v>
      </c>
      <c r="X1824" s="159">
        <v>4</v>
      </c>
      <c r="Y1824" s="158" t="s">
        <v>203</v>
      </c>
      <c r="Z1824" s="158" t="s">
        <v>195</v>
      </c>
      <c r="AA1824" s="158" t="s">
        <v>196</v>
      </c>
      <c r="AB1824" s="158" t="s">
        <v>187</v>
      </c>
      <c r="AC1824" s="158" t="s">
        <v>187</v>
      </c>
      <c r="AD1824" s="160"/>
      <c r="AE1824" s="158" t="s">
        <v>209</v>
      </c>
      <c r="AF1824" s="159">
        <v>7.0128629674370604</v>
      </c>
      <c r="AG1824" s="161">
        <v>80.767167970480898</v>
      </c>
      <c r="AO1824" s="121"/>
      <c r="AT1824" s="111"/>
      <c r="AX1824" s="121"/>
    </row>
    <row r="1825" spans="1:50" s="110" customFormat="1" ht="20" customHeight="1">
      <c r="A1825" s="125" t="s">
        <v>224</v>
      </c>
      <c r="B1825" s="126" t="s">
        <v>68</v>
      </c>
      <c r="C1825" s="127">
        <v>17435</v>
      </c>
      <c r="D1825" s="157">
        <v>112838</v>
      </c>
      <c r="E1825" s="158" t="s">
        <v>2535</v>
      </c>
      <c r="F1825" s="158" t="s">
        <v>2535</v>
      </c>
      <c r="G1825" s="159">
        <v>1500</v>
      </c>
      <c r="H1825" s="159">
        <v>2</v>
      </c>
      <c r="I1825" s="158" t="s">
        <v>209</v>
      </c>
      <c r="J1825" s="158" t="s">
        <v>2136</v>
      </c>
      <c r="K1825" s="158" t="s">
        <v>2137</v>
      </c>
      <c r="L1825" s="159">
        <v>5</v>
      </c>
      <c r="M1825" s="159">
        <v>5</v>
      </c>
      <c r="N1825" s="158" t="s">
        <v>1577</v>
      </c>
      <c r="O1825" s="159">
        <v>12.08</v>
      </c>
      <c r="P1825" s="160"/>
      <c r="Q1825" s="159">
        <v>21</v>
      </c>
      <c r="R1825" s="158" t="s">
        <v>200</v>
      </c>
      <c r="S1825" s="158" t="s">
        <v>201</v>
      </c>
      <c r="T1825" s="159">
        <v>442</v>
      </c>
      <c r="U1825" s="158" t="s">
        <v>200</v>
      </c>
      <c r="V1825" s="158" t="s">
        <v>720</v>
      </c>
      <c r="W1825" s="159">
        <v>2</v>
      </c>
      <c r="X1825" s="159">
        <v>4</v>
      </c>
      <c r="Y1825" s="158" t="s">
        <v>203</v>
      </c>
      <c r="Z1825" s="158" t="s">
        <v>195</v>
      </c>
      <c r="AA1825" s="158" t="s">
        <v>196</v>
      </c>
      <c r="AB1825" s="158" t="s">
        <v>187</v>
      </c>
      <c r="AC1825" s="158" t="s">
        <v>187</v>
      </c>
      <c r="AD1825" s="160"/>
      <c r="AE1825" s="158" t="s">
        <v>209</v>
      </c>
      <c r="AF1825" s="159">
        <v>7.7891115855809296</v>
      </c>
      <c r="AG1825" s="161">
        <v>81.497763134683794</v>
      </c>
      <c r="AO1825" s="121"/>
      <c r="AT1825" s="111"/>
      <c r="AX1825" s="121"/>
    </row>
    <row r="1826" spans="1:50" s="110" customFormat="1" ht="20" customHeight="1">
      <c r="A1826" s="125" t="s">
        <v>224</v>
      </c>
      <c r="B1826" s="126" t="s">
        <v>68</v>
      </c>
      <c r="C1826" s="127">
        <v>21416</v>
      </c>
      <c r="D1826" s="157">
        <v>118222</v>
      </c>
      <c r="E1826" s="158" t="s">
        <v>2394</v>
      </c>
      <c r="F1826" s="158" t="s">
        <v>2394</v>
      </c>
      <c r="G1826" s="159">
        <v>1100</v>
      </c>
      <c r="H1826" s="159">
        <v>2</v>
      </c>
      <c r="I1826" s="158" t="s">
        <v>209</v>
      </c>
      <c r="J1826" s="158" t="s">
        <v>1989</v>
      </c>
      <c r="K1826" s="158" t="s">
        <v>1990</v>
      </c>
      <c r="L1826" s="159">
        <v>5</v>
      </c>
      <c r="M1826" s="159">
        <v>5</v>
      </c>
      <c r="N1826" s="158" t="s">
        <v>1577</v>
      </c>
      <c r="O1826" s="159">
        <v>15.765000000000001</v>
      </c>
      <c r="P1826" s="160"/>
      <c r="Q1826" s="159">
        <v>21</v>
      </c>
      <c r="R1826" s="158" t="s">
        <v>200</v>
      </c>
      <c r="S1826" s="158" t="s">
        <v>201</v>
      </c>
      <c r="T1826" s="159">
        <v>442</v>
      </c>
      <c r="U1826" s="158" t="s">
        <v>200</v>
      </c>
      <c r="V1826" s="158" t="s">
        <v>720</v>
      </c>
      <c r="W1826" s="159">
        <v>1</v>
      </c>
      <c r="X1826" s="159">
        <v>4</v>
      </c>
      <c r="Y1826" s="158" t="s">
        <v>203</v>
      </c>
      <c r="Z1826" s="158" t="s">
        <v>195</v>
      </c>
      <c r="AA1826" s="158" t="s">
        <v>196</v>
      </c>
      <c r="AB1826" s="158" t="s">
        <v>187</v>
      </c>
      <c r="AC1826" s="158" t="s">
        <v>187</v>
      </c>
      <c r="AD1826" s="160"/>
      <c r="AE1826" s="158" t="s">
        <v>209</v>
      </c>
      <c r="AF1826" s="159">
        <v>9.5386399819566403</v>
      </c>
      <c r="AG1826" s="161">
        <v>80.230506551528094</v>
      </c>
      <c r="AO1826" s="121"/>
      <c r="AT1826" s="111"/>
      <c r="AX1826" s="121"/>
    </row>
    <row r="1827" spans="1:50" s="110" customFormat="1" ht="20" customHeight="1">
      <c r="A1827" s="125" t="s">
        <v>224</v>
      </c>
      <c r="B1827" s="126" t="s">
        <v>68</v>
      </c>
      <c r="C1827" s="127">
        <v>21444</v>
      </c>
      <c r="D1827" s="157">
        <v>118261</v>
      </c>
      <c r="E1827" s="158" t="s">
        <v>2342</v>
      </c>
      <c r="F1827" s="158" t="s">
        <v>2342</v>
      </c>
      <c r="G1827" s="159">
        <v>1000</v>
      </c>
      <c r="H1827" s="159">
        <v>2</v>
      </c>
      <c r="I1827" s="158" t="s">
        <v>209</v>
      </c>
      <c r="J1827" s="158" t="s">
        <v>1989</v>
      </c>
      <c r="K1827" s="158" t="s">
        <v>1990</v>
      </c>
      <c r="L1827" s="159">
        <v>5</v>
      </c>
      <c r="M1827" s="159">
        <v>5</v>
      </c>
      <c r="N1827" s="158" t="s">
        <v>1577</v>
      </c>
      <c r="O1827" s="159">
        <v>13.978</v>
      </c>
      <c r="P1827" s="160"/>
      <c r="Q1827" s="159">
        <v>21</v>
      </c>
      <c r="R1827" s="158" t="s">
        <v>200</v>
      </c>
      <c r="S1827" s="158" t="s">
        <v>201</v>
      </c>
      <c r="T1827" s="159">
        <v>442</v>
      </c>
      <c r="U1827" s="158" t="s">
        <v>200</v>
      </c>
      <c r="V1827" s="158" t="s">
        <v>720</v>
      </c>
      <c r="W1827" s="159">
        <v>1</v>
      </c>
      <c r="X1827" s="159">
        <v>4</v>
      </c>
      <c r="Y1827" s="158" t="s">
        <v>203</v>
      </c>
      <c r="Z1827" s="158" t="s">
        <v>195</v>
      </c>
      <c r="AA1827" s="158" t="s">
        <v>196</v>
      </c>
      <c r="AB1827" s="158" t="s">
        <v>187</v>
      </c>
      <c r="AC1827" s="158" t="s">
        <v>187</v>
      </c>
      <c r="AD1827" s="160"/>
      <c r="AE1827" s="158" t="s">
        <v>209</v>
      </c>
      <c r="AF1827" s="159">
        <v>9.5387439648160104</v>
      </c>
      <c r="AG1827" s="161">
        <v>80.230648597157398</v>
      </c>
      <c r="AO1827" s="121"/>
      <c r="AT1827" s="111"/>
      <c r="AX1827" s="121"/>
    </row>
    <row r="1828" spans="1:50" s="110" customFormat="1" ht="20" customHeight="1">
      <c r="A1828" s="125" t="s">
        <v>224</v>
      </c>
      <c r="B1828" s="126" t="s">
        <v>68</v>
      </c>
      <c r="C1828" s="127">
        <v>16250</v>
      </c>
      <c r="D1828" s="157">
        <v>111372</v>
      </c>
      <c r="E1828" s="158" t="s">
        <v>2292</v>
      </c>
      <c r="F1828" s="158" t="s">
        <v>2292</v>
      </c>
      <c r="G1828" s="159">
        <v>900</v>
      </c>
      <c r="H1828" s="159">
        <v>2</v>
      </c>
      <c r="I1828" s="158" t="s">
        <v>209</v>
      </c>
      <c r="J1828" s="158" t="s">
        <v>2136</v>
      </c>
      <c r="K1828" s="158" t="s">
        <v>2137</v>
      </c>
      <c r="L1828" s="159">
        <v>5</v>
      </c>
      <c r="M1828" s="159">
        <v>5</v>
      </c>
      <c r="N1828" s="158" t="s">
        <v>1577</v>
      </c>
      <c r="O1828" s="159">
        <v>11.324999999999999</v>
      </c>
      <c r="P1828" s="160"/>
      <c r="Q1828" s="159">
        <v>21</v>
      </c>
      <c r="R1828" s="158" t="s">
        <v>200</v>
      </c>
      <c r="S1828" s="158" t="s">
        <v>201</v>
      </c>
      <c r="T1828" s="159">
        <v>442</v>
      </c>
      <c r="U1828" s="158" t="s">
        <v>200</v>
      </c>
      <c r="V1828" s="158" t="s">
        <v>720</v>
      </c>
      <c r="W1828" s="159">
        <v>2</v>
      </c>
      <c r="X1828" s="159">
        <v>4</v>
      </c>
      <c r="Y1828" s="158" t="s">
        <v>203</v>
      </c>
      <c r="Z1828" s="158" t="s">
        <v>195</v>
      </c>
      <c r="AA1828" s="158" t="s">
        <v>196</v>
      </c>
      <c r="AB1828" s="158" t="s">
        <v>187</v>
      </c>
      <c r="AC1828" s="158" t="s">
        <v>187</v>
      </c>
      <c r="AD1828" s="160"/>
      <c r="AE1828" s="158" t="s">
        <v>209</v>
      </c>
      <c r="AF1828" s="159">
        <v>7.7889655727384701</v>
      </c>
      <c r="AG1828" s="161">
        <v>81.497904448010402</v>
      </c>
      <c r="AO1828" s="121"/>
      <c r="AT1828" s="111"/>
      <c r="AX1828" s="121"/>
    </row>
    <row r="1829" spans="1:50" s="110" customFormat="1" ht="20" customHeight="1">
      <c r="A1829" s="125" t="s">
        <v>224</v>
      </c>
      <c r="B1829" s="126" t="s">
        <v>68</v>
      </c>
      <c r="C1829" s="127">
        <v>21418</v>
      </c>
      <c r="D1829" s="157">
        <v>118226</v>
      </c>
      <c r="E1829" s="158" t="s">
        <v>2230</v>
      </c>
      <c r="F1829" s="158" t="s">
        <v>2230</v>
      </c>
      <c r="G1829" s="159">
        <v>800</v>
      </c>
      <c r="H1829" s="159">
        <v>2</v>
      </c>
      <c r="I1829" s="158" t="s">
        <v>209</v>
      </c>
      <c r="J1829" s="158" t="s">
        <v>1989</v>
      </c>
      <c r="K1829" s="158" t="s">
        <v>1990</v>
      </c>
      <c r="L1829" s="159">
        <v>5</v>
      </c>
      <c r="M1829" s="159">
        <v>5</v>
      </c>
      <c r="N1829" s="158" t="s">
        <v>1577</v>
      </c>
      <c r="O1829" s="159">
        <v>12.417999999999999</v>
      </c>
      <c r="P1829" s="160"/>
      <c r="Q1829" s="159">
        <v>21</v>
      </c>
      <c r="R1829" s="158" t="s">
        <v>200</v>
      </c>
      <c r="S1829" s="158" t="s">
        <v>201</v>
      </c>
      <c r="T1829" s="159">
        <v>442</v>
      </c>
      <c r="U1829" s="158" t="s">
        <v>200</v>
      </c>
      <c r="V1829" s="158" t="s">
        <v>720</v>
      </c>
      <c r="W1829" s="159">
        <v>1</v>
      </c>
      <c r="X1829" s="159">
        <v>4</v>
      </c>
      <c r="Y1829" s="158" t="s">
        <v>203</v>
      </c>
      <c r="Z1829" s="158" t="s">
        <v>195</v>
      </c>
      <c r="AA1829" s="158" t="s">
        <v>196</v>
      </c>
      <c r="AB1829" s="158" t="s">
        <v>187</v>
      </c>
      <c r="AC1829" s="158" t="s">
        <v>187</v>
      </c>
      <c r="AD1829" s="160"/>
      <c r="AE1829" s="158" t="s">
        <v>209</v>
      </c>
      <c r="AF1829" s="159">
        <v>9.5385683442222007</v>
      </c>
      <c r="AG1829" s="161">
        <v>80.230059709639207</v>
      </c>
      <c r="AO1829" s="121"/>
      <c r="AT1829" s="111"/>
      <c r="AX1829" s="121"/>
    </row>
    <row r="1830" spans="1:50" s="110" customFormat="1" ht="20" customHeight="1">
      <c r="A1830" s="125" t="s">
        <v>224</v>
      </c>
      <c r="B1830" s="126" t="s">
        <v>68</v>
      </c>
      <c r="C1830" s="127">
        <v>18318</v>
      </c>
      <c r="D1830" s="157">
        <v>113865</v>
      </c>
      <c r="E1830" s="158" t="s">
        <v>2142</v>
      </c>
      <c r="F1830" s="158" t="s">
        <v>2142</v>
      </c>
      <c r="G1830" s="159">
        <v>700</v>
      </c>
      <c r="H1830" s="159">
        <v>2</v>
      </c>
      <c r="I1830" s="158" t="s">
        <v>209</v>
      </c>
      <c r="J1830" s="158" t="s">
        <v>2136</v>
      </c>
      <c r="K1830" s="158" t="s">
        <v>2137</v>
      </c>
      <c r="L1830" s="159">
        <v>5</v>
      </c>
      <c r="M1830" s="159">
        <v>5</v>
      </c>
      <c r="N1830" s="158" t="s">
        <v>1577</v>
      </c>
      <c r="O1830" s="159">
        <v>12.084</v>
      </c>
      <c r="P1830" s="160"/>
      <c r="Q1830" s="159">
        <v>21</v>
      </c>
      <c r="R1830" s="158" t="s">
        <v>200</v>
      </c>
      <c r="S1830" s="158" t="s">
        <v>201</v>
      </c>
      <c r="T1830" s="159">
        <v>442</v>
      </c>
      <c r="U1830" s="158" t="s">
        <v>200</v>
      </c>
      <c r="V1830" s="158" t="s">
        <v>720</v>
      </c>
      <c r="W1830" s="159">
        <v>2</v>
      </c>
      <c r="X1830" s="159">
        <v>4</v>
      </c>
      <c r="Y1830" s="158" t="s">
        <v>203</v>
      </c>
      <c r="Z1830" s="158" t="s">
        <v>195</v>
      </c>
      <c r="AA1830" s="158" t="s">
        <v>196</v>
      </c>
      <c r="AB1830" s="158" t="s">
        <v>187</v>
      </c>
      <c r="AC1830" s="158" t="s">
        <v>187</v>
      </c>
      <c r="AD1830" s="160"/>
      <c r="AE1830" s="158" t="s">
        <v>209</v>
      </c>
      <c r="AF1830" s="159">
        <v>7.7889840200901803</v>
      </c>
      <c r="AG1830" s="161">
        <v>81.497483701747896</v>
      </c>
      <c r="AO1830" s="121"/>
      <c r="AT1830" s="111"/>
      <c r="AX1830" s="121"/>
    </row>
    <row r="1831" spans="1:50" s="110" customFormat="1" ht="20" customHeight="1">
      <c r="A1831" s="125" t="s">
        <v>224</v>
      </c>
      <c r="B1831" s="126" t="s">
        <v>68</v>
      </c>
      <c r="C1831" s="127">
        <v>21438</v>
      </c>
      <c r="D1831" s="157">
        <v>118254</v>
      </c>
      <c r="E1831" s="158" t="s">
        <v>1993</v>
      </c>
      <c r="F1831" s="158" t="s">
        <v>1993</v>
      </c>
      <c r="G1831" s="159">
        <v>500</v>
      </c>
      <c r="H1831" s="159">
        <v>2</v>
      </c>
      <c r="I1831" s="158" t="s">
        <v>209</v>
      </c>
      <c r="J1831" s="158" t="s">
        <v>1989</v>
      </c>
      <c r="K1831" s="158" t="s">
        <v>1990</v>
      </c>
      <c r="L1831" s="159">
        <v>5</v>
      </c>
      <c r="M1831" s="159">
        <v>5</v>
      </c>
      <c r="N1831" s="158" t="s">
        <v>1577</v>
      </c>
      <c r="O1831" s="159">
        <v>16</v>
      </c>
      <c r="P1831" s="160"/>
      <c r="Q1831" s="159">
        <v>21</v>
      </c>
      <c r="R1831" s="158" t="s">
        <v>200</v>
      </c>
      <c r="S1831" s="158" t="s">
        <v>201</v>
      </c>
      <c r="T1831" s="159">
        <v>442</v>
      </c>
      <c r="U1831" s="158" t="s">
        <v>200</v>
      </c>
      <c r="V1831" s="158" t="s">
        <v>720</v>
      </c>
      <c r="W1831" s="159">
        <v>1</v>
      </c>
      <c r="X1831" s="159">
        <v>4</v>
      </c>
      <c r="Y1831" s="158" t="s">
        <v>203</v>
      </c>
      <c r="Z1831" s="158" t="s">
        <v>195</v>
      </c>
      <c r="AA1831" s="158" t="s">
        <v>196</v>
      </c>
      <c r="AB1831" s="158" t="s">
        <v>187</v>
      </c>
      <c r="AC1831" s="158" t="s">
        <v>187</v>
      </c>
      <c r="AD1831" s="160"/>
      <c r="AE1831" s="158" t="s">
        <v>209</v>
      </c>
      <c r="AF1831" s="159">
        <v>9.5385417888722799</v>
      </c>
      <c r="AG1831" s="161">
        <v>80.230664772879194</v>
      </c>
      <c r="AO1831" s="121"/>
      <c r="AT1831" s="111"/>
      <c r="AX1831" s="121"/>
    </row>
    <row r="1832" spans="1:50" s="110" customFormat="1" ht="20" customHeight="1">
      <c r="A1832" s="125" t="s">
        <v>478</v>
      </c>
      <c r="B1832" s="126" t="s">
        <v>56</v>
      </c>
      <c r="C1832" s="127">
        <v>18211</v>
      </c>
      <c r="D1832" s="157">
        <v>113732</v>
      </c>
      <c r="E1832" s="158" t="s">
        <v>3599</v>
      </c>
      <c r="F1832" s="158" t="s">
        <v>3599</v>
      </c>
      <c r="G1832" s="159">
        <v>35000</v>
      </c>
      <c r="H1832" s="159">
        <v>2</v>
      </c>
      <c r="I1832" s="158" t="s">
        <v>209</v>
      </c>
      <c r="J1832" s="158" t="s">
        <v>1989</v>
      </c>
      <c r="K1832" s="158" t="s">
        <v>1990</v>
      </c>
      <c r="L1832" s="159">
        <v>5</v>
      </c>
      <c r="M1832" s="159">
        <v>5</v>
      </c>
      <c r="N1832" s="158" t="s">
        <v>1577</v>
      </c>
      <c r="O1832" s="159">
        <v>10.5</v>
      </c>
      <c r="P1832" s="159">
        <v>0.5</v>
      </c>
      <c r="Q1832" s="159">
        <v>21</v>
      </c>
      <c r="R1832" s="158" t="s">
        <v>200</v>
      </c>
      <c r="S1832" s="158" t="s">
        <v>201</v>
      </c>
      <c r="T1832" s="159">
        <v>442</v>
      </c>
      <c r="U1832" s="158" t="s">
        <v>200</v>
      </c>
      <c r="V1832" s="158" t="s">
        <v>720</v>
      </c>
      <c r="W1832" s="159">
        <v>19</v>
      </c>
      <c r="X1832" s="159">
        <v>2</v>
      </c>
      <c r="Y1832" s="158" t="s">
        <v>194</v>
      </c>
      <c r="Z1832" s="158" t="s">
        <v>195</v>
      </c>
      <c r="AA1832" s="158" t="s">
        <v>196</v>
      </c>
      <c r="AB1832" s="158" t="s">
        <v>187</v>
      </c>
      <c r="AC1832" s="158" t="s">
        <v>209</v>
      </c>
      <c r="AD1832" s="160"/>
      <c r="AE1832" s="158" t="s">
        <v>209</v>
      </c>
      <c r="AF1832" s="159">
        <v>13.825073</v>
      </c>
      <c r="AG1832" s="161">
        <v>100.56643200000001</v>
      </c>
      <c r="AO1832" s="121"/>
      <c r="AT1832" s="111"/>
      <c r="AX1832" s="121"/>
    </row>
    <row r="1833" spans="1:50" s="110" customFormat="1" ht="20" customHeight="1">
      <c r="A1833" s="125" t="s">
        <v>480</v>
      </c>
      <c r="B1833" s="126" t="s">
        <v>63</v>
      </c>
      <c r="C1833" s="127">
        <v>18211</v>
      </c>
      <c r="D1833" s="157">
        <v>113732</v>
      </c>
      <c r="E1833" s="158" t="s">
        <v>3599</v>
      </c>
      <c r="F1833" s="158" t="s">
        <v>3599</v>
      </c>
      <c r="G1833" s="159">
        <v>9600</v>
      </c>
      <c r="H1833" s="159">
        <v>2</v>
      </c>
      <c r="I1833" s="158" t="s">
        <v>209</v>
      </c>
      <c r="J1833" s="158" t="s">
        <v>1989</v>
      </c>
      <c r="K1833" s="158" t="s">
        <v>1990</v>
      </c>
      <c r="L1833" s="159">
        <v>5</v>
      </c>
      <c r="M1833" s="159">
        <v>5</v>
      </c>
      <c r="N1833" s="158" t="s">
        <v>1577</v>
      </c>
      <c r="O1833" s="159">
        <v>10</v>
      </c>
      <c r="P1833" s="159">
        <v>0.4</v>
      </c>
      <c r="Q1833" s="159">
        <v>21</v>
      </c>
      <c r="R1833" s="158" t="s">
        <v>200</v>
      </c>
      <c r="S1833" s="158" t="s">
        <v>201</v>
      </c>
      <c r="T1833" s="159">
        <v>442</v>
      </c>
      <c r="U1833" s="158" t="s">
        <v>200</v>
      </c>
      <c r="V1833" s="158" t="s">
        <v>720</v>
      </c>
      <c r="W1833" s="159">
        <v>19</v>
      </c>
      <c r="X1833" s="159">
        <v>2</v>
      </c>
      <c r="Y1833" s="158" t="s">
        <v>194</v>
      </c>
      <c r="Z1833" s="158" t="s">
        <v>195</v>
      </c>
      <c r="AA1833" s="158" t="s">
        <v>196</v>
      </c>
      <c r="AB1833" s="158" t="s">
        <v>187</v>
      </c>
      <c r="AC1833" s="158" t="s">
        <v>209</v>
      </c>
      <c r="AD1833" s="160"/>
      <c r="AE1833" s="158" t="s">
        <v>209</v>
      </c>
      <c r="AF1833" s="159">
        <v>20.989940000000001</v>
      </c>
      <c r="AG1833" s="161">
        <v>105.84911099999999</v>
      </c>
      <c r="AO1833" s="121"/>
      <c r="AT1833" s="111"/>
      <c r="AX1833" s="121"/>
    </row>
    <row r="1834" spans="1:50" s="110" customFormat="1" ht="20" customHeight="1">
      <c r="A1834" s="125" t="s">
        <v>486</v>
      </c>
      <c r="B1834" s="126" t="s">
        <v>57</v>
      </c>
      <c r="C1834" s="127">
        <v>18150</v>
      </c>
      <c r="D1834" s="163">
        <v>113659</v>
      </c>
      <c r="E1834" s="164" t="s">
        <v>3327</v>
      </c>
      <c r="F1834" s="164" t="s">
        <v>3327</v>
      </c>
      <c r="G1834" s="165">
        <v>11000</v>
      </c>
      <c r="H1834" s="165">
        <v>1</v>
      </c>
      <c r="I1834" s="164" t="s">
        <v>187</v>
      </c>
      <c r="J1834" s="164" t="s">
        <v>198</v>
      </c>
      <c r="K1834" s="164" t="s">
        <v>199</v>
      </c>
      <c r="L1834" s="165">
        <v>5</v>
      </c>
      <c r="M1834" s="165">
        <v>5</v>
      </c>
      <c r="N1834" s="164" t="s">
        <v>1577</v>
      </c>
      <c r="O1834" s="165">
        <v>0</v>
      </c>
      <c r="P1834" s="165">
        <v>0</v>
      </c>
      <c r="Q1834" s="165">
        <v>21</v>
      </c>
      <c r="R1834" s="164" t="s">
        <v>200</v>
      </c>
      <c r="S1834" s="164" t="s">
        <v>201</v>
      </c>
      <c r="T1834" s="165">
        <v>443</v>
      </c>
      <c r="U1834" s="164" t="s">
        <v>200</v>
      </c>
      <c r="V1834" s="164" t="s">
        <v>3328</v>
      </c>
      <c r="W1834" s="165">
        <v>5</v>
      </c>
      <c r="X1834" s="165">
        <v>4</v>
      </c>
      <c r="Y1834" s="164" t="s">
        <v>203</v>
      </c>
      <c r="Z1834" s="164" t="s">
        <v>195</v>
      </c>
      <c r="AA1834" s="164" t="s">
        <v>196</v>
      </c>
      <c r="AB1834" s="164" t="s">
        <v>187</v>
      </c>
      <c r="AC1834" s="164" t="s">
        <v>187</v>
      </c>
      <c r="AD1834" s="165">
        <v>1</v>
      </c>
      <c r="AE1834" s="164" t="s">
        <v>187</v>
      </c>
      <c r="AF1834" s="165">
        <v>22.762174999999999</v>
      </c>
      <c r="AG1834" s="166">
        <v>91.947434000000001</v>
      </c>
      <c r="AO1834" s="121"/>
      <c r="AT1834" s="111"/>
      <c r="AX1834" s="121"/>
    </row>
    <row r="1835" spans="1:50" s="110" customFormat="1" ht="20" customHeight="1">
      <c r="A1835" s="125" t="s">
        <v>231</v>
      </c>
      <c r="B1835" s="126" t="s">
        <v>66</v>
      </c>
      <c r="C1835" s="127">
        <v>18150</v>
      </c>
      <c r="D1835" s="163">
        <v>113659</v>
      </c>
      <c r="E1835" s="164" t="s">
        <v>3327</v>
      </c>
      <c r="F1835" s="164" t="s">
        <v>3327</v>
      </c>
      <c r="G1835" s="165">
        <v>8800</v>
      </c>
      <c r="H1835" s="165">
        <v>1</v>
      </c>
      <c r="I1835" s="164" t="s">
        <v>187</v>
      </c>
      <c r="J1835" s="164" t="s">
        <v>219</v>
      </c>
      <c r="K1835" s="164" t="s">
        <v>220</v>
      </c>
      <c r="L1835" s="165">
        <v>5</v>
      </c>
      <c r="M1835" s="165">
        <v>5</v>
      </c>
      <c r="N1835" s="164" t="s">
        <v>1577</v>
      </c>
      <c r="O1835" s="165">
        <v>0</v>
      </c>
      <c r="P1835" s="165">
        <v>0</v>
      </c>
      <c r="Q1835" s="165">
        <v>21</v>
      </c>
      <c r="R1835" s="164" t="s">
        <v>200</v>
      </c>
      <c r="S1835" s="164" t="s">
        <v>201</v>
      </c>
      <c r="T1835" s="165">
        <v>443</v>
      </c>
      <c r="U1835" s="164" t="s">
        <v>200</v>
      </c>
      <c r="V1835" s="164" t="s">
        <v>3328</v>
      </c>
      <c r="W1835" s="165">
        <v>5</v>
      </c>
      <c r="X1835" s="165">
        <v>4</v>
      </c>
      <c r="Y1835" s="164" t="s">
        <v>203</v>
      </c>
      <c r="Z1835" s="164" t="s">
        <v>195</v>
      </c>
      <c r="AA1835" s="164" t="s">
        <v>196</v>
      </c>
      <c r="AB1835" s="164" t="s">
        <v>187</v>
      </c>
      <c r="AC1835" s="164" t="s">
        <v>187</v>
      </c>
      <c r="AD1835" s="165">
        <v>1</v>
      </c>
      <c r="AE1835" s="164" t="s">
        <v>187</v>
      </c>
      <c r="AF1835" s="165">
        <v>24.784816166396102</v>
      </c>
      <c r="AG1835" s="166">
        <v>68.760263977962197</v>
      </c>
      <c r="AO1835" s="121"/>
      <c r="AT1835" s="111"/>
      <c r="AX1835" s="121"/>
    </row>
    <row r="1836" spans="1:50" s="110" customFormat="1" ht="20" customHeight="1">
      <c r="A1836" s="125" t="s">
        <v>224</v>
      </c>
      <c r="B1836" s="126" t="s">
        <v>68</v>
      </c>
      <c r="C1836" s="127">
        <v>18150</v>
      </c>
      <c r="D1836" s="163">
        <v>113659</v>
      </c>
      <c r="E1836" s="164" t="s">
        <v>3327</v>
      </c>
      <c r="F1836" s="164" t="s">
        <v>3327</v>
      </c>
      <c r="G1836" s="165">
        <v>6200</v>
      </c>
      <c r="H1836" s="165">
        <v>1</v>
      </c>
      <c r="I1836" s="164" t="s">
        <v>187</v>
      </c>
      <c r="J1836" s="164" t="s">
        <v>1989</v>
      </c>
      <c r="K1836" s="164" t="s">
        <v>1990</v>
      </c>
      <c r="L1836" s="165">
        <v>5</v>
      </c>
      <c r="M1836" s="165">
        <v>5</v>
      </c>
      <c r="N1836" s="164" t="s">
        <v>1577</v>
      </c>
      <c r="O1836" s="165">
        <v>0.995</v>
      </c>
      <c r="P1836" s="168"/>
      <c r="Q1836" s="165">
        <v>21</v>
      </c>
      <c r="R1836" s="164" t="s">
        <v>200</v>
      </c>
      <c r="S1836" s="164" t="s">
        <v>201</v>
      </c>
      <c r="T1836" s="165">
        <v>443</v>
      </c>
      <c r="U1836" s="164" t="s">
        <v>200</v>
      </c>
      <c r="V1836" s="164" t="s">
        <v>3328</v>
      </c>
      <c r="W1836" s="165">
        <v>5</v>
      </c>
      <c r="X1836" s="165">
        <v>4</v>
      </c>
      <c r="Y1836" s="164" t="s">
        <v>203</v>
      </c>
      <c r="Z1836" s="164" t="s">
        <v>195</v>
      </c>
      <c r="AA1836" s="164" t="s">
        <v>196</v>
      </c>
      <c r="AB1836" s="164" t="s">
        <v>187</v>
      </c>
      <c r="AC1836" s="164" t="s">
        <v>187</v>
      </c>
      <c r="AD1836" s="165">
        <v>1</v>
      </c>
      <c r="AE1836" s="164" t="s">
        <v>209</v>
      </c>
      <c r="AF1836" s="165">
        <v>7.0133396581061804</v>
      </c>
      <c r="AG1836" s="166">
        <v>80.766435161294496</v>
      </c>
      <c r="AO1836" s="121"/>
      <c r="AT1836" s="111"/>
      <c r="AX1836" s="121"/>
    </row>
    <row r="1837" spans="1:50" s="110" customFormat="1" ht="20" customHeight="1">
      <c r="A1837" s="125" t="s">
        <v>486</v>
      </c>
      <c r="B1837" s="126" t="s">
        <v>57</v>
      </c>
      <c r="C1837" s="127">
        <v>18229</v>
      </c>
      <c r="D1837" s="163">
        <v>113757</v>
      </c>
      <c r="E1837" s="164" t="s">
        <v>2052</v>
      </c>
      <c r="F1837" s="164" t="s">
        <v>2052</v>
      </c>
      <c r="G1837" s="165">
        <v>144000</v>
      </c>
      <c r="H1837" s="165">
        <v>1</v>
      </c>
      <c r="I1837" s="164" t="s">
        <v>187</v>
      </c>
      <c r="J1837" s="164" t="s">
        <v>198</v>
      </c>
      <c r="K1837" s="164" t="s">
        <v>199</v>
      </c>
      <c r="L1837" s="165">
        <v>5</v>
      </c>
      <c r="M1837" s="165">
        <v>5</v>
      </c>
      <c r="N1837" s="164" t="s">
        <v>1577</v>
      </c>
      <c r="O1837" s="165">
        <v>7.0000000000000001E-3</v>
      </c>
      <c r="P1837" s="168"/>
      <c r="Q1837" s="165">
        <v>21</v>
      </c>
      <c r="R1837" s="164" t="s">
        <v>200</v>
      </c>
      <c r="S1837" s="164" t="s">
        <v>201</v>
      </c>
      <c r="T1837" s="165">
        <v>446</v>
      </c>
      <c r="U1837" s="164" t="s">
        <v>200</v>
      </c>
      <c r="V1837" s="164" t="s">
        <v>2053</v>
      </c>
      <c r="W1837" s="165">
        <v>5</v>
      </c>
      <c r="X1837" s="165">
        <v>4</v>
      </c>
      <c r="Y1837" s="164" t="s">
        <v>203</v>
      </c>
      <c r="Z1837" s="164" t="s">
        <v>195</v>
      </c>
      <c r="AA1837" s="164" t="s">
        <v>196</v>
      </c>
      <c r="AB1837" s="164" t="s">
        <v>187</v>
      </c>
      <c r="AC1837" s="164" t="s">
        <v>187</v>
      </c>
      <c r="AD1837" s="165">
        <v>3</v>
      </c>
      <c r="AE1837" s="164" t="s">
        <v>187</v>
      </c>
      <c r="AF1837" s="165">
        <v>24.0113869555097</v>
      </c>
      <c r="AG1837" s="166">
        <v>90.561415576391099</v>
      </c>
      <c r="AO1837" s="121"/>
      <c r="AT1837" s="111"/>
      <c r="AX1837" s="121"/>
    </row>
    <row r="1838" spans="1:50" s="110" customFormat="1" ht="20" customHeight="1">
      <c r="A1838" s="125" t="s">
        <v>486</v>
      </c>
      <c r="B1838" s="126" t="s">
        <v>57</v>
      </c>
      <c r="C1838" s="127">
        <v>21259</v>
      </c>
      <c r="D1838" s="163">
        <v>118081</v>
      </c>
      <c r="E1838" s="164" t="s">
        <v>2405</v>
      </c>
      <c r="F1838" s="164" t="s">
        <v>2405</v>
      </c>
      <c r="G1838" s="165">
        <v>1200</v>
      </c>
      <c r="H1838" s="165">
        <v>1</v>
      </c>
      <c r="I1838" s="164" t="s">
        <v>187</v>
      </c>
      <c r="J1838" s="164" t="s">
        <v>198</v>
      </c>
      <c r="K1838" s="164" t="s">
        <v>199</v>
      </c>
      <c r="L1838" s="165">
        <v>5</v>
      </c>
      <c r="M1838" s="165">
        <v>5</v>
      </c>
      <c r="N1838" s="164" t="s">
        <v>1577</v>
      </c>
      <c r="O1838" s="165">
        <v>0</v>
      </c>
      <c r="P1838" s="165">
        <v>0</v>
      </c>
      <c r="Q1838" s="165">
        <v>21</v>
      </c>
      <c r="R1838" s="164" t="s">
        <v>200</v>
      </c>
      <c r="S1838" s="164" t="s">
        <v>201</v>
      </c>
      <c r="T1838" s="165">
        <v>446</v>
      </c>
      <c r="U1838" s="164" t="s">
        <v>200</v>
      </c>
      <c r="V1838" s="164" t="s">
        <v>2053</v>
      </c>
      <c r="W1838" s="165">
        <v>3</v>
      </c>
      <c r="X1838" s="165">
        <v>4</v>
      </c>
      <c r="Y1838" s="164" t="s">
        <v>203</v>
      </c>
      <c r="Z1838" s="164" t="s">
        <v>195</v>
      </c>
      <c r="AA1838" s="164" t="s">
        <v>196</v>
      </c>
      <c r="AB1838" s="164" t="s">
        <v>187</v>
      </c>
      <c r="AC1838" s="164" t="s">
        <v>187</v>
      </c>
      <c r="AD1838" s="165">
        <v>1</v>
      </c>
      <c r="AE1838" s="164" t="s">
        <v>187</v>
      </c>
      <c r="AF1838" s="165">
        <v>24.832601222751901</v>
      </c>
      <c r="AG1838" s="166">
        <v>89.419269785932102</v>
      </c>
      <c r="AO1838" s="121"/>
      <c r="AT1838" s="111"/>
      <c r="AX1838" s="121"/>
    </row>
    <row r="1839" spans="1:50" s="110" customFormat="1" ht="20" customHeight="1">
      <c r="A1839" s="125" t="s">
        <v>231</v>
      </c>
      <c r="B1839" s="126" t="s">
        <v>66</v>
      </c>
      <c r="C1839" s="127">
        <v>18229</v>
      </c>
      <c r="D1839" s="163">
        <v>113757</v>
      </c>
      <c r="E1839" s="164" t="s">
        <v>2052</v>
      </c>
      <c r="F1839" s="164" t="s">
        <v>2052</v>
      </c>
      <c r="G1839" s="165">
        <v>600</v>
      </c>
      <c r="H1839" s="165">
        <v>1</v>
      </c>
      <c r="I1839" s="164" t="s">
        <v>187</v>
      </c>
      <c r="J1839" s="164" t="s">
        <v>219</v>
      </c>
      <c r="K1839" s="164" t="s">
        <v>220</v>
      </c>
      <c r="L1839" s="165">
        <v>5</v>
      </c>
      <c r="M1839" s="165">
        <v>5</v>
      </c>
      <c r="N1839" s="164" t="s">
        <v>1577</v>
      </c>
      <c r="O1839" s="165">
        <v>0</v>
      </c>
      <c r="P1839" s="165">
        <v>0</v>
      </c>
      <c r="Q1839" s="165">
        <v>21</v>
      </c>
      <c r="R1839" s="164" t="s">
        <v>200</v>
      </c>
      <c r="S1839" s="164" t="s">
        <v>201</v>
      </c>
      <c r="T1839" s="165">
        <v>446</v>
      </c>
      <c r="U1839" s="164" t="s">
        <v>200</v>
      </c>
      <c r="V1839" s="164" t="s">
        <v>2053</v>
      </c>
      <c r="W1839" s="165">
        <v>5</v>
      </c>
      <c r="X1839" s="165">
        <v>4</v>
      </c>
      <c r="Y1839" s="164" t="s">
        <v>203</v>
      </c>
      <c r="Z1839" s="164" t="s">
        <v>195</v>
      </c>
      <c r="AA1839" s="164" t="s">
        <v>196</v>
      </c>
      <c r="AB1839" s="164" t="s">
        <v>187</v>
      </c>
      <c r="AC1839" s="164" t="s">
        <v>187</v>
      </c>
      <c r="AD1839" s="165">
        <v>1</v>
      </c>
      <c r="AE1839" s="164" t="s">
        <v>187</v>
      </c>
      <c r="AF1839" s="165">
        <v>24.948919526907002</v>
      </c>
      <c r="AG1839" s="166">
        <v>67.019376040478704</v>
      </c>
      <c r="AO1839" s="121"/>
      <c r="AT1839" s="111"/>
      <c r="AX1839" s="121"/>
    </row>
    <row r="1840" spans="1:50" s="110" customFormat="1" ht="20" customHeight="1">
      <c r="A1840" s="125" t="s">
        <v>224</v>
      </c>
      <c r="B1840" s="126" t="s">
        <v>68</v>
      </c>
      <c r="C1840" s="127">
        <v>18229</v>
      </c>
      <c r="D1840" s="157">
        <v>113757</v>
      </c>
      <c r="E1840" s="158" t="s">
        <v>2052</v>
      </c>
      <c r="F1840" s="158" t="s">
        <v>2052</v>
      </c>
      <c r="G1840" s="159">
        <v>4700</v>
      </c>
      <c r="H1840" s="159">
        <v>2</v>
      </c>
      <c r="I1840" s="158" t="s">
        <v>209</v>
      </c>
      <c r="J1840" s="158" t="s">
        <v>1989</v>
      </c>
      <c r="K1840" s="158" t="s">
        <v>1990</v>
      </c>
      <c r="L1840" s="159">
        <v>5</v>
      </c>
      <c r="M1840" s="159">
        <v>5</v>
      </c>
      <c r="N1840" s="158" t="s">
        <v>1577</v>
      </c>
      <c r="O1840" s="159">
        <v>6.9329999999999998</v>
      </c>
      <c r="P1840" s="160"/>
      <c r="Q1840" s="159">
        <v>21</v>
      </c>
      <c r="R1840" s="158" t="s">
        <v>200</v>
      </c>
      <c r="S1840" s="158" t="s">
        <v>201</v>
      </c>
      <c r="T1840" s="159">
        <v>446</v>
      </c>
      <c r="U1840" s="158" t="s">
        <v>200</v>
      </c>
      <c r="V1840" s="158" t="s">
        <v>2053</v>
      </c>
      <c r="W1840" s="159">
        <v>5</v>
      </c>
      <c r="X1840" s="159">
        <v>4</v>
      </c>
      <c r="Y1840" s="158" t="s">
        <v>203</v>
      </c>
      <c r="Z1840" s="158" t="s">
        <v>195</v>
      </c>
      <c r="AA1840" s="158" t="s">
        <v>196</v>
      </c>
      <c r="AB1840" s="158" t="s">
        <v>187</v>
      </c>
      <c r="AC1840" s="158" t="s">
        <v>187</v>
      </c>
      <c r="AD1840" s="160"/>
      <c r="AE1840" s="158" t="s">
        <v>209</v>
      </c>
      <c r="AF1840" s="159">
        <v>7.0132114725382202</v>
      </c>
      <c r="AG1840" s="161">
        <v>80.766235144065206</v>
      </c>
      <c r="AO1840" s="121"/>
      <c r="AT1840" s="111"/>
      <c r="AX1840" s="121"/>
    </row>
    <row r="1841" spans="1:50" s="110" customFormat="1" ht="20" customHeight="1">
      <c r="A1841" s="125" t="s">
        <v>224</v>
      </c>
      <c r="B1841" s="126" t="s">
        <v>68</v>
      </c>
      <c r="C1841" s="127">
        <v>18314</v>
      </c>
      <c r="D1841" s="163">
        <v>113861</v>
      </c>
      <c r="E1841" s="164" t="s">
        <v>3412</v>
      </c>
      <c r="F1841" s="164" t="s">
        <v>3412</v>
      </c>
      <c r="G1841" s="165">
        <v>7100</v>
      </c>
      <c r="H1841" s="165">
        <v>1</v>
      </c>
      <c r="I1841" s="164" t="s">
        <v>187</v>
      </c>
      <c r="J1841" s="164" t="s">
        <v>1989</v>
      </c>
      <c r="K1841" s="164" t="s">
        <v>1990</v>
      </c>
      <c r="L1841" s="165">
        <v>5</v>
      </c>
      <c r="M1841" s="165">
        <v>5</v>
      </c>
      <c r="N1841" s="164" t="s">
        <v>1577</v>
      </c>
      <c r="O1841" s="165">
        <v>2.7959999999999998</v>
      </c>
      <c r="P1841" s="168"/>
      <c r="Q1841" s="165">
        <v>21</v>
      </c>
      <c r="R1841" s="164" t="s">
        <v>200</v>
      </c>
      <c r="S1841" s="164" t="s">
        <v>201</v>
      </c>
      <c r="T1841" s="165">
        <v>449</v>
      </c>
      <c r="U1841" s="164" t="s">
        <v>200</v>
      </c>
      <c r="V1841" s="164" t="s">
        <v>3413</v>
      </c>
      <c r="W1841" s="165">
        <v>2</v>
      </c>
      <c r="X1841" s="165">
        <v>4</v>
      </c>
      <c r="Y1841" s="164" t="s">
        <v>203</v>
      </c>
      <c r="Z1841" s="164" t="s">
        <v>195</v>
      </c>
      <c r="AA1841" s="164" t="s">
        <v>196</v>
      </c>
      <c r="AB1841" s="164" t="s">
        <v>187</v>
      </c>
      <c r="AC1841" s="164" t="s">
        <v>187</v>
      </c>
      <c r="AD1841" s="165">
        <v>1</v>
      </c>
      <c r="AE1841" s="164" t="s">
        <v>209</v>
      </c>
      <c r="AF1841" s="165">
        <v>7.0125000000000002</v>
      </c>
      <c r="AG1841" s="166">
        <v>80.766170000000002</v>
      </c>
      <c r="AO1841" s="121"/>
      <c r="AT1841" s="111"/>
      <c r="AX1841" s="121"/>
    </row>
    <row r="1842" spans="1:50" s="110" customFormat="1" ht="20" customHeight="1">
      <c r="A1842" s="125" t="s">
        <v>486</v>
      </c>
      <c r="B1842" s="126" t="s">
        <v>57</v>
      </c>
      <c r="C1842" s="127">
        <v>16187</v>
      </c>
      <c r="D1842" s="163">
        <v>111292</v>
      </c>
      <c r="E1842" s="164" t="s">
        <v>3424</v>
      </c>
      <c r="F1842" s="164" t="s">
        <v>3424</v>
      </c>
      <c r="G1842" s="165">
        <v>217000</v>
      </c>
      <c r="H1842" s="165">
        <v>1</v>
      </c>
      <c r="I1842" s="164" t="s">
        <v>187</v>
      </c>
      <c r="J1842" s="164" t="s">
        <v>198</v>
      </c>
      <c r="K1842" s="164" t="s">
        <v>199</v>
      </c>
      <c r="L1842" s="165">
        <v>5</v>
      </c>
      <c r="M1842" s="165">
        <v>5</v>
      </c>
      <c r="N1842" s="164" t="s">
        <v>1577</v>
      </c>
      <c r="O1842" s="165">
        <v>0</v>
      </c>
      <c r="P1842" s="165">
        <v>0</v>
      </c>
      <c r="Q1842" s="165">
        <v>21</v>
      </c>
      <c r="R1842" s="164" t="s">
        <v>200</v>
      </c>
      <c r="S1842" s="164" t="s">
        <v>201</v>
      </c>
      <c r="T1842" s="165">
        <v>450</v>
      </c>
      <c r="U1842" s="164" t="s">
        <v>200</v>
      </c>
      <c r="V1842" s="164" t="s">
        <v>2055</v>
      </c>
      <c r="W1842" s="165">
        <v>6</v>
      </c>
      <c r="X1842" s="165">
        <v>4</v>
      </c>
      <c r="Y1842" s="164" t="s">
        <v>203</v>
      </c>
      <c r="Z1842" s="164" t="s">
        <v>195</v>
      </c>
      <c r="AA1842" s="164" t="s">
        <v>196</v>
      </c>
      <c r="AB1842" s="164" t="s">
        <v>187</v>
      </c>
      <c r="AC1842" s="164" t="s">
        <v>187</v>
      </c>
      <c r="AD1842" s="165">
        <v>4</v>
      </c>
      <c r="AE1842" s="164" t="s">
        <v>187</v>
      </c>
      <c r="AF1842" s="165">
        <v>23.9851789972586</v>
      </c>
      <c r="AG1842" s="166">
        <v>90.269991318080301</v>
      </c>
      <c r="AO1842" s="121"/>
      <c r="AT1842" s="111"/>
      <c r="AX1842" s="121"/>
    </row>
    <row r="1843" spans="1:50" s="110" customFormat="1" ht="20" customHeight="1">
      <c r="A1843" s="125" t="s">
        <v>486</v>
      </c>
      <c r="B1843" s="126" t="s">
        <v>57</v>
      </c>
      <c r="C1843" s="127">
        <v>21301</v>
      </c>
      <c r="D1843" s="163">
        <v>118124</v>
      </c>
      <c r="E1843" s="164" t="s">
        <v>4680</v>
      </c>
      <c r="F1843" s="164" t="s">
        <v>4680</v>
      </c>
      <c r="G1843" s="165">
        <v>135000</v>
      </c>
      <c r="H1843" s="165">
        <v>1</v>
      </c>
      <c r="I1843" s="164" t="s">
        <v>187</v>
      </c>
      <c r="J1843" s="164" t="s">
        <v>198</v>
      </c>
      <c r="K1843" s="164" t="s">
        <v>199</v>
      </c>
      <c r="L1843" s="165">
        <v>5</v>
      </c>
      <c r="M1843" s="165">
        <v>5</v>
      </c>
      <c r="N1843" s="164" t="s">
        <v>1577</v>
      </c>
      <c r="O1843" s="165">
        <v>0</v>
      </c>
      <c r="P1843" s="165">
        <v>0</v>
      </c>
      <c r="Q1843" s="165">
        <v>21</v>
      </c>
      <c r="R1843" s="164" t="s">
        <v>200</v>
      </c>
      <c r="S1843" s="164" t="s">
        <v>201</v>
      </c>
      <c r="T1843" s="165">
        <v>450</v>
      </c>
      <c r="U1843" s="164" t="s">
        <v>200</v>
      </c>
      <c r="V1843" s="164" t="s">
        <v>2055</v>
      </c>
      <c r="W1843" s="165">
        <v>2</v>
      </c>
      <c r="X1843" s="165">
        <v>4</v>
      </c>
      <c r="Y1843" s="164" t="s">
        <v>203</v>
      </c>
      <c r="Z1843" s="164" t="s">
        <v>195</v>
      </c>
      <c r="AA1843" s="164" t="s">
        <v>196</v>
      </c>
      <c r="AB1843" s="164" t="s">
        <v>187</v>
      </c>
      <c r="AC1843" s="164" t="s">
        <v>187</v>
      </c>
      <c r="AD1843" s="165">
        <v>3</v>
      </c>
      <c r="AE1843" s="164" t="s">
        <v>187</v>
      </c>
      <c r="AF1843" s="165">
        <v>23.8000123503131</v>
      </c>
      <c r="AG1843" s="166">
        <v>90.2710758147891</v>
      </c>
      <c r="AO1843" s="121"/>
      <c r="AT1843" s="111"/>
      <c r="AX1843" s="121"/>
    </row>
    <row r="1844" spans="1:50" s="110" customFormat="1" ht="20" customHeight="1">
      <c r="A1844" s="125" t="s">
        <v>231</v>
      </c>
      <c r="B1844" s="126" t="s">
        <v>66</v>
      </c>
      <c r="C1844" s="127">
        <v>16187</v>
      </c>
      <c r="D1844" s="163">
        <v>111292</v>
      </c>
      <c r="E1844" s="164" t="s">
        <v>3424</v>
      </c>
      <c r="F1844" s="164" t="s">
        <v>3424</v>
      </c>
      <c r="G1844" s="165">
        <v>7500</v>
      </c>
      <c r="H1844" s="165">
        <v>1</v>
      </c>
      <c r="I1844" s="164" t="s">
        <v>187</v>
      </c>
      <c r="J1844" s="164" t="s">
        <v>219</v>
      </c>
      <c r="K1844" s="164" t="s">
        <v>220</v>
      </c>
      <c r="L1844" s="165">
        <v>5</v>
      </c>
      <c r="M1844" s="165">
        <v>5</v>
      </c>
      <c r="N1844" s="164" t="s">
        <v>1577</v>
      </c>
      <c r="O1844" s="165">
        <v>0.124</v>
      </c>
      <c r="P1844" s="168"/>
      <c r="Q1844" s="165">
        <v>21</v>
      </c>
      <c r="R1844" s="164" t="s">
        <v>200</v>
      </c>
      <c r="S1844" s="164" t="s">
        <v>201</v>
      </c>
      <c r="T1844" s="165">
        <v>450</v>
      </c>
      <c r="U1844" s="164" t="s">
        <v>200</v>
      </c>
      <c r="V1844" s="164" t="s">
        <v>2055</v>
      </c>
      <c r="W1844" s="165">
        <v>6</v>
      </c>
      <c r="X1844" s="165">
        <v>4</v>
      </c>
      <c r="Y1844" s="164" t="s">
        <v>203</v>
      </c>
      <c r="Z1844" s="164" t="s">
        <v>195</v>
      </c>
      <c r="AA1844" s="164" t="s">
        <v>196</v>
      </c>
      <c r="AB1844" s="164" t="s">
        <v>187</v>
      </c>
      <c r="AC1844" s="164" t="s">
        <v>187</v>
      </c>
      <c r="AD1844" s="165">
        <v>1</v>
      </c>
      <c r="AE1844" s="164" t="s">
        <v>209</v>
      </c>
      <c r="AF1844" s="165">
        <v>25.500114924146398</v>
      </c>
      <c r="AG1844" s="166">
        <v>68.514908999579902</v>
      </c>
      <c r="AO1844" s="121"/>
      <c r="AT1844" s="111"/>
      <c r="AX1844" s="121"/>
    </row>
    <row r="1845" spans="1:50" s="110" customFormat="1" ht="20" customHeight="1">
      <c r="A1845" s="125" t="s">
        <v>231</v>
      </c>
      <c r="B1845" s="126" t="s">
        <v>66</v>
      </c>
      <c r="C1845" s="127">
        <v>21299</v>
      </c>
      <c r="D1845" s="163">
        <v>118121</v>
      </c>
      <c r="E1845" s="164" t="s">
        <v>2338</v>
      </c>
      <c r="F1845" s="164" t="s">
        <v>2338</v>
      </c>
      <c r="G1845" s="165">
        <v>1000</v>
      </c>
      <c r="H1845" s="165">
        <v>1</v>
      </c>
      <c r="I1845" s="164" t="s">
        <v>187</v>
      </c>
      <c r="J1845" s="164" t="s">
        <v>219</v>
      </c>
      <c r="K1845" s="164" t="s">
        <v>220</v>
      </c>
      <c r="L1845" s="165">
        <v>5</v>
      </c>
      <c r="M1845" s="165">
        <v>5</v>
      </c>
      <c r="N1845" s="164" t="s">
        <v>1577</v>
      </c>
      <c r="O1845" s="165">
        <v>0</v>
      </c>
      <c r="P1845" s="165">
        <v>0</v>
      </c>
      <c r="Q1845" s="165">
        <v>21</v>
      </c>
      <c r="R1845" s="164" t="s">
        <v>200</v>
      </c>
      <c r="S1845" s="164" t="s">
        <v>201</v>
      </c>
      <c r="T1845" s="165">
        <v>450</v>
      </c>
      <c r="U1845" s="164" t="s">
        <v>200</v>
      </c>
      <c r="V1845" s="164" t="s">
        <v>2055</v>
      </c>
      <c r="W1845" s="165">
        <v>3</v>
      </c>
      <c r="X1845" s="165">
        <v>4</v>
      </c>
      <c r="Y1845" s="164" t="s">
        <v>203</v>
      </c>
      <c r="Z1845" s="164" t="s">
        <v>195</v>
      </c>
      <c r="AA1845" s="164" t="s">
        <v>196</v>
      </c>
      <c r="AB1845" s="164" t="s">
        <v>187</v>
      </c>
      <c r="AC1845" s="164" t="s">
        <v>187</v>
      </c>
      <c r="AD1845" s="165">
        <v>1</v>
      </c>
      <c r="AE1845" s="164" t="s">
        <v>187</v>
      </c>
      <c r="AF1845" s="165">
        <v>24.786456075373401</v>
      </c>
      <c r="AG1845" s="166">
        <v>68.754845561164103</v>
      </c>
      <c r="AO1845" s="121"/>
      <c r="AT1845" s="111"/>
      <c r="AX1845" s="121"/>
    </row>
    <row r="1846" spans="1:50" s="110" customFormat="1" ht="20" customHeight="1">
      <c r="A1846" s="125" t="s">
        <v>231</v>
      </c>
      <c r="B1846" s="126" t="s">
        <v>66</v>
      </c>
      <c r="C1846" s="127">
        <v>21296</v>
      </c>
      <c r="D1846" s="163">
        <v>118119</v>
      </c>
      <c r="E1846" s="164" t="s">
        <v>2054</v>
      </c>
      <c r="F1846" s="164" t="s">
        <v>2054</v>
      </c>
      <c r="G1846" s="165">
        <v>600</v>
      </c>
      <c r="H1846" s="165">
        <v>1</v>
      </c>
      <c r="I1846" s="164" t="s">
        <v>187</v>
      </c>
      <c r="J1846" s="164" t="s">
        <v>219</v>
      </c>
      <c r="K1846" s="164" t="s">
        <v>220</v>
      </c>
      <c r="L1846" s="165">
        <v>5</v>
      </c>
      <c r="M1846" s="165">
        <v>5</v>
      </c>
      <c r="N1846" s="164" t="s">
        <v>1577</v>
      </c>
      <c r="O1846" s="165">
        <v>0</v>
      </c>
      <c r="P1846" s="165">
        <v>0</v>
      </c>
      <c r="Q1846" s="165">
        <v>21</v>
      </c>
      <c r="R1846" s="164" t="s">
        <v>200</v>
      </c>
      <c r="S1846" s="164" t="s">
        <v>201</v>
      </c>
      <c r="T1846" s="165">
        <v>450</v>
      </c>
      <c r="U1846" s="164" t="s">
        <v>200</v>
      </c>
      <c r="V1846" s="164" t="s">
        <v>2055</v>
      </c>
      <c r="W1846" s="165">
        <v>3</v>
      </c>
      <c r="X1846" s="165">
        <v>4</v>
      </c>
      <c r="Y1846" s="164" t="s">
        <v>203</v>
      </c>
      <c r="Z1846" s="164" t="s">
        <v>195</v>
      </c>
      <c r="AA1846" s="164" t="s">
        <v>196</v>
      </c>
      <c r="AB1846" s="164" t="s">
        <v>187</v>
      </c>
      <c r="AC1846" s="164" t="s">
        <v>187</v>
      </c>
      <c r="AD1846" s="165">
        <v>1</v>
      </c>
      <c r="AE1846" s="164" t="s">
        <v>187</v>
      </c>
      <c r="AF1846" s="165">
        <v>24.783263056373499</v>
      </c>
      <c r="AG1846" s="166">
        <v>68.755345058285499</v>
      </c>
      <c r="AO1846" s="121"/>
      <c r="AT1846" s="111"/>
      <c r="AX1846" s="121"/>
    </row>
    <row r="1847" spans="1:50" s="110" customFormat="1" ht="20" customHeight="1">
      <c r="A1847" s="125" t="s">
        <v>224</v>
      </c>
      <c r="B1847" s="126" t="s">
        <v>68</v>
      </c>
      <c r="C1847" s="127">
        <v>16187</v>
      </c>
      <c r="D1847" s="163">
        <v>111292</v>
      </c>
      <c r="E1847" s="164" t="s">
        <v>3424</v>
      </c>
      <c r="F1847" s="164" t="s">
        <v>3424</v>
      </c>
      <c r="G1847" s="165">
        <v>7200</v>
      </c>
      <c r="H1847" s="165">
        <v>1</v>
      </c>
      <c r="I1847" s="164" t="s">
        <v>187</v>
      </c>
      <c r="J1847" s="164" t="s">
        <v>1989</v>
      </c>
      <c r="K1847" s="164" t="s">
        <v>1990</v>
      </c>
      <c r="L1847" s="165">
        <v>5</v>
      </c>
      <c r="M1847" s="165">
        <v>5</v>
      </c>
      <c r="N1847" s="164" t="s">
        <v>1577</v>
      </c>
      <c r="O1847" s="165">
        <v>0.84899999999999998</v>
      </c>
      <c r="P1847" s="168"/>
      <c r="Q1847" s="165">
        <v>21</v>
      </c>
      <c r="R1847" s="164" t="s">
        <v>200</v>
      </c>
      <c r="S1847" s="164" t="s">
        <v>201</v>
      </c>
      <c r="T1847" s="165">
        <v>450</v>
      </c>
      <c r="U1847" s="164" t="s">
        <v>200</v>
      </c>
      <c r="V1847" s="164" t="s">
        <v>2055</v>
      </c>
      <c r="W1847" s="165">
        <v>6</v>
      </c>
      <c r="X1847" s="165">
        <v>4</v>
      </c>
      <c r="Y1847" s="164" t="s">
        <v>203</v>
      </c>
      <c r="Z1847" s="164" t="s">
        <v>195</v>
      </c>
      <c r="AA1847" s="164" t="s">
        <v>196</v>
      </c>
      <c r="AB1847" s="164" t="s">
        <v>187</v>
      </c>
      <c r="AC1847" s="164" t="s">
        <v>187</v>
      </c>
      <c r="AD1847" s="165">
        <v>1</v>
      </c>
      <c r="AE1847" s="164" t="s">
        <v>209</v>
      </c>
      <c r="AF1847" s="165">
        <v>7.0126151622359902</v>
      </c>
      <c r="AG1847" s="166">
        <v>80.766318812632207</v>
      </c>
      <c r="AO1847" s="121"/>
      <c r="AT1847" s="111"/>
      <c r="AX1847" s="121"/>
    </row>
    <row r="1848" spans="1:50" s="110" customFormat="1" ht="20" customHeight="1">
      <c r="A1848" s="125" t="s">
        <v>1620</v>
      </c>
      <c r="B1848" s="126" t="s">
        <v>61</v>
      </c>
      <c r="C1848" s="127">
        <v>14483</v>
      </c>
      <c r="D1848" s="163">
        <v>108182</v>
      </c>
      <c r="E1848" s="164" t="s">
        <v>3715</v>
      </c>
      <c r="F1848" s="164" t="s">
        <v>3715</v>
      </c>
      <c r="G1848" s="165">
        <v>11000</v>
      </c>
      <c r="H1848" s="165">
        <v>1</v>
      </c>
      <c r="I1848" s="164" t="s">
        <v>187</v>
      </c>
      <c r="J1848" s="164" t="s">
        <v>2601</v>
      </c>
      <c r="K1848" s="164" t="s">
        <v>2602</v>
      </c>
      <c r="L1848" s="165">
        <v>5</v>
      </c>
      <c r="M1848" s="165">
        <v>5</v>
      </c>
      <c r="N1848" s="164" t="s">
        <v>1577</v>
      </c>
      <c r="O1848" s="165">
        <v>1.2</v>
      </c>
      <c r="P1848" s="165">
        <v>0.629</v>
      </c>
      <c r="Q1848" s="165">
        <v>21</v>
      </c>
      <c r="R1848" s="164" t="s">
        <v>200</v>
      </c>
      <c r="S1848" s="164" t="s">
        <v>201</v>
      </c>
      <c r="T1848" s="165">
        <v>462</v>
      </c>
      <c r="U1848" s="164" t="s">
        <v>200</v>
      </c>
      <c r="V1848" s="164" t="s">
        <v>202</v>
      </c>
      <c r="W1848" s="165">
        <v>19</v>
      </c>
      <c r="X1848" s="165">
        <v>2</v>
      </c>
      <c r="Y1848" s="164" t="s">
        <v>194</v>
      </c>
      <c r="Z1848" s="164" t="s">
        <v>195</v>
      </c>
      <c r="AA1848" s="164" t="s">
        <v>196</v>
      </c>
      <c r="AB1848" s="164" t="s">
        <v>187</v>
      </c>
      <c r="AC1848" s="164" t="s">
        <v>209</v>
      </c>
      <c r="AD1848" s="165">
        <v>1</v>
      </c>
      <c r="AE1848" s="164" t="s">
        <v>209</v>
      </c>
      <c r="AF1848" s="165">
        <v>16.8670948131751</v>
      </c>
      <c r="AG1848" s="166">
        <v>96.126759301000902</v>
      </c>
      <c r="AO1848" s="121"/>
      <c r="AT1848" s="111"/>
      <c r="AX1848" s="121"/>
    </row>
    <row r="1849" spans="1:50" s="110" customFormat="1" ht="20" customHeight="1">
      <c r="A1849" s="125" t="s">
        <v>224</v>
      </c>
      <c r="B1849" s="126" t="s">
        <v>68</v>
      </c>
      <c r="C1849" s="127">
        <v>16315</v>
      </c>
      <c r="D1849" s="163">
        <v>111445</v>
      </c>
      <c r="E1849" s="164" t="s">
        <v>2227</v>
      </c>
      <c r="F1849" s="164" t="s">
        <v>2227</v>
      </c>
      <c r="G1849" s="165">
        <v>800</v>
      </c>
      <c r="H1849" s="165">
        <v>1</v>
      </c>
      <c r="I1849" s="164" t="s">
        <v>187</v>
      </c>
      <c r="J1849" s="164" t="s">
        <v>2228</v>
      </c>
      <c r="K1849" s="164" t="s">
        <v>2229</v>
      </c>
      <c r="L1849" s="165">
        <v>5</v>
      </c>
      <c r="M1849" s="165">
        <v>5</v>
      </c>
      <c r="N1849" s="164" t="s">
        <v>1577</v>
      </c>
      <c r="O1849" s="165">
        <v>0</v>
      </c>
      <c r="P1849" s="165">
        <v>0</v>
      </c>
      <c r="Q1849" s="165">
        <v>21</v>
      </c>
      <c r="R1849" s="164" t="s">
        <v>200</v>
      </c>
      <c r="S1849" s="164" t="s">
        <v>201</v>
      </c>
      <c r="T1849" s="165">
        <v>471</v>
      </c>
      <c r="U1849" s="164" t="s">
        <v>200</v>
      </c>
      <c r="V1849" s="164" t="s">
        <v>410</v>
      </c>
      <c r="W1849" s="165">
        <v>2</v>
      </c>
      <c r="X1849" s="165">
        <v>4</v>
      </c>
      <c r="Y1849" s="164" t="s">
        <v>203</v>
      </c>
      <c r="Z1849" s="164" t="s">
        <v>195</v>
      </c>
      <c r="AA1849" s="164" t="s">
        <v>196</v>
      </c>
      <c r="AB1849" s="164" t="s">
        <v>187</v>
      </c>
      <c r="AC1849" s="164" t="s">
        <v>187</v>
      </c>
      <c r="AD1849" s="165">
        <v>1</v>
      </c>
      <c r="AE1849" s="164" t="s">
        <v>187</v>
      </c>
      <c r="AF1849" s="165">
        <v>7.0130521377129798</v>
      </c>
      <c r="AG1849" s="166">
        <v>80.766282113021902</v>
      </c>
      <c r="AO1849" s="121"/>
      <c r="AT1849" s="111"/>
      <c r="AX1849" s="121"/>
    </row>
    <row r="1850" spans="1:50" s="110" customFormat="1" ht="20" customHeight="1">
      <c r="A1850" s="125" t="s">
        <v>486</v>
      </c>
      <c r="B1850" s="126" t="s">
        <v>57</v>
      </c>
      <c r="C1850" s="127">
        <v>16855</v>
      </c>
      <c r="D1850" s="163">
        <v>112137</v>
      </c>
      <c r="E1850" s="164" t="s">
        <v>3292</v>
      </c>
      <c r="F1850" s="164" t="s">
        <v>3292</v>
      </c>
      <c r="G1850" s="165">
        <v>6000</v>
      </c>
      <c r="H1850" s="165">
        <v>1</v>
      </c>
      <c r="I1850" s="164" t="s">
        <v>187</v>
      </c>
      <c r="J1850" s="164" t="s">
        <v>3293</v>
      </c>
      <c r="K1850" s="164" t="s">
        <v>3294</v>
      </c>
      <c r="L1850" s="165">
        <v>4</v>
      </c>
      <c r="M1850" s="165">
        <v>5</v>
      </c>
      <c r="N1850" s="164" t="s">
        <v>1577</v>
      </c>
      <c r="O1850" s="165">
        <v>1.109</v>
      </c>
      <c r="P1850" s="168"/>
      <c r="Q1850" s="165">
        <v>21</v>
      </c>
      <c r="R1850" s="164" t="s">
        <v>200</v>
      </c>
      <c r="S1850" s="164" t="s">
        <v>201</v>
      </c>
      <c r="T1850" s="165">
        <v>473</v>
      </c>
      <c r="U1850" s="164" t="s">
        <v>200</v>
      </c>
      <c r="V1850" s="164" t="s">
        <v>3295</v>
      </c>
      <c r="W1850" s="165">
        <v>2</v>
      </c>
      <c r="X1850" s="165">
        <v>4</v>
      </c>
      <c r="Y1850" s="164" t="s">
        <v>203</v>
      </c>
      <c r="Z1850" s="164" t="s">
        <v>195</v>
      </c>
      <c r="AA1850" s="164" t="s">
        <v>196</v>
      </c>
      <c r="AB1850" s="164" t="s">
        <v>187</v>
      </c>
      <c r="AC1850" s="164" t="s">
        <v>187</v>
      </c>
      <c r="AD1850" s="165">
        <v>1</v>
      </c>
      <c r="AE1850" s="164" t="s">
        <v>209</v>
      </c>
      <c r="AF1850" s="165">
        <v>25.0517775128586</v>
      </c>
      <c r="AG1850" s="166">
        <v>91.584820314682503</v>
      </c>
      <c r="AO1850" s="121"/>
      <c r="AT1850" s="111"/>
      <c r="AX1850" s="121"/>
    </row>
    <row r="1851" spans="1:50" s="110" customFormat="1" ht="20" customHeight="1">
      <c r="A1851" s="125" t="s">
        <v>486</v>
      </c>
      <c r="B1851" s="126" t="s">
        <v>57</v>
      </c>
      <c r="C1851" s="127">
        <v>20018</v>
      </c>
      <c r="D1851" s="163">
        <v>105069</v>
      </c>
      <c r="E1851" s="164" t="s">
        <v>4638</v>
      </c>
      <c r="F1851" s="164" t="s">
        <v>4638</v>
      </c>
      <c r="G1851" s="165">
        <v>116000</v>
      </c>
      <c r="H1851" s="165">
        <v>1</v>
      </c>
      <c r="I1851" s="164" t="s">
        <v>187</v>
      </c>
      <c r="J1851" s="164" t="s">
        <v>4639</v>
      </c>
      <c r="K1851" s="164" t="s">
        <v>4640</v>
      </c>
      <c r="L1851" s="165">
        <v>3</v>
      </c>
      <c r="M1851" s="165">
        <v>5</v>
      </c>
      <c r="N1851" s="164" t="s">
        <v>1577</v>
      </c>
      <c r="O1851" s="165">
        <v>0.2</v>
      </c>
      <c r="P1851" s="168"/>
      <c r="Q1851" s="165">
        <v>21</v>
      </c>
      <c r="R1851" s="164" t="s">
        <v>200</v>
      </c>
      <c r="S1851" s="164" t="s">
        <v>201</v>
      </c>
      <c r="T1851" s="165">
        <v>475</v>
      </c>
      <c r="U1851" s="164" t="s">
        <v>200</v>
      </c>
      <c r="V1851" s="164" t="s">
        <v>392</v>
      </c>
      <c r="W1851" s="165">
        <v>3</v>
      </c>
      <c r="X1851" s="165">
        <v>4</v>
      </c>
      <c r="Y1851" s="164" t="s">
        <v>203</v>
      </c>
      <c r="Z1851" s="164" t="s">
        <v>195</v>
      </c>
      <c r="AA1851" s="164" t="s">
        <v>196</v>
      </c>
      <c r="AB1851" s="164" t="s">
        <v>187</v>
      </c>
      <c r="AC1851" s="164" t="s">
        <v>187</v>
      </c>
      <c r="AD1851" s="165">
        <v>2</v>
      </c>
      <c r="AE1851" s="164" t="s">
        <v>209</v>
      </c>
      <c r="AF1851" s="165">
        <v>25.78314</v>
      </c>
      <c r="AG1851" s="166">
        <v>89.597930000000005</v>
      </c>
      <c r="AO1851" s="121"/>
      <c r="AT1851" s="111"/>
      <c r="AX1851" s="121"/>
    </row>
    <row r="1852" spans="1:50" s="110" customFormat="1" ht="20" customHeight="1">
      <c r="A1852" s="125" t="s">
        <v>486</v>
      </c>
      <c r="B1852" s="126" t="s">
        <v>57</v>
      </c>
      <c r="C1852" s="127">
        <v>16944</v>
      </c>
      <c r="D1852" s="163">
        <v>112247</v>
      </c>
      <c r="E1852" s="164" t="s">
        <v>4487</v>
      </c>
      <c r="F1852" s="164" t="s">
        <v>4487</v>
      </c>
      <c r="G1852" s="165">
        <v>66000</v>
      </c>
      <c r="H1852" s="165">
        <v>1</v>
      </c>
      <c r="I1852" s="164" t="s">
        <v>187</v>
      </c>
      <c r="J1852" s="164" t="s">
        <v>647</v>
      </c>
      <c r="K1852" s="164" t="s">
        <v>648</v>
      </c>
      <c r="L1852" s="165">
        <v>4</v>
      </c>
      <c r="M1852" s="165">
        <v>5</v>
      </c>
      <c r="N1852" s="164" t="s">
        <v>1577</v>
      </c>
      <c r="O1852" s="165">
        <v>3.6880000000000002</v>
      </c>
      <c r="P1852" s="168"/>
      <c r="Q1852" s="165">
        <v>21</v>
      </c>
      <c r="R1852" s="164" t="s">
        <v>200</v>
      </c>
      <c r="S1852" s="164" t="s">
        <v>201</v>
      </c>
      <c r="T1852" s="165">
        <v>475</v>
      </c>
      <c r="U1852" s="164" t="s">
        <v>200</v>
      </c>
      <c r="V1852" s="164" t="s">
        <v>392</v>
      </c>
      <c r="W1852" s="165">
        <v>2</v>
      </c>
      <c r="X1852" s="165">
        <v>4</v>
      </c>
      <c r="Y1852" s="164" t="s">
        <v>203</v>
      </c>
      <c r="Z1852" s="164" t="s">
        <v>195</v>
      </c>
      <c r="AA1852" s="164" t="s">
        <v>196</v>
      </c>
      <c r="AB1852" s="164" t="s">
        <v>187</v>
      </c>
      <c r="AC1852" s="164" t="s">
        <v>187</v>
      </c>
      <c r="AD1852" s="165">
        <v>1</v>
      </c>
      <c r="AE1852" s="164" t="s">
        <v>209</v>
      </c>
      <c r="AF1852" s="165">
        <v>25.8229785629247</v>
      </c>
      <c r="AG1852" s="166">
        <v>88.566413797810199</v>
      </c>
      <c r="AO1852" s="121"/>
      <c r="AT1852" s="111"/>
      <c r="AX1852" s="121"/>
    </row>
    <row r="1853" spans="1:50" s="110" customFormat="1" ht="20" customHeight="1">
      <c r="A1853" s="125" t="s">
        <v>486</v>
      </c>
      <c r="B1853" s="126" t="s">
        <v>57</v>
      </c>
      <c r="C1853" s="127">
        <v>17434</v>
      </c>
      <c r="D1853" s="163">
        <v>112837</v>
      </c>
      <c r="E1853" s="164" t="s">
        <v>4282</v>
      </c>
      <c r="F1853" s="164" t="s">
        <v>4282</v>
      </c>
      <c r="G1853" s="165">
        <v>35000</v>
      </c>
      <c r="H1853" s="165">
        <v>1</v>
      </c>
      <c r="I1853" s="164" t="s">
        <v>187</v>
      </c>
      <c r="J1853" s="164" t="s">
        <v>4283</v>
      </c>
      <c r="K1853" s="164" t="s">
        <v>4284</v>
      </c>
      <c r="L1853" s="165">
        <v>5</v>
      </c>
      <c r="M1853" s="165">
        <v>5</v>
      </c>
      <c r="N1853" s="164" t="s">
        <v>1577</v>
      </c>
      <c r="O1853" s="165">
        <v>1.8819999999999999</v>
      </c>
      <c r="P1853" s="168"/>
      <c r="Q1853" s="165">
        <v>21</v>
      </c>
      <c r="R1853" s="164" t="s">
        <v>200</v>
      </c>
      <c r="S1853" s="164" t="s">
        <v>201</v>
      </c>
      <c r="T1853" s="165">
        <v>475</v>
      </c>
      <c r="U1853" s="164" t="s">
        <v>200</v>
      </c>
      <c r="V1853" s="164" t="s">
        <v>392</v>
      </c>
      <c r="W1853" s="165">
        <v>2</v>
      </c>
      <c r="X1853" s="165">
        <v>4</v>
      </c>
      <c r="Y1853" s="164" t="s">
        <v>203</v>
      </c>
      <c r="Z1853" s="164" t="s">
        <v>195</v>
      </c>
      <c r="AA1853" s="164" t="s">
        <v>196</v>
      </c>
      <c r="AB1853" s="164" t="s">
        <v>187</v>
      </c>
      <c r="AC1853" s="164" t="s">
        <v>187</v>
      </c>
      <c r="AD1853" s="165">
        <v>1</v>
      </c>
      <c r="AE1853" s="164" t="s">
        <v>209</v>
      </c>
      <c r="AF1853" s="165">
        <v>25.155275679818601</v>
      </c>
      <c r="AG1853" s="166">
        <v>88.756923252657899</v>
      </c>
      <c r="AO1853" s="121"/>
      <c r="AT1853" s="111"/>
      <c r="AX1853" s="121"/>
    </row>
    <row r="1854" spans="1:50" s="110" customFormat="1" ht="20" customHeight="1">
      <c r="A1854" s="125" t="s">
        <v>486</v>
      </c>
      <c r="B1854" s="126" t="s">
        <v>57</v>
      </c>
      <c r="C1854" s="127">
        <v>16447</v>
      </c>
      <c r="D1854" s="163">
        <v>111603</v>
      </c>
      <c r="E1854" s="164" t="s">
        <v>4179</v>
      </c>
      <c r="F1854" s="164" t="s">
        <v>4179</v>
      </c>
      <c r="G1854" s="165">
        <v>28000</v>
      </c>
      <c r="H1854" s="165">
        <v>1</v>
      </c>
      <c r="I1854" s="164" t="s">
        <v>187</v>
      </c>
      <c r="J1854" s="164" t="s">
        <v>647</v>
      </c>
      <c r="K1854" s="164" t="s">
        <v>648</v>
      </c>
      <c r="L1854" s="165">
        <v>4</v>
      </c>
      <c r="M1854" s="165">
        <v>5</v>
      </c>
      <c r="N1854" s="164" t="s">
        <v>1577</v>
      </c>
      <c r="O1854" s="165">
        <v>3.117</v>
      </c>
      <c r="P1854" s="168"/>
      <c r="Q1854" s="165">
        <v>21</v>
      </c>
      <c r="R1854" s="164" t="s">
        <v>200</v>
      </c>
      <c r="S1854" s="164" t="s">
        <v>201</v>
      </c>
      <c r="T1854" s="165">
        <v>475</v>
      </c>
      <c r="U1854" s="164" t="s">
        <v>200</v>
      </c>
      <c r="V1854" s="164" t="s">
        <v>392</v>
      </c>
      <c r="W1854" s="165">
        <v>2</v>
      </c>
      <c r="X1854" s="165">
        <v>4</v>
      </c>
      <c r="Y1854" s="164" t="s">
        <v>203</v>
      </c>
      <c r="Z1854" s="164" t="s">
        <v>195</v>
      </c>
      <c r="AA1854" s="164" t="s">
        <v>196</v>
      </c>
      <c r="AB1854" s="164" t="s">
        <v>187</v>
      </c>
      <c r="AC1854" s="164" t="s">
        <v>187</v>
      </c>
      <c r="AD1854" s="165">
        <v>1</v>
      </c>
      <c r="AE1854" s="164" t="s">
        <v>209</v>
      </c>
      <c r="AF1854" s="165">
        <v>24.888957999999999</v>
      </c>
      <c r="AG1854" s="166">
        <v>91.886858000000004</v>
      </c>
      <c r="AO1854" s="121"/>
      <c r="AT1854" s="111"/>
      <c r="AX1854" s="121"/>
    </row>
    <row r="1855" spans="1:50" s="110" customFormat="1" ht="20" customHeight="1">
      <c r="A1855" s="125" t="s">
        <v>486</v>
      </c>
      <c r="B1855" s="126" t="s">
        <v>57</v>
      </c>
      <c r="C1855" s="127">
        <v>12036</v>
      </c>
      <c r="D1855" s="163">
        <v>103647</v>
      </c>
      <c r="E1855" s="164" t="s">
        <v>3972</v>
      </c>
      <c r="F1855" s="164" t="s">
        <v>3972</v>
      </c>
      <c r="G1855" s="165">
        <v>18000</v>
      </c>
      <c r="H1855" s="165">
        <v>1</v>
      </c>
      <c r="I1855" s="164" t="s">
        <v>187</v>
      </c>
      <c r="J1855" s="164" t="s">
        <v>3973</v>
      </c>
      <c r="K1855" s="164" t="s">
        <v>3974</v>
      </c>
      <c r="L1855" s="165">
        <v>3</v>
      </c>
      <c r="M1855" s="165">
        <v>5</v>
      </c>
      <c r="N1855" s="164" t="s">
        <v>1577</v>
      </c>
      <c r="O1855" s="165">
        <v>0</v>
      </c>
      <c r="P1855" s="165">
        <v>0</v>
      </c>
      <c r="Q1855" s="165">
        <v>21</v>
      </c>
      <c r="R1855" s="164" t="s">
        <v>200</v>
      </c>
      <c r="S1855" s="164" t="s">
        <v>201</v>
      </c>
      <c r="T1855" s="165">
        <v>475</v>
      </c>
      <c r="U1855" s="164" t="s">
        <v>200</v>
      </c>
      <c r="V1855" s="164" t="s">
        <v>392</v>
      </c>
      <c r="W1855" s="165">
        <v>2</v>
      </c>
      <c r="X1855" s="165">
        <v>4</v>
      </c>
      <c r="Y1855" s="164" t="s">
        <v>203</v>
      </c>
      <c r="Z1855" s="164" t="s">
        <v>195</v>
      </c>
      <c r="AA1855" s="164" t="s">
        <v>196</v>
      </c>
      <c r="AB1855" s="164" t="s">
        <v>187</v>
      </c>
      <c r="AC1855" s="164" t="s">
        <v>187</v>
      </c>
      <c r="AD1855" s="165">
        <v>1</v>
      </c>
      <c r="AE1855" s="164" t="s">
        <v>187</v>
      </c>
      <c r="AF1855" s="165">
        <v>25.738655999999999</v>
      </c>
      <c r="AG1855" s="166">
        <v>89.588206999999997</v>
      </c>
      <c r="AO1855" s="121"/>
      <c r="AT1855" s="111"/>
      <c r="AX1855" s="121"/>
    </row>
    <row r="1856" spans="1:50" s="110" customFormat="1" ht="20" customHeight="1">
      <c r="A1856" s="125" t="s">
        <v>486</v>
      </c>
      <c r="B1856" s="126" t="s">
        <v>57</v>
      </c>
      <c r="C1856" s="127">
        <v>17741</v>
      </c>
      <c r="D1856" s="163">
        <v>113199</v>
      </c>
      <c r="E1856" s="164" t="s">
        <v>3938</v>
      </c>
      <c r="F1856" s="164" t="s">
        <v>3938</v>
      </c>
      <c r="G1856" s="165">
        <v>17000</v>
      </c>
      <c r="H1856" s="165">
        <v>1</v>
      </c>
      <c r="I1856" s="164" t="s">
        <v>187</v>
      </c>
      <c r="J1856" s="164" t="s">
        <v>198</v>
      </c>
      <c r="K1856" s="164" t="s">
        <v>199</v>
      </c>
      <c r="L1856" s="165">
        <v>5</v>
      </c>
      <c r="M1856" s="165">
        <v>5</v>
      </c>
      <c r="N1856" s="164" t="s">
        <v>1577</v>
      </c>
      <c r="O1856" s="165">
        <v>0</v>
      </c>
      <c r="P1856" s="165">
        <v>0</v>
      </c>
      <c r="Q1856" s="165">
        <v>21</v>
      </c>
      <c r="R1856" s="164" t="s">
        <v>200</v>
      </c>
      <c r="S1856" s="164" t="s">
        <v>201</v>
      </c>
      <c r="T1856" s="165">
        <v>475</v>
      </c>
      <c r="U1856" s="164" t="s">
        <v>200</v>
      </c>
      <c r="V1856" s="164" t="s">
        <v>392</v>
      </c>
      <c r="W1856" s="165">
        <v>2</v>
      </c>
      <c r="X1856" s="165">
        <v>4</v>
      </c>
      <c r="Y1856" s="164" t="s">
        <v>203</v>
      </c>
      <c r="Z1856" s="164" t="s">
        <v>195</v>
      </c>
      <c r="AA1856" s="164" t="s">
        <v>196</v>
      </c>
      <c r="AB1856" s="164" t="s">
        <v>187</v>
      </c>
      <c r="AC1856" s="164" t="s">
        <v>187</v>
      </c>
      <c r="AD1856" s="165">
        <v>1</v>
      </c>
      <c r="AE1856" s="164" t="s">
        <v>187</v>
      </c>
      <c r="AF1856" s="165">
        <v>23.898951332155601</v>
      </c>
      <c r="AG1856" s="166">
        <v>90.570079080492206</v>
      </c>
      <c r="AO1856" s="121"/>
      <c r="AT1856" s="111"/>
      <c r="AX1856" s="121"/>
    </row>
    <row r="1857" spans="1:50" s="110" customFormat="1" ht="20" customHeight="1">
      <c r="A1857" s="125" t="s">
        <v>486</v>
      </c>
      <c r="B1857" s="126" t="s">
        <v>57</v>
      </c>
      <c r="C1857" s="127">
        <v>16367</v>
      </c>
      <c r="D1857" s="163">
        <v>111509</v>
      </c>
      <c r="E1857" s="164" t="s">
        <v>3874</v>
      </c>
      <c r="F1857" s="164" t="s">
        <v>3874</v>
      </c>
      <c r="G1857" s="165">
        <v>15000</v>
      </c>
      <c r="H1857" s="165">
        <v>1</v>
      </c>
      <c r="I1857" s="164" t="s">
        <v>187</v>
      </c>
      <c r="J1857" s="164" t="s">
        <v>198</v>
      </c>
      <c r="K1857" s="164" t="s">
        <v>199</v>
      </c>
      <c r="L1857" s="165">
        <v>5</v>
      </c>
      <c r="M1857" s="165">
        <v>5</v>
      </c>
      <c r="N1857" s="164" t="s">
        <v>1577</v>
      </c>
      <c r="O1857" s="165">
        <v>2.5219999999999998</v>
      </c>
      <c r="P1857" s="168"/>
      <c r="Q1857" s="165">
        <v>21</v>
      </c>
      <c r="R1857" s="164" t="s">
        <v>200</v>
      </c>
      <c r="S1857" s="164" t="s">
        <v>201</v>
      </c>
      <c r="T1857" s="165">
        <v>475</v>
      </c>
      <c r="U1857" s="164" t="s">
        <v>200</v>
      </c>
      <c r="V1857" s="164" t="s">
        <v>392</v>
      </c>
      <c r="W1857" s="165">
        <v>3</v>
      </c>
      <c r="X1857" s="165">
        <v>4</v>
      </c>
      <c r="Y1857" s="164" t="s">
        <v>203</v>
      </c>
      <c r="Z1857" s="164" t="s">
        <v>195</v>
      </c>
      <c r="AA1857" s="164" t="s">
        <v>196</v>
      </c>
      <c r="AB1857" s="164" t="s">
        <v>187</v>
      </c>
      <c r="AC1857" s="164" t="s">
        <v>187</v>
      </c>
      <c r="AD1857" s="165">
        <v>1</v>
      </c>
      <c r="AE1857" s="164" t="s">
        <v>209</v>
      </c>
      <c r="AF1857" s="165">
        <v>25.019588568841399</v>
      </c>
      <c r="AG1857" s="166">
        <v>91.472566163624805</v>
      </c>
      <c r="AO1857" s="121"/>
      <c r="AT1857" s="111"/>
      <c r="AX1857" s="121"/>
    </row>
    <row r="1858" spans="1:50" s="110" customFormat="1" ht="20" customHeight="1">
      <c r="A1858" s="125" t="s">
        <v>486</v>
      </c>
      <c r="B1858" s="126" t="s">
        <v>57</v>
      </c>
      <c r="C1858" s="127">
        <v>17130</v>
      </c>
      <c r="D1858" s="163">
        <v>112479</v>
      </c>
      <c r="E1858" s="164" t="s">
        <v>3650</v>
      </c>
      <c r="F1858" s="164" t="s">
        <v>3650</v>
      </c>
      <c r="G1858" s="165">
        <v>11000</v>
      </c>
      <c r="H1858" s="165">
        <v>1</v>
      </c>
      <c r="I1858" s="164" t="s">
        <v>187</v>
      </c>
      <c r="J1858" s="164" t="s">
        <v>3651</v>
      </c>
      <c r="K1858" s="164" t="s">
        <v>3652</v>
      </c>
      <c r="L1858" s="165">
        <v>4</v>
      </c>
      <c r="M1858" s="165">
        <v>5</v>
      </c>
      <c r="N1858" s="164" t="s">
        <v>1577</v>
      </c>
      <c r="O1858" s="165">
        <v>0</v>
      </c>
      <c r="P1858" s="165">
        <v>0</v>
      </c>
      <c r="Q1858" s="165">
        <v>21</v>
      </c>
      <c r="R1858" s="164" t="s">
        <v>200</v>
      </c>
      <c r="S1858" s="164" t="s">
        <v>201</v>
      </c>
      <c r="T1858" s="165">
        <v>475</v>
      </c>
      <c r="U1858" s="164" t="s">
        <v>200</v>
      </c>
      <c r="V1858" s="164" t="s">
        <v>392</v>
      </c>
      <c r="W1858" s="165">
        <v>2</v>
      </c>
      <c r="X1858" s="165">
        <v>4</v>
      </c>
      <c r="Y1858" s="164" t="s">
        <v>203</v>
      </c>
      <c r="Z1858" s="164" t="s">
        <v>195</v>
      </c>
      <c r="AA1858" s="164" t="s">
        <v>196</v>
      </c>
      <c r="AB1858" s="164" t="s">
        <v>187</v>
      </c>
      <c r="AC1858" s="164" t="s">
        <v>187</v>
      </c>
      <c r="AD1858" s="165">
        <v>1</v>
      </c>
      <c r="AE1858" s="164" t="s">
        <v>187</v>
      </c>
      <c r="AF1858" s="165">
        <v>25.101372583454602</v>
      </c>
      <c r="AG1858" s="166">
        <v>89.406927395650897</v>
      </c>
      <c r="AO1858" s="121"/>
      <c r="AT1858" s="111"/>
      <c r="AX1858" s="121"/>
    </row>
    <row r="1859" spans="1:50" s="110" customFormat="1" ht="20" customHeight="1">
      <c r="A1859" s="125" t="s">
        <v>486</v>
      </c>
      <c r="B1859" s="126" t="s">
        <v>57</v>
      </c>
      <c r="C1859" s="127">
        <v>18278</v>
      </c>
      <c r="D1859" s="163">
        <v>113822</v>
      </c>
      <c r="E1859" s="164" t="s">
        <v>3610</v>
      </c>
      <c r="F1859" s="164" t="s">
        <v>3610</v>
      </c>
      <c r="G1859" s="165">
        <v>10000</v>
      </c>
      <c r="H1859" s="165">
        <v>1</v>
      </c>
      <c r="I1859" s="164" t="s">
        <v>187</v>
      </c>
      <c r="J1859" s="164" t="s">
        <v>3611</v>
      </c>
      <c r="K1859" s="164" t="s">
        <v>3612</v>
      </c>
      <c r="L1859" s="165">
        <v>5</v>
      </c>
      <c r="M1859" s="165">
        <v>5</v>
      </c>
      <c r="N1859" s="164" t="s">
        <v>1577</v>
      </c>
      <c r="O1859" s="165">
        <v>2.2599999999999998</v>
      </c>
      <c r="P1859" s="168"/>
      <c r="Q1859" s="165">
        <v>21</v>
      </c>
      <c r="R1859" s="164" t="s">
        <v>200</v>
      </c>
      <c r="S1859" s="164" t="s">
        <v>201</v>
      </c>
      <c r="T1859" s="165">
        <v>475</v>
      </c>
      <c r="U1859" s="164" t="s">
        <v>200</v>
      </c>
      <c r="V1859" s="164" t="s">
        <v>392</v>
      </c>
      <c r="W1859" s="165">
        <v>2</v>
      </c>
      <c r="X1859" s="165">
        <v>4</v>
      </c>
      <c r="Y1859" s="164" t="s">
        <v>203</v>
      </c>
      <c r="Z1859" s="164" t="s">
        <v>195</v>
      </c>
      <c r="AA1859" s="164" t="s">
        <v>196</v>
      </c>
      <c r="AB1859" s="164" t="s">
        <v>187</v>
      </c>
      <c r="AC1859" s="164" t="s">
        <v>187</v>
      </c>
      <c r="AD1859" s="165">
        <v>1</v>
      </c>
      <c r="AE1859" s="164" t="s">
        <v>209</v>
      </c>
      <c r="AF1859" s="165">
        <v>22.984114065071999</v>
      </c>
      <c r="AG1859" s="166">
        <v>92.332341537538198</v>
      </c>
      <c r="AO1859" s="121"/>
      <c r="AT1859" s="111"/>
      <c r="AX1859" s="121"/>
    </row>
    <row r="1860" spans="1:50" s="110" customFormat="1" ht="20" customHeight="1">
      <c r="A1860" s="125" t="s">
        <v>486</v>
      </c>
      <c r="B1860" s="126" t="s">
        <v>57</v>
      </c>
      <c r="C1860" s="127">
        <v>16399</v>
      </c>
      <c r="D1860" s="163">
        <v>111546</v>
      </c>
      <c r="E1860" s="164" t="s">
        <v>3607</v>
      </c>
      <c r="F1860" s="164" t="s">
        <v>3607</v>
      </c>
      <c r="G1860" s="165">
        <v>9800</v>
      </c>
      <c r="H1860" s="165">
        <v>1</v>
      </c>
      <c r="I1860" s="164" t="s">
        <v>187</v>
      </c>
      <c r="J1860" s="164" t="s">
        <v>198</v>
      </c>
      <c r="K1860" s="164" t="s">
        <v>199</v>
      </c>
      <c r="L1860" s="165">
        <v>5</v>
      </c>
      <c r="M1860" s="165">
        <v>5</v>
      </c>
      <c r="N1860" s="164" t="s">
        <v>1577</v>
      </c>
      <c r="O1860" s="165">
        <v>0.78900000000000003</v>
      </c>
      <c r="P1860" s="168"/>
      <c r="Q1860" s="165">
        <v>21</v>
      </c>
      <c r="R1860" s="164" t="s">
        <v>200</v>
      </c>
      <c r="S1860" s="164" t="s">
        <v>201</v>
      </c>
      <c r="T1860" s="165">
        <v>475</v>
      </c>
      <c r="U1860" s="164" t="s">
        <v>200</v>
      </c>
      <c r="V1860" s="164" t="s">
        <v>392</v>
      </c>
      <c r="W1860" s="165">
        <v>4</v>
      </c>
      <c r="X1860" s="165">
        <v>4</v>
      </c>
      <c r="Y1860" s="164" t="s">
        <v>203</v>
      </c>
      <c r="Z1860" s="164" t="s">
        <v>195</v>
      </c>
      <c r="AA1860" s="164" t="s">
        <v>196</v>
      </c>
      <c r="AB1860" s="164" t="s">
        <v>187</v>
      </c>
      <c r="AC1860" s="164" t="s">
        <v>187</v>
      </c>
      <c r="AD1860" s="165">
        <v>1</v>
      </c>
      <c r="AE1860" s="164" t="s">
        <v>209</v>
      </c>
      <c r="AF1860" s="165">
        <v>25.6511354912993</v>
      </c>
      <c r="AG1860" s="166">
        <v>88.974267168186998</v>
      </c>
      <c r="AO1860" s="121"/>
      <c r="AT1860" s="111"/>
      <c r="AX1860" s="121"/>
    </row>
    <row r="1861" spans="1:50" s="110" customFormat="1" ht="20" customHeight="1">
      <c r="A1861" s="125" t="s">
        <v>486</v>
      </c>
      <c r="B1861" s="126" t="s">
        <v>57</v>
      </c>
      <c r="C1861" s="127">
        <v>17158</v>
      </c>
      <c r="D1861" s="163">
        <v>112508</v>
      </c>
      <c r="E1861" s="164" t="s">
        <v>3557</v>
      </c>
      <c r="F1861" s="164" t="s">
        <v>3557</v>
      </c>
      <c r="G1861" s="165">
        <v>9100</v>
      </c>
      <c r="H1861" s="165">
        <v>1</v>
      </c>
      <c r="I1861" s="164" t="s">
        <v>187</v>
      </c>
      <c r="J1861" s="164" t="s">
        <v>647</v>
      </c>
      <c r="K1861" s="164" t="s">
        <v>648</v>
      </c>
      <c r="L1861" s="165">
        <v>4</v>
      </c>
      <c r="M1861" s="165">
        <v>5</v>
      </c>
      <c r="N1861" s="164" t="s">
        <v>1577</v>
      </c>
      <c r="O1861" s="165">
        <v>3.7549999999999999</v>
      </c>
      <c r="P1861" s="168"/>
      <c r="Q1861" s="165">
        <v>21</v>
      </c>
      <c r="R1861" s="164" t="s">
        <v>200</v>
      </c>
      <c r="S1861" s="164" t="s">
        <v>201</v>
      </c>
      <c r="T1861" s="165">
        <v>475</v>
      </c>
      <c r="U1861" s="164" t="s">
        <v>200</v>
      </c>
      <c r="V1861" s="164" t="s">
        <v>392</v>
      </c>
      <c r="W1861" s="165">
        <v>2</v>
      </c>
      <c r="X1861" s="165">
        <v>4</v>
      </c>
      <c r="Y1861" s="164" t="s">
        <v>203</v>
      </c>
      <c r="Z1861" s="164" t="s">
        <v>195</v>
      </c>
      <c r="AA1861" s="164" t="s">
        <v>196</v>
      </c>
      <c r="AB1861" s="164" t="s">
        <v>187</v>
      </c>
      <c r="AC1861" s="164" t="s">
        <v>187</v>
      </c>
      <c r="AD1861" s="165">
        <v>1</v>
      </c>
      <c r="AE1861" s="164" t="s">
        <v>209</v>
      </c>
      <c r="AF1861" s="165">
        <v>24.639215689846999</v>
      </c>
      <c r="AG1861" s="166">
        <v>91.502908155802501</v>
      </c>
      <c r="AO1861" s="121"/>
      <c r="AT1861" s="111"/>
      <c r="AX1861" s="121"/>
    </row>
    <row r="1862" spans="1:50" s="110" customFormat="1" ht="20" customHeight="1">
      <c r="A1862" s="125" t="s">
        <v>486</v>
      </c>
      <c r="B1862" s="126" t="s">
        <v>57</v>
      </c>
      <c r="C1862" s="127">
        <v>16552</v>
      </c>
      <c r="D1862" s="163">
        <v>111742</v>
      </c>
      <c r="E1862" s="164" t="s">
        <v>3126</v>
      </c>
      <c r="F1862" s="164" t="s">
        <v>3126</v>
      </c>
      <c r="G1862" s="165">
        <v>4700</v>
      </c>
      <c r="H1862" s="165">
        <v>1</v>
      </c>
      <c r="I1862" s="164" t="s">
        <v>187</v>
      </c>
      <c r="J1862" s="164" t="s">
        <v>647</v>
      </c>
      <c r="K1862" s="164" t="s">
        <v>648</v>
      </c>
      <c r="L1862" s="165">
        <v>4</v>
      </c>
      <c r="M1862" s="165">
        <v>5</v>
      </c>
      <c r="N1862" s="164" t="s">
        <v>1577</v>
      </c>
      <c r="O1862" s="165">
        <v>3.5209999999999999</v>
      </c>
      <c r="P1862" s="168"/>
      <c r="Q1862" s="165">
        <v>21</v>
      </c>
      <c r="R1862" s="164" t="s">
        <v>200</v>
      </c>
      <c r="S1862" s="164" t="s">
        <v>201</v>
      </c>
      <c r="T1862" s="165">
        <v>475</v>
      </c>
      <c r="U1862" s="164" t="s">
        <v>200</v>
      </c>
      <c r="V1862" s="164" t="s">
        <v>392</v>
      </c>
      <c r="W1862" s="165">
        <v>2</v>
      </c>
      <c r="X1862" s="165">
        <v>4</v>
      </c>
      <c r="Y1862" s="164" t="s">
        <v>203</v>
      </c>
      <c r="Z1862" s="164" t="s">
        <v>195</v>
      </c>
      <c r="AA1862" s="164" t="s">
        <v>196</v>
      </c>
      <c r="AB1862" s="164" t="s">
        <v>187</v>
      </c>
      <c r="AC1862" s="164" t="s">
        <v>187</v>
      </c>
      <c r="AD1862" s="165">
        <v>1</v>
      </c>
      <c r="AE1862" s="164" t="s">
        <v>209</v>
      </c>
      <c r="AF1862" s="165">
        <v>25.099077000000001</v>
      </c>
      <c r="AG1862" s="166">
        <v>91.752626000000006</v>
      </c>
      <c r="AO1862" s="121"/>
      <c r="AT1862" s="111"/>
      <c r="AX1862" s="121"/>
    </row>
    <row r="1863" spans="1:50" s="110" customFormat="1" ht="20" customHeight="1">
      <c r="A1863" s="125" t="s">
        <v>486</v>
      </c>
      <c r="B1863" s="126" t="s">
        <v>57</v>
      </c>
      <c r="C1863" s="127">
        <v>16583</v>
      </c>
      <c r="D1863" s="163">
        <v>111778</v>
      </c>
      <c r="E1863" s="164" t="s">
        <v>3098</v>
      </c>
      <c r="F1863" s="164" t="s">
        <v>3098</v>
      </c>
      <c r="G1863" s="165">
        <v>4500</v>
      </c>
      <c r="H1863" s="165">
        <v>1</v>
      </c>
      <c r="I1863" s="164" t="s">
        <v>187</v>
      </c>
      <c r="J1863" s="164" t="s">
        <v>647</v>
      </c>
      <c r="K1863" s="164" t="s">
        <v>648</v>
      </c>
      <c r="L1863" s="165">
        <v>4</v>
      </c>
      <c r="M1863" s="165">
        <v>5</v>
      </c>
      <c r="N1863" s="164" t="s">
        <v>1577</v>
      </c>
      <c r="O1863" s="165">
        <v>1.732</v>
      </c>
      <c r="P1863" s="168"/>
      <c r="Q1863" s="165">
        <v>21</v>
      </c>
      <c r="R1863" s="164" t="s">
        <v>200</v>
      </c>
      <c r="S1863" s="164" t="s">
        <v>201</v>
      </c>
      <c r="T1863" s="165">
        <v>475</v>
      </c>
      <c r="U1863" s="164" t="s">
        <v>200</v>
      </c>
      <c r="V1863" s="164" t="s">
        <v>392</v>
      </c>
      <c r="W1863" s="165">
        <v>2</v>
      </c>
      <c r="X1863" s="165">
        <v>4</v>
      </c>
      <c r="Y1863" s="164" t="s">
        <v>203</v>
      </c>
      <c r="Z1863" s="164" t="s">
        <v>195</v>
      </c>
      <c r="AA1863" s="164" t="s">
        <v>196</v>
      </c>
      <c r="AB1863" s="164" t="s">
        <v>187</v>
      </c>
      <c r="AC1863" s="164" t="s">
        <v>187</v>
      </c>
      <c r="AD1863" s="165">
        <v>1</v>
      </c>
      <c r="AE1863" s="164" t="s">
        <v>209</v>
      </c>
      <c r="AF1863" s="165">
        <v>24.975251530467698</v>
      </c>
      <c r="AG1863" s="166">
        <v>91.392969857030096</v>
      </c>
      <c r="AO1863" s="121"/>
      <c r="AT1863" s="111"/>
      <c r="AX1863" s="121"/>
    </row>
    <row r="1864" spans="1:50" s="110" customFormat="1" ht="20" customHeight="1">
      <c r="A1864" s="125" t="s">
        <v>486</v>
      </c>
      <c r="B1864" s="126" t="s">
        <v>57</v>
      </c>
      <c r="C1864" s="127">
        <v>17997</v>
      </c>
      <c r="D1864" s="163">
        <v>113489</v>
      </c>
      <c r="E1864" s="164" t="s">
        <v>3068</v>
      </c>
      <c r="F1864" s="164" t="s">
        <v>3068</v>
      </c>
      <c r="G1864" s="165">
        <v>4200</v>
      </c>
      <c r="H1864" s="165">
        <v>1</v>
      </c>
      <c r="I1864" s="164" t="s">
        <v>187</v>
      </c>
      <c r="J1864" s="164" t="s">
        <v>198</v>
      </c>
      <c r="K1864" s="164" t="s">
        <v>199</v>
      </c>
      <c r="L1864" s="165">
        <v>5</v>
      </c>
      <c r="M1864" s="165">
        <v>5</v>
      </c>
      <c r="N1864" s="164" t="s">
        <v>1577</v>
      </c>
      <c r="O1864" s="165">
        <v>0</v>
      </c>
      <c r="P1864" s="165">
        <v>0</v>
      </c>
      <c r="Q1864" s="165">
        <v>21</v>
      </c>
      <c r="R1864" s="164" t="s">
        <v>200</v>
      </c>
      <c r="S1864" s="164" t="s">
        <v>201</v>
      </c>
      <c r="T1864" s="165">
        <v>475</v>
      </c>
      <c r="U1864" s="164" t="s">
        <v>200</v>
      </c>
      <c r="V1864" s="164" t="s">
        <v>392</v>
      </c>
      <c r="W1864" s="165">
        <v>2</v>
      </c>
      <c r="X1864" s="165">
        <v>4</v>
      </c>
      <c r="Y1864" s="164" t="s">
        <v>203</v>
      </c>
      <c r="Z1864" s="164" t="s">
        <v>195</v>
      </c>
      <c r="AA1864" s="164" t="s">
        <v>196</v>
      </c>
      <c r="AB1864" s="164" t="s">
        <v>187</v>
      </c>
      <c r="AC1864" s="164" t="s">
        <v>187</v>
      </c>
      <c r="AD1864" s="165">
        <v>1</v>
      </c>
      <c r="AE1864" s="164" t="s">
        <v>187</v>
      </c>
      <c r="AF1864" s="165">
        <v>23.060804999999998</v>
      </c>
      <c r="AG1864" s="166">
        <v>92.061588</v>
      </c>
      <c r="AO1864" s="121"/>
      <c r="AT1864" s="111"/>
      <c r="AX1864" s="121"/>
    </row>
    <row r="1865" spans="1:50" s="110" customFormat="1" ht="20" customHeight="1">
      <c r="A1865" s="125" t="s">
        <v>486</v>
      </c>
      <c r="B1865" s="126" t="s">
        <v>57</v>
      </c>
      <c r="C1865" s="127">
        <v>17195</v>
      </c>
      <c r="D1865" s="163">
        <v>112559</v>
      </c>
      <c r="E1865" s="164" t="s">
        <v>3007</v>
      </c>
      <c r="F1865" s="164" t="s">
        <v>3007</v>
      </c>
      <c r="G1865" s="165">
        <v>3800</v>
      </c>
      <c r="H1865" s="165">
        <v>1</v>
      </c>
      <c r="I1865" s="164" t="s">
        <v>187</v>
      </c>
      <c r="J1865" s="164" t="s">
        <v>647</v>
      </c>
      <c r="K1865" s="164" t="s">
        <v>648</v>
      </c>
      <c r="L1865" s="165">
        <v>4</v>
      </c>
      <c r="M1865" s="165">
        <v>5</v>
      </c>
      <c r="N1865" s="164" t="s">
        <v>1577</v>
      </c>
      <c r="O1865" s="165">
        <v>4.0339999999999998</v>
      </c>
      <c r="P1865" s="168"/>
      <c r="Q1865" s="165">
        <v>21</v>
      </c>
      <c r="R1865" s="164" t="s">
        <v>200</v>
      </c>
      <c r="S1865" s="164" t="s">
        <v>201</v>
      </c>
      <c r="T1865" s="165">
        <v>475</v>
      </c>
      <c r="U1865" s="164" t="s">
        <v>200</v>
      </c>
      <c r="V1865" s="164" t="s">
        <v>392</v>
      </c>
      <c r="W1865" s="165">
        <v>3</v>
      </c>
      <c r="X1865" s="165">
        <v>4</v>
      </c>
      <c r="Y1865" s="164" t="s">
        <v>203</v>
      </c>
      <c r="Z1865" s="164" t="s">
        <v>195</v>
      </c>
      <c r="AA1865" s="164" t="s">
        <v>196</v>
      </c>
      <c r="AB1865" s="164" t="s">
        <v>187</v>
      </c>
      <c r="AC1865" s="164" t="s">
        <v>187</v>
      </c>
      <c r="AD1865" s="165">
        <v>1</v>
      </c>
      <c r="AE1865" s="164" t="s">
        <v>209</v>
      </c>
      <c r="AF1865" s="165">
        <v>25.081808471293201</v>
      </c>
      <c r="AG1865" s="166">
        <v>91.547820144819397</v>
      </c>
      <c r="AO1865" s="121"/>
      <c r="AT1865" s="111"/>
      <c r="AX1865" s="121"/>
    </row>
    <row r="1866" spans="1:50" s="110" customFormat="1" ht="20" customHeight="1">
      <c r="A1866" s="125" t="s">
        <v>486</v>
      </c>
      <c r="B1866" s="126" t="s">
        <v>57</v>
      </c>
      <c r="C1866" s="127">
        <v>17122</v>
      </c>
      <c r="D1866" s="163">
        <v>112468</v>
      </c>
      <c r="E1866" s="164" t="s">
        <v>2918</v>
      </c>
      <c r="F1866" s="164" t="s">
        <v>2918</v>
      </c>
      <c r="G1866" s="165">
        <v>3200</v>
      </c>
      <c r="H1866" s="165">
        <v>1</v>
      </c>
      <c r="I1866" s="164" t="s">
        <v>187</v>
      </c>
      <c r="J1866" s="164" t="s">
        <v>198</v>
      </c>
      <c r="K1866" s="164" t="s">
        <v>199</v>
      </c>
      <c r="L1866" s="165">
        <v>5</v>
      </c>
      <c r="M1866" s="165">
        <v>5</v>
      </c>
      <c r="N1866" s="164" t="s">
        <v>1577</v>
      </c>
      <c r="O1866" s="165">
        <v>0</v>
      </c>
      <c r="P1866" s="165">
        <v>0</v>
      </c>
      <c r="Q1866" s="165">
        <v>21</v>
      </c>
      <c r="R1866" s="164" t="s">
        <v>200</v>
      </c>
      <c r="S1866" s="164" t="s">
        <v>201</v>
      </c>
      <c r="T1866" s="165">
        <v>475</v>
      </c>
      <c r="U1866" s="164" t="s">
        <v>200</v>
      </c>
      <c r="V1866" s="164" t="s">
        <v>392</v>
      </c>
      <c r="W1866" s="165">
        <v>3</v>
      </c>
      <c r="X1866" s="165">
        <v>4</v>
      </c>
      <c r="Y1866" s="164" t="s">
        <v>203</v>
      </c>
      <c r="Z1866" s="164" t="s">
        <v>195</v>
      </c>
      <c r="AA1866" s="164" t="s">
        <v>196</v>
      </c>
      <c r="AB1866" s="164" t="s">
        <v>187</v>
      </c>
      <c r="AC1866" s="164" t="s">
        <v>187</v>
      </c>
      <c r="AD1866" s="165">
        <v>1</v>
      </c>
      <c r="AE1866" s="164" t="s">
        <v>187</v>
      </c>
      <c r="AF1866" s="165">
        <v>24.502452879271502</v>
      </c>
      <c r="AG1866" s="166">
        <v>90.525259734185994</v>
      </c>
      <c r="AO1866" s="121"/>
      <c r="AT1866" s="111"/>
      <c r="AX1866" s="121"/>
    </row>
    <row r="1867" spans="1:50" s="110" customFormat="1" ht="20" customHeight="1">
      <c r="A1867" s="125" t="s">
        <v>486</v>
      </c>
      <c r="B1867" s="126" t="s">
        <v>57</v>
      </c>
      <c r="C1867" s="127">
        <v>16296</v>
      </c>
      <c r="D1867" s="163">
        <v>111422</v>
      </c>
      <c r="E1867" s="164" t="s">
        <v>2870</v>
      </c>
      <c r="F1867" s="164" t="s">
        <v>2870</v>
      </c>
      <c r="G1867" s="165">
        <v>3000</v>
      </c>
      <c r="H1867" s="165">
        <v>1</v>
      </c>
      <c r="I1867" s="164" t="s">
        <v>187</v>
      </c>
      <c r="J1867" s="164" t="s">
        <v>647</v>
      </c>
      <c r="K1867" s="164" t="s">
        <v>648</v>
      </c>
      <c r="L1867" s="165">
        <v>4</v>
      </c>
      <c r="M1867" s="165">
        <v>5</v>
      </c>
      <c r="N1867" s="164" t="s">
        <v>1577</v>
      </c>
      <c r="O1867" s="165">
        <v>1.0900000000000001</v>
      </c>
      <c r="P1867" s="168"/>
      <c r="Q1867" s="165">
        <v>21</v>
      </c>
      <c r="R1867" s="164" t="s">
        <v>200</v>
      </c>
      <c r="S1867" s="164" t="s">
        <v>201</v>
      </c>
      <c r="T1867" s="165">
        <v>475</v>
      </c>
      <c r="U1867" s="164" t="s">
        <v>200</v>
      </c>
      <c r="V1867" s="164" t="s">
        <v>392</v>
      </c>
      <c r="W1867" s="165">
        <v>2</v>
      </c>
      <c r="X1867" s="165">
        <v>4</v>
      </c>
      <c r="Y1867" s="164" t="s">
        <v>203</v>
      </c>
      <c r="Z1867" s="164" t="s">
        <v>195</v>
      </c>
      <c r="AA1867" s="164" t="s">
        <v>196</v>
      </c>
      <c r="AB1867" s="164" t="s">
        <v>187</v>
      </c>
      <c r="AC1867" s="164" t="s">
        <v>187</v>
      </c>
      <c r="AD1867" s="165">
        <v>1</v>
      </c>
      <c r="AE1867" s="164" t="s">
        <v>209</v>
      </c>
      <c r="AF1867" s="165">
        <v>25.078455286459299</v>
      </c>
      <c r="AG1867" s="166">
        <v>91.511756151498503</v>
      </c>
      <c r="AO1867" s="121"/>
      <c r="AT1867" s="111"/>
      <c r="AX1867" s="121"/>
    </row>
    <row r="1868" spans="1:50" s="110" customFormat="1" ht="20" customHeight="1">
      <c r="A1868" s="125" t="s">
        <v>486</v>
      </c>
      <c r="B1868" s="126" t="s">
        <v>57</v>
      </c>
      <c r="C1868" s="127">
        <v>17269</v>
      </c>
      <c r="D1868" s="163">
        <v>112639</v>
      </c>
      <c r="E1868" s="164" t="s">
        <v>2766</v>
      </c>
      <c r="F1868" s="164" t="s">
        <v>2766</v>
      </c>
      <c r="G1868" s="165">
        <v>2300</v>
      </c>
      <c r="H1868" s="165">
        <v>1</v>
      </c>
      <c r="I1868" s="164" t="s">
        <v>187</v>
      </c>
      <c r="J1868" s="164" t="s">
        <v>647</v>
      </c>
      <c r="K1868" s="164" t="s">
        <v>648</v>
      </c>
      <c r="L1868" s="165">
        <v>4</v>
      </c>
      <c r="M1868" s="165">
        <v>5</v>
      </c>
      <c r="N1868" s="164" t="s">
        <v>1577</v>
      </c>
      <c r="O1868" s="165">
        <v>0</v>
      </c>
      <c r="P1868" s="165">
        <v>0</v>
      </c>
      <c r="Q1868" s="165">
        <v>21</v>
      </c>
      <c r="R1868" s="164" t="s">
        <v>200</v>
      </c>
      <c r="S1868" s="164" t="s">
        <v>201</v>
      </c>
      <c r="T1868" s="165">
        <v>475</v>
      </c>
      <c r="U1868" s="164" t="s">
        <v>200</v>
      </c>
      <c r="V1868" s="164" t="s">
        <v>392</v>
      </c>
      <c r="W1868" s="165">
        <v>2</v>
      </c>
      <c r="X1868" s="165">
        <v>4</v>
      </c>
      <c r="Y1868" s="164" t="s">
        <v>203</v>
      </c>
      <c r="Z1868" s="164" t="s">
        <v>195</v>
      </c>
      <c r="AA1868" s="164" t="s">
        <v>196</v>
      </c>
      <c r="AB1868" s="164" t="s">
        <v>187</v>
      </c>
      <c r="AC1868" s="164" t="s">
        <v>187</v>
      </c>
      <c r="AD1868" s="165">
        <v>1</v>
      </c>
      <c r="AE1868" s="164" t="s">
        <v>187</v>
      </c>
      <c r="AF1868" s="165">
        <v>25.090725218902801</v>
      </c>
      <c r="AG1868" s="166">
        <v>91.528547163287897</v>
      </c>
      <c r="AO1868" s="121"/>
      <c r="AT1868" s="111"/>
      <c r="AX1868" s="121"/>
    </row>
    <row r="1869" spans="1:50" s="110" customFormat="1" ht="20" customHeight="1">
      <c r="A1869" s="125" t="s">
        <v>486</v>
      </c>
      <c r="B1869" s="126" t="s">
        <v>57</v>
      </c>
      <c r="C1869" s="127">
        <v>17239</v>
      </c>
      <c r="D1869" s="163">
        <v>112607</v>
      </c>
      <c r="E1869" s="164" t="s">
        <v>2539</v>
      </c>
      <c r="F1869" s="164" t="s">
        <v>2539</v>
      </c>
      <c r="G1869" s="165">
        <v>1600</v>
      </c>
      <c r="H1869" s="165">
        <v>1</v>
      </c>
      <c r="I1869" s="164" t="s">
        <v>187</v>
      </c>
      <c r="J1869" s="164" t="s">
        <v>198</v>
      </c>
      <c r="K1869" s="164" t="s">
        <v>199</v>
      </c>
      <c r="L1869" s="165">
        <v>5</v>
      </c>
      <c r="M1869" s="165">
        <v>5</v>
      </c>
      <c r="N1869" s="164" t="s">
        <v>1577</v>
      </c>
      <c r="O1869" s="165">
        <v>0</v>
      </c>
      <c r="P1869" s="165">
        <v>0</v>
      </c>
      <c r="Q1869" s="165">
        <v>21</v>
      </c>
      <c r="R1869" s="164" t="s">
        <v>200</v>
      </c>
      <c r="S1869" s="164" t="s">
        <v>201</v>
      </c>
      <c r="T1869" s="165">
        <v>475</v>
      </c>
      <c r="U1869" s="164" t="s">
        <v>200</v>
      </c>
      <c r="V1869" s="164" t="s">
        <v>392</v>
      </c>
      <c r="W1869" s="165">
        <v>2</v>
      </c>
      <c r="X1869" s="165">
        <v>4</v>
      </c>
      <c r="Y1869" s="164" t="s">
        <v>203</v>
      </c>
      <c r="Z1869" s="164" t="s">
        <v>195</v>
      </c>
      <c r="AA1869" s="164" t="s">
        <v>196</v>
      </c>
      <c r="AB1869" s="164" t="s">
        <v>187</v>
      </c>
      <c r="AC1869" s="164" t="s">
        <v>187</v>
      </c>
      <c r="AD1869" s="165">
        <v>1</v>
      </c>
      <c r="AE1869" s="164" t="s">
        <v>187</v>
      </c>
      <c r="AF1869" s="165">
        <v>25.079131922717</v>
      </c>
      <c r="AG1869" s="166">
        <v>89.401734333979704</v>
      </c>
      <c r="AO1869" s="121"/>
      <c r="AT1869" s="111"/>
      <c r="AX1869" s="121"/>
    </row>
    <row r="1870" spans="1:50" s="110" customFormat="1" ht="20" customHeight="1">
      <c r="A1870" s="125" t="s">
        <v>486</v>
      </c>
      <c r="B1870" s="126" t="s">
        <v>57</v>
      </c>
      <c r="C1870" s="127">
        <v>17709</v>
      </c>
      <c r="D1870" s="163">
        <v>113158</v>
      </c>
      <c r="E1870" s="164" t="s">
        <v>2474</v>
      </c>
      <c r="F1870" s="164" t="s">
        <v>2474</v>
      </c>
      <c r="G1870" s="165">
        <v>1400</v>
      </c>
      <c r="H1870" s="165">
        <v>1</v>
      </c>
      <c r="I1870" s="164" t="s">
        <v>187</v>
      </c>
      <c r="J1870" s="164" t="s">
        <v>2475</v>
      </c>
      <c r="K1870" s="164" t="s">
        <v>2476</v>
      </c>
      <c r="L1870" s="165">
        <v>5</v>
      </c>
      <c r="M1870" s="165">
        <v>5</v>
      </c>
      <c r="N1870" s="164" t="s">
        <v>1577</v>
      </c>
      <c r="O1870" s="165">
        <v>0</v>
      </c>
      <c r="P1870" s="165">
        <v>0</v>
      </c>
      <c r="Q1870" s="165">
        <v>21</v>
      </c>
      <c r="R1870" s="164" t="s">
        <v>200</v>
      </c>
      <c r="S1870" s="164" t="s">
        <v>201</v>
      </c>
      <c r="T1870" s="165">
        <v>475</v>
      </c>
      <c r="U1870" s="164" t="s">
        <v>200</v>
      </c>
      <c r="V1870" s="164" t="s">
        <v>392</v>
      </c>
      <c r="W1870" s="165">
        <v>2</v>
      </c>
      <c r="X1870" s="165">
        <v>4</v>
      </c>
      <c r="Y1870" s="164" t="s">
        <v>203</v>
      </c>
      <c r="Z1870" s="164" t="s">
        <v>195</v>
      </c>
      <c r="AA1870" s="164" t="s">
        <v>196</v>
      </c>
      <c r="AB1870" s="164" t="s">
        <v>187</v>
      </c>
      <c r="AC1870" s="164" t="s">
        <v>187</v>
      </c>
      <c r="AD1870" s="165">
        <v>1</v>
      </c>
      <c r="AE1870" s="164" t="s">
        <v>187</v>
      </c>
      <c r="AF1870" s="165">
        <v>23.17174</v>
      </c>
      <c r="AG1870" s="166">
        <v>91.963999999999999</v>
      </c>
      <c r="AO1870" s="121"/>
      <c r="AT1870" s="111"/>
      <c r="AX1870" s="121"/>
    </row>
    <row r="1871" spans="1:50" s="110" customFormat="1" ht="20" customHeight="1">
      <c r="A1871" s="125" t="s">
        <v>486</v>
      </c>
      <c r="B1871" s="126" t="s">
        <v>57</v>
      </c>
      <c r="C1871" s="127">
        <v>18023</v>
      </c>
      <c r="D1871" s="163">
        <v>113518</v>
      </c>
      <c r="E1871" s="164" t="s">
        <v>2402</v>
      </c>
      <c r="F1871" s="164" t="s">
        <v>2402</v>
      </c>
      <c r="G1871" s="165">
        <v>1200</v>
      </c>
      <c r="H1871" s="165">
        <v>1</v>
      </c>
      <c r="I1871" s="164" t="s">
        <v>187</v>
      </c>
      <c r="J1871" s="164" t="s">
        <v>2403</v>
      </c>
      <c r="K1871" s="164" t="s">
        <v>2404</v>
      </c>
      <c r="L1871" s="165">
        <v>5</v>
      </c>
      <c r="M1871" s="165">
        <v>5</v>
      </c>
      <c r="N1871" s="164" t="s">
        <v>1577</v>
      </c>
      <c r="O1871" s="165">
        <v>0.46300000000000002</v>
      </c>
      <c r="P1871" s="168"/>
      <c r="Q1871" s="165">
        <v>21</v>
      </c>
      <c r="R1871" s="164" t="s">
        <v>200</v>
      </c>
      <c r="S1871" s="164" t="s">
        <v>201</v>
      </c>
      <c r="T1871" s="165">
        <v>475</v>
      </c>
      <c r="U1871" s="164" t="s">
        <v>200</v>
      </c>
      <c r="V1871" s="164" t="s">
        <v>392</v>
      </c>
      <c r="W1871" s="165">
        <v>3</v>
      </c>
      <c r="X1871" s="165">
        <v>4</v>
      </c>
      <c r="Y1871" s="164" t="s">
        <v>203</v>
      </c>
      <c r="Z1871" s="164" t="s">
        <v>195</v>
      </c>
      <c r="AA1871" s="164" t="s">
        <v>196</v>
      </c>
      <c r="AB1871" s="164" t="s">
        <v>187</v>
      </c>
      <c r="AC1871" s="164" t="s">
        <v>187</v>
      </c>
      <c r="AD1871" s="165">
        <v>1</v>
      </c>
      <c r="AE1871" s="164" t="s">
        <v>209</v>
      </c>
      <c r="AF1871" s="165">
        <v>25.141546999999999</v>
      </c>
      <c r="AG1871" s="166">
        <v>91.304370000000006</v>
      </c>
      <c r="AO1871" s="121"/>
      <c r="AT1871" s="111"/>
      <c r="AX1871" s="121"/>
    </row>
    <row r="1872" spans="1:50" s="110" customFormat="1" ht="20" customHeight="1">
      <c r="A1872" s="125" t="s">
        <v>486</v>
      </c>
      <c r="B1872" s="126" t="s">
        <v>57</v>
      </c>
      <c r="C1872" s="127">
        <v>16425</v>
      </c>
      <c r="D1872" s="163">
        <v>111576</v>
      </c>
      <c r="E1872" s="164" t="s">
        <v>2347</v>
      </c>
      <c r="F1872" s="164" t="s">
        <v>2347</v>
      </c>
      <c r="G1872" s="165">
        <v>1100</v>
      </c>
      <c r="H1872" s="165">
        <v>1</v>
      </c>
      <c r="I1872" s="164" t="s">
        <v>187</v>
      </c>
      <c r="J1872" s="164" t="s">
        <v>198</v>
      </c>
      <c r="K1872" s="164" t="s">
        <v>199</v>
      </c>
      <c r="L1872" s="165">
        <v>5</v>
      </c>
      <c r="M1872" s="165">
        <v>5</v>
      </c>
      <c r="N1872" s="164" t="s">
        <v>1577</v>
      </c>
      <c r="O1872" s="165">
        <v>0.99</v>
      </c>
      <c r="P1872" s="168"/>
      <c r="Q1872" s="165">
        <v>21</v>
      </c>
      <c r="R1872" s="164" t="s">
        <v>200</v>
      </c>
      <c r="S1872" s="164" t="s">
        <v>201</v>
      </c>
      <c r="T1872" s="165">
        <v>475</v>
      </c>
      <c r="U1872" s="164" t="s">
        <v>200</v>
      </c>
      <c r="V1872" s="164" t="s">
        <v>392</v>
      </c>
      <c r="W1872" s="165">
        <v>2</v>
      </c>
      <c r="X1872" s="165">
        <v>4</v>
      </c>
      <c r="Y1872" s="164" t="s">
        <v>203</v>
      </c>
      <c r="Z1872" s="164" t="s">
        <v>195</v>
      </c>
      <c r="AA1872" s="164" t="s">
        <v>196</v>
      </c>
      <c r="AB1872" s="164" t="s">
        <v>187</v>
      </c>
      <c r="AC1872" s="164" t="s">
        <v>187</v>
      </c>
      <c r="AD1872" s="165">
        <v>1</v>
      </c>
      <c r="AE1872" s="164" t="s">
        <v>209</v>
      </c>
      <c r="AF1872" s="165">
        <v>25.626814608694598</v>
      </c>
      <c r="AG1872" s="166">
        <v>88.7984192368246</v>
      </c>
      <c r="AO1872" s="121"/>
      <c r="AT1872" s="111"/>
      <c r="AX1872" s="121"/>
    </row>
    <row r="1873" spans="1:50" s="110" customFormat="1" ht="20" customHeight="1">
      <c r="A1873" s="125" t="s">
        <v>486</v>
      </c>
      <c r="B1873" s="126" t="s">
        <v>57</v>
      </c>
      <c r="C1873" s="127">
        <v>17559</v>
      </c>
      <c r="D1873" s="163">
        <v>112983</v>
      </c>
      <c r="E1873" s="164" t="s">
        <v>2243</v>
      </c>
      <c r="F1873" s="164" t="s">
        <v>2243</v>
      </c>
      <c r="G1873" s="165">
        <v>900</v>
      </c>
      <c r="H1873" s="165">
        <v>1</v>
      </c>
      <c r="I1873" s="164" t="s">
        <v>187</v>
      </c>
      <c r="J1873" s="164" t="s">
        <v>2244</v>
      </c>
      <c r="K1873" s="164" t="s">
        <v>2245</v>
      </c>
      <c r="L1873" s="165">
        <v>5</v>
      </c>
      <c r="M1873" s="165">
        <v>5</v>
      </c>
      <c r="N1873" s="164" t="s">
        <v>1577</v>
      </c>
      <c r="O1873" s="165">
        <v>0</v>
      </c>
      <c r="P1873" s="165">
        <v>0</v>
      </c>
      <c r="Q1873" s="165">
        <v>21</v>
      </c>
      <c r="R1873" s="164" t="s">
        <v>200</v>
      </c>
      <c r="S1873" s="164" t="s">
        <v>201</v>
      </c>
      <c r="T1873" s="165">
        <v>475</v>
      </c>
      <c r="U1873" s="164" t="s">
        <v>200</v>
      </c>
      <c r="V1873" s="164" t="s">
        <v>392</v>
      </c>
      <c r="W1873" s="165">
        <v>2</v>
      </c>
      <c r="X1873" s="165">
        <v>4</v>
      </c>
      <c r="Y1873" s="164" t="s">
        <v>203</v>
      </c>
      <c r="Z1873" s="164" t="s">
        <v>195</v>
      </c>
      <c r="AA1873" s="164" t="s">
        <v>196</v>
      </c>
      <c r="AB1873" s="164" t="s">
        <v>187</v>
      </c>
      <c r="AC1873" s="164" t="s">
        <v>187</v>
      </c>
      <c r="AD1873" s="165">
        <v>1</v>
      </c>
      <c r="AE1873" s="164" t="s">
        <v>187</v>
      </c>
      <c r="AF1873" s="165">
        <v>25.0075739256649</v>
      </c>
      <c r="AG1873" s="166">
        <v>92.215434315045599</v>
      </c>
      <c r="AO1873" s="121"/>
      <c r="AT1873" s="111"/>
      <c r="AX1873" s="121"/>
    </row>
    <row r="1874" spans="1:50" s="110" customFormat="1" ht="20" customHeight="1">
      <c r="A1874" s="125" t="s">
        <v>486</v>
      </c>
      <c r="B1874" s="126" t="s">
        <v>57</v>
      </c>
      <c r="C1874" s="127">
        <v>17526</v>
      </c>
      <c r="D1874" s="163">
        <v>112946</v>
      </c>
      <c r="E1874" s="164" t="s">
        <v>2248</v>
      </c>
      <c r="F1874" s="164" t="s">
        <v>2248</v>
      </c>
      <c r="G1874" s="165">
        <v>900</v>
      </c>
      <c r="H1874" s="165">
        <v>1</v>
      </c>
      <c r="I1874" s="164" t="s">
        <v>187</v>
      </c>
      <c r="J1874" s="164" t="s">
        <v>198</v>
      </c>
      <c r="K1874" s="164" t="s">
        <v>199</v>
      </c>
      <c r="L1874" s="165">
        <v>5</v>
      </c>
      <c r="M1874" s="165">
        <v>5</v>
      </c>
      <c r="N1874" s="164" t="s">
        <v>1577</v>
      </c>
      <c r="O1874" s="165">
        <v>0</v>
      </c>
      <c r="P1874" s="165">
        <v>0</v>
      </c>
      <c r="Q1874" s="165">
        <v>21</v>
      </c>
      <c r="R1874" s="164" t="s">
        <v>200</v>
      </c>
      <c r="S1874" s="164" t="s">
        <v>201</v>
      </c>
      <c r="T1874" s="165">
        <v>475</v>
      </c>
      <c r="U1874" s="164" t="s">
        <v>200</v>
      </c>
      <c r="V1874" s="164" t="s">
        <v>392</v>
      </c>
      <c r="W1874" s="165">
        <v>4</v>
      </c>
      <c r="X1874" s="165">
        <v>4</v>
      </c>
      <c r="Y1874" s="164" t="s">
        <v>203</v>
      </c>
      <c r="Z1874" s="164" t="s">
        <v>195</v>
      </c>
      <c r="AA1874" s="164" t="s">
        <v>196</v>
      </c>
      <c r="AB1874" s="164" t="s">
        <v>187</v>
      </c>
      <c r="AC1874" s="164" t="s">
        <v>187</v>
      </c>
      <c r="AD1874" s="165">
        <v>1</v>
      </c>
      <c r="AE1874" s="164" t="s">
        <v>187</v>
      </c>
      <c r="AF1874" s="165">
        <v>25.021619092342</v>
      </c>
      <c r="AG1874" s="166">
        <v>89.023765424938503</v>
      </c>
      <c r="AO1874" s="121"/>
      <c r="AT1874" s="111"/>
      <c r="AX1874" s="121"/>
    </row>
    <row r="1875" spans="1:50" s="110" customFormat="1" ht="20" customHeight="1">
      <c r="A1875" s="125" t="s">
        <v>486</v>
      </c>
      <c r="B1875" s="126" t="s">
        <v>57</v>
      </c>
      <c r="C1875" s="127">
        <v>17157</v>
      </c>
      <c r="D1875" s="163">
        <v>112507</v>
      </c>
      <c r="E1875" s="164" t="s">
        <v>1916</v>
      </c>
      <c r="F1875" s="164" t="s">
        <v>1916</v>
      </c>
      <c r="G1875" s="165">
        <v>500</v>
      </c>
      <c r="H1875" s="165">
        <v>1</v>
      </c>
      <c r="I1875" s="164" t="s">
        <v>187</v>
      </c>
      <c r="J1875" s="164" t="s">
        <v>198</v>
      </c>
      <c r="K1875" s="164" t="s">
        <v>199</v>
      </c>
      <c r="L1875" s="165">
        <v>5</v>
      </c>
      <c r="M1875" s="165">
        <v>5</v>
      </c>
      <c r="N1875" s="164" t="s">
        <v>1577</v>
      </c>
      <c r="O1875" s="165">
        <v>0</v>
      </c>
      <c r="P1875" s="165">
        <v>0</v>
      </c>
      <c r="Q1875" s="165">
        <v>21</v>
      </c>
      <c r="R1875" s="164" t="s">
        <v>200</v>
      </c>
      <c r="S1875" s="164" t="s">
        <v>201</v>
      </c>
      <c r="T1875" s="165">
        <v>475</v>
      </c>
      <c r="U1875" s="164" t="s">
        <v>200</v>
      </c>
      <c r="V1875" s="164" t="s">
        <v>392</v>
      </c>
      <c r="W1875" s="165">
        <v>2</v>
      </c>
      <c r="X1875" s="165">
        <v>4</v>
      </c>
      <c r="Y1875" s="164" t="s">
        <v>203</v>
      </c>
      <c r="Z1875" s="164" t="s">
        <v>195</v>
      </c>
      <c r="AA1875" s="164" t="s">
        <v>196</v>
      </c>
      <c r="AB1875" s="164" t="s">
        <v>187</v>
      </c>
      <c r="AC1875" s="164" t="s">
        <v>187</v>
      </c>
      <c r="AD1875" s="165">
        <v>1</v>
      </c>
      <c r="AE1875" s="164" t="s">
        <v>187</v>
      </c>
      <c r="AF1875" s="165">
        <v>24.2064606088163</v>
      </c>
      <c r="AG1875" s="166">
        <v>89.388039831114597</v>
      </c>
      <c r="AO1875" s="121"/>
      <c r="AT1875" s="111"/>
      <c r="AX1875" s="121"/>
    </row>
    <row r="1876" spans="1:50" s="110" customFormat="1" ht="20" customHeight="1">
      <c r="A1876" s="125" t="s">
        <v>486</v>
      </c>
      <c r="B1876" s="126" t="s">
        <v>57</v>
      </c>
      <c r="C1876" s="127">
        <v>17314</v>
      </c>
      <c r="D1876" s="163">
        <v>112694</v>
      </c>
      <c r="E1876" s="164" t="s">
        <v>1816</v>
      </c>
      <c r="F1876" s="164" t="s">
        <v>1816</v>
      </c>
      <c r="G1876" s="165">
        <v>400</v>
      </c>
      <c r="H1876" s="165">
        <v>1</v>
      </c>
      <c r="I1876" s="164" t="s">
        <v>187</v>
      </c>
      <c r="J1876" s="164" t="s">
        <v>198</v>
      </c>
      <c r="K1876" s="164" t="s">
        <v>199</v>
      </c>
      <c r="L1876" s="165">
        <v>5</v>
      </c>
      <c r="M1876" s="165">
        <v>5</v>
      </c>
      <c r="N1876" s="164" t="s">
        <v>1577</v>
      </c>
      <c r="O1876" s="165">
        <v>0</v>
      </c>
      <c r="P1876" s="165">
        <v>0</v>
      </c>
      <c r="Q1876" s="165">
        <v>21</v>
      </c>
      <c r="R1876" s="164" t="s">
        <v>200</v>
      </c>
      <c r="S1876" s="164" t="s">
        <v>201</v>
      </c>
      <c r="T1876" s="165">
        <v>475</v>
      </c>
      <c r="U1876" s="164" t="s">
        <v>200</v>
      </c>
      <c r="V1876" s="164" t="s">
        <v>392</v>
      </c>
      <c r="W1876" s="165">
        <v>2</v>
      </c>
      <c r="X1876" s="165">
        <v>4</v>
      </c>
      <c r="Y1876" s="164" t="s">
        <v>203</v>
      </c>
      <c r="Z1876" s="164" t="s">
        <v>195</v>
      </c>
      <c r="AA1876" s="164" t="s">
        <v>196</v>
      </c>
      <c r="AB1876" s="164" t="s">
        <v>187</v>
      </c>
      <c r="AC1876" s="164" t="s">
        <v>187</v>
      </c>
      <c r="AD1876" s="165">
        <v>1</v>
      </c>
      <c r="AE1876" s="164" t="s">
        <v>187</v>
      </c>
      <c r="AF1876" s="165">
        <v>24.834019119533</v>
      </c>
      <c r="AG1876" s="166">
        <v>90.579739736647795</v>
      </c>
      <c r="AO1876" s="121"/>
      <c r="AT1876" s="111"/>
      <c r="AX1876" s="121"/>
    </row>
    <row r="1877" spans="1:50" s="110" customFormat="1" ht="20" customHeight="1">
      <c r="A1877" s="125" t="s">
        <v>486</v>
      </c>
      <c r="B1877" s="126" t="s">
        <v>57</v>
      </c>
      <c r="C1877" s="127">
        <v>16463</v>
      </c>
      <c r="D1877" s="163">
        <v>111627</v>
      </c>
      <c r="E1877" s="164" t="s">
        <v>1746</v>
      </c>
      <c r="F1877" s="164" t="s">
        <v>1746</v>
      </c>
      <c r="G1877" s="165">
        <v>300</v>
      </c>
      <c r="H1877" s="165">
        <v>1</v>
      </c>
      <c r="I1877" s="164" t="s">
        <v>187</v>
      </c>
      <c r="J1877" s="164" t="s">
        <v>647</v>
      </c>
      <c r="K1877" s="164" t="s">
        <v>648</v>
      </c>
      <c r="L1877" s="165">
        <v>4</v>
      </c>
      <c r="M1877" s="165">
        <v>5</v>
      </c>
      <c r="N1877" s="164" t="s">
        <v>1577</v>
      </c>
      <c r="O1877" s="165">
        <v>0</v>
      </c>
      <c r="P1877" s="165">
        <v>0</v>
      </c>
      <c r="Q1877" s="165">
        <v>21</v>
      </c>
      <c r="R1877" s="164" t="s">
        <v>200</v>
      </c>
      <c r="S1877" s="164" t="s">
        <v>201</v>
      </c>
      <c r="T1877" s="165">
        <v>475</v>
      </c>
      <c r="U1877" s="164" t="s">
        <v>200</v>
      </c>
      <c r="V1877" s="164" t="s">
        <v>392</v>
      </c>
      <c r="W1877" s="165">
        <v>2</v>
      </c>
      <c r="X1877" s="165">
        <v>4</v>
      </c>
      <c r="Y1877" s="164" t="s">
        <v>203</v>
      </c>
      <c r="Z1877" s="164" t="s">
        <v>195</v>
      </c>
      <c r="AA1877" s="164" t="s">
        <v>196</v>
      </c>
      <c r="AB1877" s="164" t="s">
        <v>187</v>
      </c>
      <c r="AC1877" s="164" t="s">
        <v>187</v>
      </c>
      <c r="AD1877" s="165">
        <v>1</v>
      </c>
      <c r="AE1877" s="164" t="s">
        <v>187</v>
      </c>
      <c r="AF1877" s="165">
        <v>24.980029408140801</v>
      </c>
      <c r="AG1877" s="166">
        <v>91.616803429393798</v>
      </c>
      <c r="AO1877" s="121"/>
      <c r="AT1877" s="111"/>
      <c r="AX1877" s="121"/>
    </row>
    <row r="1878" spans="1:50" s="110" customFormat="1" ht="20" customHeight="1">
      <c r="A1878" s="125" t="s">
        <v>486</v>
      </c>
      <c r="B1878" s="126" t="s">
        <v>57</v>
      </c>
      <c r="C1878" s="127">
        <v>17066</v>
      </c>
      <c r="D1878" s="163">
        <v>112404</v>
      </c>
      <c r="E1878" s="164" t="s">
        <v>1747</v>
      </c>
      <c r="F1878" s="164" t="s">
        <v>1747</v>
      </c>
      <c r="G1878" s="165">
        <v>300</v>
      </c>
      <c r="H1878" s="165">
        <v>1</v>
      </c>
      <c r="I1878" s="164" t="s">
        <v>187</v>
      </c>
      <c r="J1878" s="164" t="s">
        <v>198</v>
      </c>
      <c r="K1878" s="164" t="s">
        <v>199</v>
      </c>
      <c r="L1878" s="165">
        <v>5</v>
      </c>
      <c r="M1878" s="165">
        <v>5</v>
      </c>
      <c r="N1878" s="164" t="s">
        <v>1577</v>
      </c>
      <c r="O1878" s="165">
        <v>0</v>
      </c>
      <c r="P1878" s="165">
        <v>0</v>
      </c>
      <c r="Q1878" s="165">
        <v>21</v>
      </c>
      <c r="R1878" s="164" t="s">
        <v>200</v>
      </c>
      <c r="S1878" s="164" t="s">
        <v>201</v>
      </c>
      <c r="T1878" s="165">
        <v>475</v>
      </c>
      <c r="U1878" s="164" t="s">
        <v>200</v>
      </c>
      <c r="V1878" s="164" t="s">
        <v>392</v>
      </c>
      <c r="W1878" s="165">
        <v>3</v>
      </c>
      <c r="X1878" s="165">
        <v>4</v>
      </c>
      <c r="Y1878" s="164" t="s">
        <v>203</v>
      </c>
      <c r="Z1878" s="164" t="s">
        <v>195</v>
      </c>
      <c r="AA1878" s="164" t="s">
        <v>196</v>
      </c>
      <c r="AB1878" s="164" t="s">
        <v>187</v>
      </c>
      <c r="AC1878" s="164" t="s">
        <v>187</v>
      </c>
      <c r="AD1878" s="165">
        <v>1</v>
      </c>
      <c r="AE1878" s="164" t="s">
        <v>187</v>
      </c>
      <c r="AF1878" s="165">
        <v>25.618770000000001</v>
      </c>
      <c r="AG1878" s="166">
        <v>88.79392</v>
      </c>
      <c r="AO1878" s="121"/>
      <c r="AT1878" s="111"/>
      <c r="AX1878" s="121"/>
    </row>
    <row r="1879" spans="1:50" s="110" customFormat="1" ht="20" customHeight="1">
      <c r="A1879" s="125" t="s">
        <v>486</v>
      </c>
      <c r="B1879" s="126" t="s">
        <v>57</v>
      </c>
      <c r="C1879" s="127">
        <v>14743</v>
      </c>
      <c r="D1879" s="157">
        <v>108674</v>
      </c>
      <c r="E1879" s="158" t="s">
        <v>4828</v>
      </c>
      <c r="F1879" s="158" t="s">
        <v>4829</v>
      </c>
      <c r="G1879" s="159">
        <v>627000</v>
      </c>
      <c r="H1879" s="159">
        <v>2</v>
      </c>
      <c r="I1879" s="158" t="s">
        <v>209</v>
      </c>
      <c r="J1879" s="158" t="s">
        <v>198</v>
      </c>
      <c r="K1879" s="158" t="s">
        <v>199</v>
      </c>
      <c r="L1879" s="159">
        <v>5</v>
      </c>
      <c r="M1879" s="159">
        <v>5</v>
      </c>
      <c r="N1879" s="158" t="s">
        <v>1577</v>
      </c>
      <c r="O1879" s="159">
        <v>9.4920000000000009</v>
      </c>
      <c r="P1879" s="160"/>
      <c r="Q1879" s="159">
        <v>21</v>
      </c>
      <c r="R1879" s="158" t="s">
        <v>200</v>
      </c>
      <c r="S1879" s="158" t="s">
        <v>201</v>
      </c>
      <c r="T1879" s="159">
        <v>475</v>
      </c>
      <c r="U1879" s="158" t="s">
        <v>200</v>
      </c>
      <c r="V1879" s="158" t="s">
        <v>392</v>
      </c>
      <c r="W1879" s="159">
        <v>4</v>
      </c>
      <c r="X1879" s="159">
        <v>4</v>
      </c>
      <c r="Y1879" s="158" t="s">
        <v>203</v>
      </c>
      <c r="Z1879" s="158" t="s">
        <v>195</v>
      </c>
      <c r="AA1879" s="158" t="s">
        <v>196</v>
      </c>
      <c r="AB1879" s="158" t="s">
        <v>187</v>
      </c>
      <c r="AC1879" s="158" t="s">
        <v>187</v>
      </c>
      <c r="AD1879" s="160"/>
      <c r="AE1879" s="158" t="s">
        <v>209</v>
      </c>
      <c r="AF1879" s="159">
        <v>24.082456000000001</v>
      </c>
      <c r="AG1879" s="161">
        <v>91.124583999999999</v>
      </c>
      <c r="AO1879" s="121"/>
      <c r="AT1879" s="111"/>
      <c r="AX1879" s="121"/>
    </row>
    <row r="1880" spans="1:50" s="110" customFormat="1" ht="20" customHeight="1">
      <c r="A1880" s="125" t="s">
        <v>486</v>
      </c>
      <c r="B1880" s="126" t="s">
        <v>57</v>
      </c>
      <c r="C1880" s="127">
        <v>13867</v>
      </c>
      <c r="D1880" s="157">
        <v>106893</v>
      </c>
      <c r="E1880" s="158" t="s">
        <v>4685</v>
      </c>
      <c r="F1880" s="158" t="s">
        <v>4685</v>
      </c>
      <c r="G1880" s="159">
        <v>139000</v>
      </c>
      <c r="H1880" s="159">
        <v>2</v>
      </c>
      <c r="I1880" s="158" t="s">
        <v>209</v>
      </c>
      <c r="J1880" s="158" t="s">
        <v>2009</v>
      </c>
      <c r="K1880" s="158" t="s">
        <v>2010</v>
      </c>
      <c r="L1880" s="159">
        <v>4</v>
      </c>
      <c r="M1880" s="159">
        <v>5</v>
      </c>
      <c r="N1880" s="158" t="s">
        <v>1577</v>
      </c>
      <c r="O1880" s="159">
        <v>10.619</v>
      </c>
      <c r="P1880" s="160"/>
      <c r="Q1880" s="159">
        <v>21</v>
      </c>
      <c r="R1880" s="158" t="s">
        <v>200</v>
      </c>
      <c r="S1880" s="158" t="s">
        <v>201</v>
      </c>
      <c r="T1880" s="159">
        <v>475</v>
      </c>
      <c r="U1880" s="158" t="s">
        <v>200</v>
      </c>
      <c r="V1880" s="158" t="s">
        <v>392</v>
      </c>
      <c r="W1880" s="159">
        <v>5</v>
      </c>
      <c r="X1880" s="159">
        <v>4</v>
      </c>
      <c r="Y1880" s="158" t="s">
        <v>203</v>
      </c>
      <c r="Z1880" s="158" t="s">
        <v>195</v>
      </c>
      <c r="AA1880" s="158" t="s">
        <v>196</v>
      </c>
      <c r="AB1880" s="158" t="s">
        <v>187</v>
      </c>
      <c r="AC1880" s="158" t="s">
        <v>187</v>
      </c>
      <c r="AD1880" s="160"/>
      <c r="AE1880" s="158" t="s">
        <v>209</v>
      </c>
      <c r="AF1880" s="159">
        <v>26.149396162933002</v>
      </c>
      <c r="AG1880" s="161">
        <v>88.603151230590001</v>
      </c>
      <c r="AO1880" s="121"/>
      <c r="AT1880" s="111"/>
      <c r="AX1880" s="121"/>
    </row>
    <row r="1881" spans="1:50" s="110" customFormat="1" ht="20" customHeight="1">
      <c r="A1881" s="125" t="s">
        <v>486</v>
      </c>
      <c r="B1881" s="126" t="s">
        <v>57</v>
      </c>
      <c r="C1881" s="127">
        <v>15498</v>
      </c>
      <c r="D1881" s="157">
        <v>110073</v>
      </c>
      <c r="E1881" s="158" t="s">
        <v>4661</v>
      </c>
      <c r="F1881" s="158" t="s">
        <v>4662</v>
      </c>
      <c r="G1881" s="159">
        <v>122000</v>
      </c>
      <c r="H1881" s="159">
        <v>2</v>
      </c>
      <c r="I1881" s="158" t="s">
        <v>209</v>
      </c>
      <c r="J1881" s="158" t="s">
        <v>3611</v>
      </c>
      <c r="K1881" s="158" t="s">
        <v>3612</v>
      </c>
      <c r="L1881" s="159">
        <v>5</v>
      </c>
      <c r="M1881" s="159">
        <v>5</v>
      </c>
      <c r="N1881" s="158" t="s">
        <v>1577</v>
      </c>
      <c r="O1881" s="159">
        <v>8</v>
      </c>
      <c r="P1881" s="160"/>
      <c r="Q1881" s="159">
        <v>21</v>
      </c>
      <c r="R1881" s="158" t="s">
        <v>200</v>
      </c>
      <c r="S1881" s="158" t="s">
        <v>201</v>
      </c>
      <c r="T1881" s="159">
        <v>475</v>
      </c>
      <c r="U1881" s="158" t="s">
        <v>200</v>
      </c>
      <c r="V1881" s="158" t="s">
        <v>392</v>
      </c>
      <c r="W1881" s="159">
        <v>2</v>
      </c>
      <c r="X1881" s="159">
        <v>4</v>
      </c>
      <c r="Y1881" s="158" t="s">
        <v>203</v>
      </c>
      <c r="Z1881" s="158" t="s">
        <v>195</v>
      </c>
      <c r="AA1881" s="158" t="s">
        <v>196</v>
      </c>
      <c r="AB1881" s="158" t="s">
        <v>187</v>
      </c>
      <c r="AC1881" s="158" t="s">
        <v>187</v>
      </c>
      <c r="AD1881" s="160"/>
      <c r="AE1881" s="158" t="s">
        <v>209</v>
      </c>
      <c r="AF1881" s="159">
        <v>23.254153389710499</v>
      </c>
      <c r="AG1881" s="161">
        <v>92.060812306646596</v>
      </c>
      <c r="AO1881" s="121"/>
      <c r="AT1881" s="111"/>
      <c r="AX1881" s="121"/>
    </row>
    <row r="1882" spans="1:50" s="110" customFormat="1" ht="20" customHeight="1">
      <c r="A1882" s="125" t="s">
        <v>486</v>
      </c>
      <c r="B1882" s="126" t="s">
        <v>57</v>
      </c>
      <c r="C1882" s="127">
        <v>14210</v>
      </c>
      <c r="D1882" s="157">
        <v>107674</v>
      </c>
      <c r="E1882" s="158" t="s">
        <v>4625</v>
      </c>
      <c r="F1882" s="158" t="s">
        <v>4626</v>
      </c>
      <c r="G1882" s="159">
        <v>112000</v>
      </c>
      <c r="H1882" s="159">
        <v>2</v>
      </c>
      <c r="I1882" s="158" t="s">
        <v>209</v>
      </c>
      <c r="J1882" s="158" t="s">
        <v>647</v>
      </c>
      <c r="K1882" s="158" t="s">
        <v>648</v>
      </c>
      <c r="L1882" s="159">
        <v>4</v>
      </c>
      <c r="M1882" s="159">
        <v>5</v>
      </c>
      <c r="N1882" s="158" t="s">
        <v>1577</v>
      </c>
      <c r="O1882" s="159">
        <v>11.69</v>
      </c>
      <c r="P1882" s="160"/>
      <c r="Q1882" s="159">
        <v>21</v>
      </c>
      <c r="R1882" s="158" t="s">
        <v>200</v>
      </c>
      <c r="S1882" s="158" t="s">
        <v>201</v>
      </c>
      <c r="T1882" s="159">
        <v>475</v>
      </c>
      <c r="U1882" s="158" t="s">
        <v>200</v>
      </c>
      <c r="V1882" s="158" t="s">
        <v>392</v>
      </c>
      <c r="W1882" s="159">
        <v>4</v>
      </c>
      <c r="X1882" s="159">
        <v>4</v>
      </c>
      <c r="Y1882" s="158" t="s">
        <v>203</v>
      </c>
      <c r="Z1882" s="158" t="s">
        <v>195</v>
      </c>
      <c r="AA1882" s="158" t="s">
        <v>196</v>
      </c>
      <c r="AB1882" s="158" t="s">
        <v>187</v>
      </c>
      <c r="AC1882" s="158" t="s">
        <v>187</v>
      </c>
      <c r="AD1882" s="160"/>
      <c r="AE1882" s="158" t="s">
        <v>209</v>
      </c>
      <c r="AF1882" s="159">
        <v>25.838539948016901</v>
      </c>
      <c r="AG1882" s="161">
        <v>88.920042406443102</v>
      </c>
      <c r="AO1882" s="121"/>
      <c r="AT1882" s="111"/>
      <c r="AX1882" s="121"/>
    </row>
    <row r="1883" spans="1:50" s="110" customFormat="1" ht="20" customHeight="1">
      <c r="A1883" s="125" t="s">
        <v>486</v>
      </c>
      <c r="B1883" s="126" t="s">
        <v>57</v>
      </c>
      <c r="C1883" s="127">
        <v>17153</v>
      </c>
      <c r="D1883" s="157">
        <v>112503</v>
      </c>
      <c r="E1883" s="158" t="s">
        <v>3653</v>
      </c>
      <c r="F1883" s="158" t="s">
        <v>3653</v>
      </c>
      <c r="G1883" s="159">
        <v>11000</v>
      </c>
      <c r="H1883" s="159">
        <v>2</v>
      </c>
      <c r="I1883" s="158" t="s">
        <v>209</v>
      </c>
      <c r="J1883" s="158" t="s">
        <v>647</v>
      </c>
      <c r="K1883" s="158" t="s">
        <v>648</v>
      </c>
      <c r="L1883" s="159">
        <v>4</v>
      </c>
      <c r="M1883" s="159">
        <v>5</v>
      </c>
      <c r="N1883" s="158" t="s">
        <v>1577</v>
      </c>
      <c r="O1883" s="159">
        <v>6.2169999999999996</v>
      </c>
      <c r="P1883" s="160"/>
      <c r="Q1883" s="159">
        <v>21</v>
      </c>
      <c r="R1883" s="158" t="s">
        <v>200</v>
      </c>
      <c r="S1883" s="158" t="s">
        <v>201</v>
      </c>
      <c r="T1883" s="159">
        <v>475</v>
      </c>
      <c r="U1883" s="158" t="s">
        <v>200</v>
      </c>
      <c r="V1883" s="158" t="s">
        <v>392</v>
      </c>
      <c r="W1883" s="159">
        <v>3</v>
      </c>
      <c r="X1883" s="159">
        <v>4</v>
      </c>
      <c r="Y1883" s="158" t="s">
        <v>203</v>
      </c>
      <c r="Z1883" s="158" t="s">
        <v>195</v>
      </c>
      <c r="AA1883" s="158" t="s">
        <v>196</v>
      </c>
      <c r="AB1883" s="158" t="s">
        <v>187</v>
      </c>
      <c r="AC1883" s="158" t="s">
        <v>187</v>
      </c>
      <c r="AD1883" s="160"/>
      <c r="AE1883" s="158" t="s">
        <v>209</v>
      </c>
      <c r="AF1883" s="159">
        <v>25.0798265989756</v>
      </c>
      <c r="AG1883" s="161">
        <v>92.027977268304497</v>
      </c>
      <c r="AO1883" s="121"/>
      <c r="AT1883" s="111"/>
      <c r="AX1883" s="121"/>
    </row>
    <row r="1884" spans="1:50" s="110" customFormat="1" ht="20" customHeight="1">
      <c r="A1884" s="125" t="s">
        <v>486</v>
      </c>
      <c r="B1884" s="126" t="s">
        <v>57</v>
      </c>
      <c r="C1884" s="127">
        <v>16489</v>
      </c>
      <c r="D1884" s="157">
        <v>111659</v>
      </c>
      <c r="E1884" s="158" t="s">
        <v>3262</v>
      </c>
      <c r="F1884" s="158" t="s">
        <v>3262</v>
      </c>
      <c r="G1884" s="159">
        <v>5600</v>
      </c>
      <c r="H1884" s="159">
        <v>2</v>
      </c>
      <c r="I1884" s="158" t="s">
        <v>209</v>
      </c>
      <c r="J1884" s="158" t="s">
        <v>647</v>
      </c>
      <c r="K1884" s="158" t="s">
        <v>648</v>
      </c>
      <c r="L1884" s="159">
        <v>4</v>
      </c>
      <c r="M1884" s="159">
        <v>5</v>
      </c>
      <c r="N1884" s="158" t="s">
        <v>1577</v>
      </c>
      <c r="O1884" s="159">
        <v>7.5540000000000003</v>
      </c>
      <c r="P1884" s="160"/>
      <c r="Q1884" s="159">
        <v>21</v>
      </c>
      <c r="R1884" s="158" t="s">
        <v>200</v>
      </c>
      <c r="S1884" s="158" t="s">
        <v>201</v>
      </c>
      <c r="T1884" s="159">
        <v>475</v>
      </c>
      <c r="U1884" s="158" t="s">
        <v>200</v>
      </c>
      <c r="V1884" s="158" t="s">
        <v>392</v>
      </c>
      <c r="W1884" s="159">
        <v>2</v>
      </c>
      <c r="X1884" s="159">
        <v>4</v>
      </c>
      <c r="Y1884" s="158" t="s">
        <v>203</v>
      </c>
      <c r="Z1884" s="158" t="s">
        <v>195</v>
      </c>
      <c r="AA1884" s="158" t="s">
        <v>196</v>
      </c>
      <c r="AB1884" s="158" t="s">
        <v>187</v>
      </c>
      <c r="AC1884" s="158" t="s">
        <v>187</v>
      </c>
      <c r="AD1884" s="160"/>
      <c r="AE1884" s="158" t="s">
        <v>209</v>
      </c>
      <c r="AF1884" s="159">
        <v>24.978180846573199</v>
      </c>
      <c r="AG1884" s="161">
        <v>92.222692176693698</v>
      </c>
      <c r="AO1884" s="121"/>
      <c r="AT1884" s="111"/>
      <c r="AX1884" s="121"/>
    </row>
    <row r="1885" spans="1:50" s="110" customFormat="1" ht="20" customHeight="1">
      <c r="A1885" s="125" t="s">
        <v>486</v>
      </c>
      <c r="B1885" s="126" t="s">
        <v>57</v>
      </c>
      <c r="C1885" s="127">
        <v>16979</v>
      </c>
      <c r="D1885" s="157">
        <v>112290</v>
      </c>
      <c r="E1885" s="158" t="s">
        <v>3225</v>
      </c>
      <c r="F1885" s="158" t="s">
        <v>3225</v>
      </c>
      <c r="G1885" s="159">
        <v>5300</v>
      </c>
      <c r="H1885" s="159">
        <v>2</v>
      </c>
      <c r="I1885" s="158" t="s">
        <v>209</v>
      </c>
      <c r="J1885" s="158" t="s">
        <v>2475</v>
      </c>
      <c r="K1885" s="158" t="s">
        <v>2476</v>
      </c>
      <c r="L1885" s="159">
        <v>5</v>
      </c>
      <c r="M1885" s="159">
        <v>5</v>
      </c>
      <c r="N1885" s="158" t="s">
        <v>1577</v>
      </c>
      <c r="O1885" s="159">
        <v>21.966000000000001</v>
      </c>
      <c r="P1885" s="160"/>
      <c r="Q1885" s="159">
        <v>21</v>
      </c>
      <c r="R1885" s="158" t="s">
        <v>200</v>
      </c>
      <c r="S1885" s="158" t="s">
        <v>201</v>
      </c>
      <c r="T1885" s="159">
        <v>475</v>
      </c>
      <c r="U1885" s="158" t="s">
        <v>200</v>
      </c>
      <c r="V1885" s="158" t="s">
        <v>392</v>
      </c>
      <c r="W1885" s="159">
        <v>2</v>
      </c>
      <c r="X1885" s="159">
        <v>4</v>
      </c>
      <c r="Y1885" s="158" t="s">
        <v>203</v>
      </c>
      <c r="Z1885" s="158" t="s">
        <v>195</v>
      </c>
      <c r="AA1885" s="158" t="s">
        <v>196</v>
      </c>
      <c r="AB1885" s="158" t="s">
        <v>187</v>
      </c>
      <c r="AC1885" s="158" t="s">
        <v>187</v>
      </c>
      <c r="AD1885" s="160"/>
      <c r="AE1885" s="158" t="s">
        <v>209</v>
      </c>
      <c r="AF1885" s="159">
        <v>23.975206914926101</v>
      </c>
      <c r="AG1885" s="161">
        <v>91.185460527996298</v>
      </c>
      <c r="AO1885" s="121"/>
      <c r="AT1885" s="111"/>
      <c r="AX1885" s="121"/>
    </row>
    <row r="1886" spans="1:50" s="110" customFormat="1" ht="20" customHeight="1">
      <c r="A1886" s="125" t="s">
        <v>486</v>
      </c>
      <c r="B1886" s="126" t="s">
        <v>57</v>
      </c>
      <c r="C1886" s="127">
        <v>19065</v>
      </c>
      <c r="D1886" s="157">
        <v>115211</v>
      </c>
      <c r="E1886" s="158" t="s">
        <v>3205</v>
      </c>
      <c r="F1886" s="158" t="s">
        <v>3206</v>
      </c>
      <c r="G1886" s="159">
        <v>5100</v>
      </c>
      <c r="H1886" s="159">
        <v>2</v>
      </c>
      <c r="I1886" s="158" t="s">
        <v>209</v>
      </c>
      <c r="J1886" s="158" t="s">
        <v>3207</v>
      </c>
      <c r="K1886" s="158" t="s">
        <v>3208</v>
      </c>
      <c r="L1886" s="159">
        <v>4</v>
      </c>
      <c r="M1886" s="159">
        <v>5</v>
      </c>
      <c r="N1886" s="158" t="s">
        <v>1577</v>
      </c>
      <c r="O1886" s="159">
        <v>8.9320000000000004</v>
      </c>
      <c r="P1886" s="160"/>
      <c r="Q1886" s="159">
        <v>21</v>
      </c>
      <c r="R1886" s="158" t="s">
        <v>200</v>
      </c>
      <c r="S1886" s="158" t="s">
        <v>201</v>
      </c>
      <c r="T1886" s="159">
        <v>475</v>
      </c>
      <c r="U1886" s="158" t="s">
        <v>200</v>
      </c>
      <c r="V1886" s="158" t="s">
        <v>392</v>
      </c>
      <c r="W1886" s="159">
        <v>2</v>
      </c>
      <c r="X1886" s="159">
        <v>4</v>
      </c>
      <c r="Y1886" s="158" t="s">
        <v>203</v>
      </c>
      <c r="Z1886" s="158" t="s">
        <v>195</v>
      </c>
      <c r="AA1886" s="158" t="s">
        <v>196</v>
      </c>
      <c r="AB1886" s="158" t="s">
        <v>187</v>
      </c>
      <c r="AC1886" s="158" t="s">
        <v>187</v>
      </c>
      <c r="AD1886" s="160"/>
      <c r="AE1886" s="158" t="s">
        <v>209</v>
      </c>
      <c r="AF1886" s="159">
        <v>24.941577125064001</v>
      </c>
      <c r="AG1886" s="161">
        <v>92.074658839754207</v>
      </c>
      <c r="AO1886" s="121"/>
      <c r="AT1886" s="111"/>
      <c r="AX1886" s="121"/>
    </row>
    <row r="1887" spans="1:50" s="110" customFormat="1" ht="20" customHeight="1">
      <c r="A1887" s="125" t="s">
        <v>486</v>
      </c>
      <c r="B1887" s="126" t="s">
        <v>57</v>
      </c>
      <c r="C1887" s="127">
        <v>18044</v>
      </c>
      <c r="D1887" s="157">
        <v>113539</v>
      </c>
      <c r="E1887" s="158" t="s">
        <v>3172</v>
      </c>
      <c r="F1887" s="158" t="s">
        <v>3172</v>
      </c>
      <c r="G1887" s="159">
        <v>4900</v>
      </c>
      <c r="H1887" s="159">
        <v>2</v>
      </c>
      <c r="I1887" s="158" t="s">
        <v>209</v>
      </c>
      <c r="J1887" s="158" t="s">
        <v>647</v>
      </c>
      <c r="K1887" s="158" t="s">
        <v>648</v>
      </c>
      <c r="L1887" s="159">
        <v>4</v>
      </c>
      <c r="M1887" s="159">
        <v>5</v>
      </c>
      <c r="N1887" s="158" t="s">
        <v>1577</v>
      </c>
      <c r="O1887" s="159">
        <v>9.5449999999999999</v>
      </c>
      <c r="P1887" s="160"/>
      <c r="Q1887" s="159">
        <v>21</v>
      </c>
      <c r="R1887" s="158" t="s">
        <v>200</v>
      </c>
      <c r="S1887" s="158" t="s">
        <v>201</v>
      </c>
      <c r="T1887" s="159">
        <v>475</v>
      </c>
      <c r="U1887" s="158" t="s">
        <v>200</v>
      </c>
      <c r="V1887" s="158" t="s">
        <v>392</v>
      </c>
      <c r="W1887" s="159">
        <v>2</v>
      </c>
      <c r="X1887" s="159">
        <v>4</v>
      </c>
      <c r="Y1887" s="158" t="s">
        <v>203</v>
      </c>
      <c r="Z1887" s="158" t="s">
        <v>195</v>
      </c>
      <c r="AA1887" s="158" t="s">
        <v>196</v>
      </c>
      <c r="AB1887" s="158" t="s">
        <v>187</v>
      </c>
      <c r="AC1887" s="158" t="s">
        <v>187</v>
      </c>
      <c r="AD1887" s="160"/>
      <c r="AE1887" s="158" t="s">
        <v>209</v>
      </c>
      <c r="AF1887" s="159">
        <v>25.176827116884802</v>
      </c>
      <c r="AG1887" s="161">
        <v>92.047642330526003</v>
      </c>
      <c r="AO1887" s="121"/>
      <c r="AT1887" s="111"/>
      <c r="AX1887" s="121"/>
    </row>
    <row r="1888" spans="1:50" s="110" customFormat="1" ht="20" customHeight="1">
      <c r="A1888" s="125" t="s">
        <v>486</v>
      </c>
      <c r="B1888" s="126" t="s">
        <v>57</v>
      </c>
      <c r="C1888" s="127">
        <v>17102</v>
      </c>
      <c r="D1888" s="157">
        <v>112444</v>
      </c>
      <c r="E1888" s="158" t="s">
        <v>2871</v>
      </c>
      <c r="F1888" s="158" t="s">
        <v>2871</v>
      </c>
      <c r="G1888" s="159">
        <v>3000</v>
      </c>
      <c r="H1888" s="159">
        <v>2</v>
      </c>
      <c r="I1888" s="158" t="s">
        <v>209</v>
      </c>
      <c r="J1888" s="158" t="s">
        <v>647</v>
      </c>
      <c r="K1888" s="158" t="s">
        <v>648</v>
      </c>
      <c r="L1888" s="159">
        <v>4</v>
      </c>
      <c r="M1888" s="159">
        <v>5</v>
      </c>
      <c r="N1888" s="158" t="s">
        <v>1577</v>
      </c>
      <c r="O1888" s="159">
        <v>10.965999999999999</v>
      </c>
      <c r="P1888" s="160"/>
      <c r="Q1888" s="159">
        <v>21</v>
      </c>
      <c r="R1888" s="158" t="s">
        <v>200</v>
      </c>
      <c r="S1888" s="158" t="s">
        <v>201</v>
      </c>
      <c r="T1888" s="159">
        <v>475</v>
      </c>
      <c r="U1888" s="158" t="s">
        <v>200</v>
      </c>
      <c r="V1888" s="158" t="s">
        <v>392</v>
      </c>
      <c r="W1888" s="159">
        <v>2</v>
      </c>
      <c r="X1888" s="159">
        <v>4</v>
      </c>
      <c r="Y1888" s="158" t="s">
        <v>203</v>
      </c>
      <c r="Z1888" s="158" t="s">
        <v>195</v>
      </c>
      <c r="AA1888" s="158" t="s">
        <v>196</v>
      </c>
      <c r="AB1888" s="158" t="s">
        <v>187</v>
      </c>
      <c r="AC1888" s="158" t="s">
        <v>187</v>
      </c>
      <c r="AD1888" s="160"/>
      <c r="AE1888" s="158" t="s">
        <v>209</v>
      </c>
      <c r="AF1888" s="159">
        <v>24.934255</v>
      </c>
      <c r="AG1888" s="161">
        <v>91.928574999999995</v>
      </c>
      <c r="AO1888" s="121"/>
      <c r="AT1888" s="111"/>
      <c r="AX1888" s="121"/>
    </row>
    <row r="1889" spans="1:50" s="110" customFormat="1" ht="20" customHeight="1">
      <c r="A1889" s="125" t="s">
        <v>486</v>
      </c>
      <c r="B1889" s="126" t="s">
        <v>57</v>
      </c>
      <c r="C1889" s="127">
        <v>17850</v>
      </c>
      <c r="D1889" s="157">
        <v>113324</v>
      </c>
      <c r="E1889" s="158" t="s">
        <v>2872</v>
      </c>
      <c r="F1889" s="158" t="s">
        <v>2872</v>
      </c>
      <c r="G1889" s="159">
        <v>3000</v>
      </c>
      <c r="H1889" s="159">
        <v>2</v>
      </c>
      <c r="I1889" s="158" t="s">
        <v>209</v>
      </c>
      <c r="J1889" s="158" t="s">
        <v>647</v>
      </c>
      <c r="K1889" s="158" t="s">
        <v>648</v>
      </c>
      <c r="L1889" s="159">
        <v>4</v>
      </c>
      <c r="M1889" s="159">
        <v>5</v>
      </c>
      <c r="N1889" s="158" t="s">
        <v>1577</v>
      </c>
      <c r="O1889" s="159">
        <v>8.9740000000000002</v>
      </c>
      <c r="P1889" s="160"/>
      <c r="Q1889" s="159">
        <v>21</v>
      </c>
      <c r="R1889" s="158" t="s">
        <v>200</v>
      </c>
      <c r="S1889" s="158" t="s">
        <v>201</v>
      </c>
      <c r="T1889" s="159">
        <v>475</v>
      </c>
      <c r="U1889" s="158" t="s">
        <v>200</v>
      </c>
      <c r="V1889" s="158" t="s">
        <v>392</v>
      </c>
      <c r="W1889" s="159">
        <v>2</v>
      </c>
      <c r="X1889" s="159">
        <v>4</v>
      </c>
      <c r="Y1889" s="158" t="s">
        <v>203</v>
      </c>
      <c r="Z1889" s="158" t="s">
        <v>195</v>
      </c>
      <c r="AA1889" s="158" t="s">
        <v>196</v>
      </c>
      <c r="AB1889" s="158" t="s">
        <v>187</v>
      </c>
      <c r="AC1889" s="158" t="s">
        <v>187</v>
      </c>
      <c r="AD1889" s="160"/>
      <c r="AE1889" s="158" t="s">
        <v>209</v>
      </c>
      <c r="AF1889" s="159">
        <v>24.942671000000001</v>
      </c>
      <c r="AG1889" s="161">
        <v>91.624893999999998</v>
      </c>
      <c r="AO1889" s="121"/>
      <c r="AT1889" s="111"/>
      <c r="AX1889" s="121"/>
    </row>
    <row r="1890" spans="1:50" s="110" customFormat="1" ht="20" customHeight="1">
      <c r="A1890" s="125" t="s">
        <v>486</v>
      </c>
      <c r="B1890" s="126" t="s">
        <v>57</v>
      </c>
      <c r="C1890" s="127">
        <v>17966</v>
      </c>
      <c r="D1890" s="157">
        <v>108370</v>
      </c>
      <c r="E1890" s="158" t="s">
        <v>2684</v>
      </c>
      <c r="F1890" s="158" t="s">
        <v>2684</v>
      </c>
      <c r="G1890" s="159">
        <v>2000</v>
      </c>
      <c r="H1890" s="159">
        <v>2</v>
      </c>
      <c r="I1890" s="158" t="s">
        <v>209</v>
      </c>
      <c r="J1890" s="158" t="s">
        <v>2685</v>
      </c>
      <c r="K1890" s="158" t="s">
        <v>2686</v>
      </c>
      <c r="L1890" s="159">
        <v>5</v>
      </c>
      <c r="M1890" s="159">
        <v>5</v>
      </c>
      <c r="N1890" s="158" t="s">
        <v>1577</v>
      </c>
      <c r="O1890" s="159">
        <v>18.425999999999998</v>
      </c>
      <c r="P1890" s="160"/>
      <c r="Q1890" s="159">
        <v>21</v>
      </c>
      <c r="R1890" s="158" t="s">
        <v>200</v>
      </c>
      <c r="S1890" s="158" t="s">
        <v>201</v>
      </c>
      <c r="T1890" s="159">
        <v>475</v>
      </c>
      <c r="U1890" s="158" t="s">
        <v>200</v>
      </c>
      <c r="V1890" s="158" t="s">
        <v>392</v>
      </c>
      <c r="W1890" s="159">
        <v>2</v>
      </c>
      <c r="X1890" s="159">
        <v>4</v>
      </c>
      <c r="Y1890" s="158" t="s">
        <v>203</v>
      </c>
      <c r="Z1890" s="158" t="s">
        <v>195</v>
      </c>
      <c r="AA1890" s="158" t="s">
        <v>196</v>
      </c>
      <c r="AB1890" s="158" t="s">
        <v>187</v>
      </c>
      <c r="AC1890" s="158" t="s">
        <v>187</v>
      </c>
      <c r="AD1890" s="160"/>
      <c r="AE1890" s="158" t="s">
        <v>209</v>
      </c>
      <c r="AF1890" s="159">
        <v>23.2145749557966</v>
      </c>
      <c r="AG1890" s="161">
        <v>91.988459274952007</v>
      </c>
      <c r="AO1890" s="121"/>
      <c r="AT1890" s="111"/>
      <c r="AX1890" s="121"/>
    </row>
    <row r="1891" spans="1:50" s="110" customFormat="1" ht="20" customHeight="1">
      <c r="A1891" s="125" t="s">
        <v>486</v>
      </c>
      <c r="B1891" s="126" t="s">
        <v>57</v>
      </c>
      <c r="C1891" s="127">
        <v>16257</v>
      </c>
      <c r="D1891" s="157">
        <v>111379</v>
      </c>
      <c r="E1891" s="158" t="s">
        <v>2398</v>
      </c>
      <c r="F1891" s="158" t="s">
        <v>2398</v>
      </c>
      <c r="G1891" s="159">
        <v>1200</v>
      </c>
      <c r="H1891" s="159">
        <v>2</v>
      </c>
      <c r="I1891" s="158" t="s">
        <v>209</v>
      </c>
      <c r="J1891" s="158" t="s">
        <v>647</v>
      </c>
      <c r="K1891" s="158" t="s">
        <v>648</v>
      </c>
      <c r="L1891" s="159">
        <v>4</v>
      </c>
      <c r="M1891" s="159">
        <v>5</v>
      </c>
      <c r="N1891" s="158" t="s">
        <v>1577</v>
      </c>
      <c r="O1891" s="159">
        <v>9.2590000000000003</v>
      </c>
      <c r="P1891" s="160"/>
      <c r="Q1891" s="159">
        <v>21</v>
      </c>
      <c r="R1891" s="158" t="s">
        <v>200</v>
      </c>
      <c r="S1891" s="158" t="s">
        <v>201</v>
      </c>
      <c r="T1891" s="159">
        <v>475</v>
      </c>
      <c r="U1891" s="158" t="s">
        <v>200</v>
      </c>
      <c r="V1891" s="158" t="s">
        <v>392</v>
      </c>
      <c r="W1891" s="159">
        <v>2</v>
      </c>
      <c r="X1891" s="159">
        <v>4</v>
      </c>
      <c r="Y1891" s="158" t="s">
        <v>203</v>
      </c>
      <c r="Z1891" s="158" t="s">
        <v>195</v>
      </c>
      <c r="AA1891" s="158" t="s">
        <v>196</v>
      </c>
      <c r="AB1891" s="158" t="s">
        <v>187</v>
      </c>
      <c r="AC1891" s="158" t="s">
        <v>187</v>
      </c>
      <c r="AD1891" s="160"/>
      <c r="AE1891" s="158" t="s">
        <v>209</v>
      </c>
      <c r="AF1891" s="159">
        <v>25.138029207034901</v>
      </c>
      <c r="AG1891" s="161">
        <v>91.431030819319901</v>
      </c>
      <c r="AO1891" s="121"/>
      <c r="AT1891" s="111"/>
      <c r="AX1891" s="121"/>
    </row>
    <row r="1892" spans="1:50" s="110" customFormat="1" ht="20" customHeight="1">
      <c r="A1892" s="125" t="s">
        <v>486</v>
      </c>
      <c r="B1892" s="126" t="s">
        <v>57</v>
      </c>
      <c r="C1892" s="127">
        <v>16461</v>
      </c>
      <c r="D1892" s="157">
        <v>111625</v>
      </c>
      <c r="E1892" s="158" t="s">
        <v>2067</v>
      </c>
      <c r="F1892" s="158" t="s">
        <v>2067</v>
      </c>
      <c r="G1892" s="159">
        <v>700</v>
      </c>
      <c r="H1892" s="159">
        <v>2</v>
      </c>
      <c r="I1892" s="158" t="s">
        <v>209</v>
      </c>
      <c r="J1892" s="158" t="s">
        <v>647</v>
      </c>
      <c r="K1892" s="158" t="s">
        <v>648</v>
      </c>
      <c r="L1892" s="159">
        <v>4</v>
      </c>
      <c r="M1892" s="159">
        <v>5</v>
      </c>
      <c r="N1892" s="158" t="s">
        <v>1577</v>
      </c>
      <c r="O1892" s="159">
        <v>9.2430000000000003</v>
      </c>
      <c r="P1892" s="160"/>
      <c r="Q1892" s="159">
        <v>21</v>
      </c>
      <c r="R1892" s="158" t="s">
        <v>200</v>
      </c>
      <c r="S1892" s="158" t="s">
        <v>201</v>
      </c>
      <c r="T1892" s="159">
        <v>475</v>
      </c>
      <c r="U1892" s="158" t="s">
        <v>200</v>
      </c>
      <c r="V1892" s="158" t="s">
        <v>392</v>
      </c>
      <c r="W1892" s="159">
        <v>2</v>
      </c>
      <c r="X1892" s="159">
        <v>4</v>
      </c>
      <c r="Y1892" s="158" t="s">
        <v>203</v>
      </c>
      <c r="Z1892" s="158" t="s">
        <v>195</v>
      </c>
      <c r="AA1892" s="158" t="s">
        <v>196</v>
      </c>
      <c r="AB1892" s="158" t="s">
        <v>187</v>
      </c>
      <c r="AC1892" s="158" t="s">
        <v>187</v>
      </c>
      <c r="AD1892" s="160"/>
      <c r="AE1892" s="158" t="s">
        <v>209</v>
      </c>
      <c r="AF1892" s="159">
        <v>25.018100146546701</v>
      </c>
      <c r="AG1892" s="161">
        <v>91.395054505253896</v>
      </c>
      <c r="AO1892" s="121"/>
      <c r="AT1892" s="111"/>
      <c r="AX1892" s="121"/>
    </row>
    <row r="1893" spans="1:50" s="110" customFormat="1" ht="20" customHeight="1">
      <c r="A1893" s="125" t="s">
        <v>486</v>
      </c>
      <c r="B1893" s="126" t="s">
        <v>57</v>
      </c>
      <c r="C1893" s="127">
        <v>16860</v>
      </c>
      <c r="D1893" s="157">
        <v>112142</v>
      </c>
      <c r="E1893" s="158" t="s">
        <v>2007</v>
      </c>
      <c r="F1893" s="158" t="s">
        <v>2007</v>
      </c>
      <c r="G1893" s="159">
        <v>600</v>
      </c>
      <c r="H1893" s="159">
        <v>2</v>
      </c>
      <c r="I1893" s="158" t="s">
        <v>209</v>
      </c>
      <c r="J1893" s="158" t="s">
        <v>198</v>
      </c>
      <c r="K1893" s="158" t="s">
        <v>199</v>
      </c>
      <c r="L1893" s="159">
        <v>5</v>
      </c>
      <c r="M1893" s="159">
        <v>5</v>
      </c>
      <c r="N1893" s="158" t="s">
        <v>1577</v>
      </c>
      <c r="O1893" s="159">
        <v>5.66</v>
      </c>
      <c r="P1893" s="160"/>
      <c r="Q1893" s="159">
        <v>21</v>
      </c>
      <c r="R1893" s="158" t="s">
        <v>200</v>
      </c>
      <c r="S1893" s="158" t="s">
        <v>201</v>
      </c>
      <c r="T1893" s="159">
        <v>475</v>
      </c>
      <c r="U1893" s="158" t="s">
        <v>200</v>
      </c>
      <c r="V1893" s="158" t="s">
        <v>392</v>
      </c>
      <c r="W1893" s="159">
        <v>2</v>
      </c>
      <c r="X1893" s="159">
        <v>4</v>
      </c>
      <c r="Y1893" s="158" t="s">
        <v>203</v>
      </c>
      <c r="Z1893" s="158" t="s">
        <v>195</v>
      </c>
      <c r="AA1893" s="158" t="s">
        <v>196</v>
      </c>
      <c r="AB1893" s="158" t="s">
        <v>187</v>
      </c>
      <c r="AC1893" s="158" t="s">
        <v>187</v>
      </c>
      <c r="AD1893" s="160"/>
      <c r="AE1893" s="158" t="s">
        <v>209</v>
      </c>
      <c r="AF1893" s="159">
        <v>24.993878486467601</v>
      </c>
      <c r="AG1893" s="161">
        <v>91.677076554141095</v>
      </c>
      <c r="AO1893" s="121"/>
      <c r="AT1893" s="111"/>
      <c r="AX1893" s="121"/>
    </row>
    <row r="1894" spans="1:50" s="110" customFormat="1" ht="20" customHeight="1">
      <c r="A1894" s="125" t="s">
        <v>1620</v>
      </c>
      <c r="B1894" s="126" t="s">
        <v>61</v>
      </c>
      <c r="C1894" s="127">
        <v>17433</v>
      </c>
      <c r="D1894" s="145">
        <v>112836</v>
      </c>
      <c r="E1894" s="146" t="s">
        <v>1083</v>
      </c>
      <c r="F1894" s="146" t="s">
        <v>1083</v>
      </c>
      <c r="G1894" s="147">
        <v>23000</v>
      </c>
      <c r="H1894" s="147">
        <v>4</v>
      </c>
      <c r="I1894" s="146" t="s">
        <v>209</v>
      </c>
      <c r="J1894" s="146" t="s">
        <v>2136</v>
      </c>
      <c r="K1894" s="146" t="s">
        <v>2137</v>
      </c>
      <c r="L1894" s="147">
        <v>5</v>
      </c>
      <c r="M1894" s="147">
        <v>5</v>
      </c>
      <c r="N1894" s="146" t="s">
        <v>1577</v>
      </c>
      <c r="O1894" s="147">
        <v>34</v>
      </c>
      <c r="P1894" s="147">
        <v>7</v>
      </c>
      <c r="Q1894" s="147">
        <v>21</v>
      </c>
      <c r="R1894" s="146" t="s">
        <v>200</v>
      </c>
      <c r="S1894" s="146" t="s">
        <v>201</v>
      </c>
      <c r="T1894" s="147">
        <v>475</v>
      </c>
      <c r="U1894" s="146" t="s">
        <v>200</v>
      </c>
      <c r="V1894" s="146" t="s">
        <v>392</v>
      </c>
      <c r="W1894" s="147">
        <v>12</v>
      </c>
      <c r="X1894" s="147">
        <v>2</v>
      </c>
      <c r="Y1894" s="146" t="s">
        <v>194</v>
      </c>
      <c r="Z1894" s="146" t="s">
        <v>195</v>
      </c>
      <c r="AA1894" s="146" t="s">
        <v>196</v>
      </c>
      <c r="AB1894" s="146" t="s">
        <v>187</v>
      </c>
      <c r="AC1894" s="146" t="s">
        <v>209</v>
      </c>
      <c r="AD1894" s="148"/>
      <c r="AE1894" s="146" t="s">
        <v>209</v>
      </c>
      <c r="AF1894" s="147">
        <v>16.786960180867698</v>
      </c>
      <c r="AG1894" s="149">
        <v>96.144083027909303</v>
      </c>
      <c r="AO1894" s="121"/>
      <c r="AT1894" s="111"/>
      <c r="AX1894" s="121"/>
    </row>
    <row r="1895" spans="1:50" s="110" customFormat="1" ht="20" customHeight="1">
      <c r="A1895" s="125" t="s">
        <v>231</v>
      </c>
      <c r="B1895" s="126" t="s">
        <v>66</v>
      </c>
      <c r="C1895" s="127">
        <v>17210</v>
      </c>
      <c r="D1895" s="163">
        <v>112576</v>
      </c>
      <c r="E1895" s="164" t="s">
        <v>3900</v>
      </c>
      <c r="F1895" s="164" t="s">
        <v>3900</v>
      </c>
      <c r="G1895" s="165">
        <v>15000</v>
      </c>
      <c r="H1895" s="165">
        <v>1</v>
      </c>
      <c r="I1895" s="164" t="s">
        <v>187</v>
      </c>
      <c r="J1895" s="164" t="s">
        <v>219</v>
      </c>
      <c r="K1895" s="164" t="s">
        <v>220</v>
      </c>
      <c r="L1895" s="165">
        <v>5</v>
      </c>
      <c r="M1895" s="165">
        <v>5</v>
      </c>
      <c r="N1895" s="164" t="s">
        <v>1577</v>
      </c>
      <c r="O1895" s="165">
        <v>0</v>
      </c>
      <c r="P1895" s="165">
        <v>0</v>
      </c>
      <c r="Q1895" s="165">
        <v>21</v>
      </c>
      <c r="R1895" s="164" t="s">
        <v>200</v>
      </c>
      <c r="S1895" s="164" t="s">
        <v>201</v>
      </c>
      <c r="T1895" s="165">
        <v>475</v>
      </c>
      <c r="U1895" s="164" t="s">
        <v>200</v>
      </c>
      <c r="V1895" s="164" t="s">
        <v>392</v>
      </c>
      <c r="W1895" s="165">
        <v>2</v>
      </c>
      <c r="X1895" s="165">
        <v>4</v>
      </c>
      <c r="Y1895" s="164" t="s">
        <v>203</v>
      </c>
      <c r="Z1895" s="164" t="s">
        <v>195</v>
      </c>
      <c r="AA1895" s="164" t="s">
        <v>196</v>
      </c>
      <c r="AB1895" s="164" t="s">
        <v>187</v>
      </c>
      <c r="AC1895" s="164" t="s">
        <v>187</v>
      </c>
      <c r="AD1895" s="165">
        <v>1</v>
      </c>
      <c r="AE1895" s="164" t="s">
        <v>187</v>
      </c>
      <c r="AF1895" s="165">
        <v>25.319661854202302</v>
      </c>
      <c r="AG1895" s="166">
        <v>69.154682020491805</v>
      </c>
      <c r="AO1895" s="121"/>
      <c r="AT1895" s="111"/>
      <c r="AX1895" s="121"/>
    </row>
    <row r="1896" spans="1:50" s="110" customFormat="1" ht="20" customHeight="1">
      <c r="A1896" s="125" t="s">
        <v>231</v>
      </c>
      <c r="B1896" s="126" t="s">
        <v>66</v>
      </c>
      <c r="C1896" s="127">
        <v>16700</v>
      </c>
      <c r="D1896" s="163">
        <v>111931</v>
      </c>
      <c r="E1896" s="164" t="s">
        <v>3854</v>
      </c>
      <c r="F1896" s="164" t="s">
        <v>3854</v>
      </c>
      <c r="G1896" s="165">
        <v>14000</v>
      </c>
      <c r="H1896" s="165">
        <v>1</v>
      </c>
      <c r="I1896" s="164" t="s">
        <v>187</v>
      </c>
      <c r="J1896" s="164" t="s">
        <v>219</v>
      </c>
      <c r="K1896" s="164" t="s">
        <v>220</v>
      </c>
      <c r="L1896" s="165">
        <v>5</v>
      </c>
      <c r="M1896" s="165">
        <v>5</v>
      </c>
      <c r="N1896" s="164" t="s">
        <v>1577</v>
      </c>
      <c r="O1896" s="165">
        <v>0</v>
      </c>
      <c r="P1896" s="165">
        <v>0</v>
      </c>
      <c r="Q1896" s="165">
        <v>21</v>
      </c>
      <c r="R1896" s="164" t="s">
        <v>200</v>
      </c>
      <c r="S1896" s="164" t="s">
        <v>201</v>
      </c>
      <c r="T1896" s="165">
        <v>475</v>
      </c>
      <c r="U1896" s="164" t="s">
        <v>200</v>
      </c>
      <c r="V1896" s="164" t="s">
        <v>392</v>
      </c>
      <c r="W1896" s="165">
        <v>2</v>
      </c>
      <c r="X1896" s="165">
        <v>4</v>
      </c>
      <c r="Y1896" s="164" t="s">
        <v>203</v>
      </c>
      <c r="Z1896" s="164" t="s">
        <v>195</v>
      </c>
      <c r="AA1896" s="164" t="s">
        <v>196</v>
      </c>
      <c r="AB1896" s="164" t="s">
        <v>187</v>
      </c>
      <c r="AC1896" s="164" t="s">
        <v>187</v>
      </c>
      <c r="AD1896" s="165">
        <v>1</v>
      </c>
      <c r="AE1896" s="164" t="s">
        <v>187</v>
      </c>
      <c r="AF1896" s="165">
        <v>24.907355558181401</v>
      </c>
      <c r="AG1896" s="166">
        <v>67.076878152814203</v>
      </c>
      <c r="AO1896" s="121"/>
      <c r="AT1896" s="111"/>
      <c r="AX1896" s="121"/>
    </row>
    <row r="1897" spans="1:50" s="110" customFormat="1" ht="20" customHeight="1">
      <c r="A1897" s="125" t="s">
        <v>231</v>
      </c>
      <c r="B1897" s="126" t="s">
        <v>66</v>
      </c>
      <c r="C1897" s="127">
        <v>18245</v>
      </c>
      <c r="D1897" s="163">
        <v>113777</v>
      </c>
      <c r="E1897" s="164" t="s">
        <v>3261</v>
      </c>
      <c r="F1897" s="164" t="s">
        <v>3261</v>
      </c>
      <c r="G1897" s="165">
        <v>5500</v>
      </c>
      <c r="H1897" s="165">
        <v>1</v>
      </c>
      <c r="I1897" s="164" t="s">
        <v>187</v>
      </c>
      <c r="J1897" s="164" t="s">
        <v>219</v>
      </c>
      <c r="K1897" s="164" t="s">
        <v>220</v>
      </c>
      <c r="L1897" s="165">
        <v>5</v>
      </c>
      <c r="M1897" s="165">
        <v>5</v>
      </c>
      <c r="N1897" s="164" t="s">
        <v>1577</v>
      </c>
      <c r="O1897" s="165">
        <v>0</v>
      </c>
      <c r="P1897" s="165">
        <v>0</v>
      </c>
      <c r="Q1897" s="165">
        <v>21</v>
      </c>
      <c r="R1897" s="164" t="s">
        <v>200</v>
      </c>
      <c r="S1897" s="164" t="s">
        <v>201</v>
      </c>
      <c r="T1897" s="165">
        <v>475</v>
      </c>
      <c r="U1897" s="164" t="s">
        <v>200</v>
      </c>
      <c r="V1897" s="164" t="s">
        <v>392</v>
      </c>
      <c r="W1897" s="165">
        <v>2</v>
      </c>
      <c r="X1897" s="165">
        <v>4</v>
      </c>
      <c r="Y1897" s="164" t="s">
        <v>203</v>
      </c>
      <c r="Z1897" s="164" t="s">
        <v>195</v>
      </c>
      <c r="AA1897" s="164" t="s">
        <v>196</v>
      </c>
      <c r="AB1897" s="164" t="s">
        <v>187</v>
      </c>
      <c r="AC1897" s="164" t="s">
        <v>187</v>
      </c>
      <c r="AD1897" s="165">
        <v>1</v>
      </c>
      <c r="AE1897" s="164" t="s">
        <v>187</v>
      </c>
      <c r="AF1897" s="165">
        <v>27.561713079179299</v>
      </c>
      <c r="AG1897" s="166">
        <v>69.115171193420196</v>
      </c>
      <c r="AO1897" s="121"/>
      <c r="AT1897" s="111"/>
      <c r="AX1897" s="121"/>
    </row>
    <row r="1898" spans="1:50" s="110" customFormat="1" ht="20" customHeight="1">
      <c r="A1898" s="125" t="s">
        <v>231</v>
      </c>
      <c r="B1898" s="126" t="s">
        <v>66</v>
      </c>
      <c r="C1898" s="127">
        <v>17947</v>
      </c>
      <c r="D1898" s="163">
        <v>113435</v>
      </c>
      <c r="E1898" s="164" t="s">
        <v>3200</v>
      </c>
      <c r="F1898" s="164" t="s">
        <v>3200</v>
      </c>
      <c r="G1898" s="165">
        <v>5000</v>
      </c>
      <c r="H1898" s="165">
        <v>1</v>
      </c>
      <c r="I1898" s="164" t="s">
        <v>187</v>
      </c>
      <c r="J1898" s="164" t="s">
        <v>219</v>
      </c>
      <c r="K1898" s="164" t="s">
        <v>220</v>
      </c>
      <c r="L1898" s="165">
        <v>5</v>
      </c>
      <c r="M1898" s="165">
        <v>5</v>
      </c>
      <c r="N1898" s="164" t="s">
        <v>1577</v>
      </c>
      <c r="O1898" s="165">
        <v>0</v>
      </c>
      <c r="P1898" s="165">
        <v>0</v>
      </c>
      <c r="Q1898" s="165">
        <v>21</v>
      </c>
      <c r="R1898" s="164" t="s">
        <v>200</v>
      </c>
      <c r="S1898" s="164" t="s">
        <v>201</v>
      </c>
      <c r="T1898" s="165">
        <v>475</v>
      </c>
      <c r="U1898" s="164" t="s">
        <v>200</v>
      </c>
      <c r="V1898" s="164" t="s">
        <v>392</v>
      </c>
      <c r="W1898" s="165">
        <v>2</v>
      </c>
      <c r="X1898" s="165">
        <v>4</v>
      </c>
      <c r="Y1898" s="164" t="s">
        <v>203</v>
      </c>
      <c r="Z1898" s="164" t="s">
        <v>195</v>
      </c>
      <c r="AA1898" s="164" t="s">
        <v>196</v>
      </c>
      <c r="AB1898" s="164" t="s">
        <v>187</v>
      </c>
      <c r="AC1898" s="164" t="s">
        <v>187</v>
      </c>
      <c r="AD1898" s="165">
        <v>1</v>
      </c>
      <c r="AE1898" s="164" t="s">
        <v>187</v>
      </c>
      <c r="AF1898" s="165">
        <v>24.905574462472401</v>
      </c>
      <c r="AG1898" s="166">
        <v>67.071325387505595</v>
      </c>
      <c r="AO1898" s="121"/>
      <c r="AT1898" s="111"/>
      <c r="AX1898" s="121"/>
    </row>
    <row r="1899" spans="1:50" s="110" customFormat="1" ht="20" customHeight="1">
      <c r="A1899" s="125" t="s">
        <v>231</v>
      </c>
      <c r="B1899" s="126" t="s">
        <v>66</v>
      </c>
      <c r="C1899" s="127">
        <v>18299</v>
      </c>
      <c r="D1899" s="163">
        <v>113844</v>
      </c>
      <c r="E1899" s="164" t="s">
        <v>3082</v>
      </c>
      <c r="F1899" s="164" t="s">
        <v>3082</v>
      </c>
      <c r="G1899" s="165">
        <v>4300</v>
      </c>
      <c r="H1899" s="165">
        <v>1</v>
      </c>
      <c r="I1899" s="164" t="s">
        <v>187</v>
      </c>
      <c r="J1899" s="164" t="s">
        <v>219</v>
      </c>
      <c r="K1899" s="164" t="s">
        <v>220</v>
      </c>
      <c r="L1899" s="165">
        <v>5</v>
      </c>
      <c r="M1899" s="165">
        <v>5</v>
      </c>
      <c r="N1899" s="164" t="s">
        <v>1577</v>
      </c>
      <c r="O1899" s="165">
        <v>0</v>
      </c>
      <c r="P1899" s="165">
        <v>0</v>
      </c>
      <c r="Q1899" s="165">
        <v>21</v>
      </c>
      <c r="R1899" s="164" t="s">
        <v>200</v>
      </c>
      <c r="S1899" s="164" t="s">
        <v>201</v>
      </c>
      <c r="T1899" s="165">
        <v>475</v>
      </c>
      <c r="U1899" s="164" t="s">
        <v>200</v>
      </c>
      <c r="V1899" s="164" t="s">
        <v>392</v>
      </c>
      <c r="W1899" s="165">
        <v>2</v>
      </c>
      <c r="X1899" s="165">
        <v>4</v>
      </c>
      <c r="Y1899" s="164" t="s">
        <v>203</v>
      </c>
      <c r="Z1899" s="164" t="s">
        <v>195</v>
      </c>
      <c r="AA1899" s="164" t="s">
        <v>196</v>
      </c>
      <c r="AB1899" s="164" t="s">
        <v>187</v>
      </c>
      <c r="AC1899" s="164" t="s">
        <v>187</v>
      </c>
      <c r="AD1899" s="165">
        <v>1</v>
      </c>
      <c r="AE1899" s="164" t="s">
        <v>187</v>
      </c>
      <c r="AF1899" s="165">
        <v>24.9101883617552</v>
      </c>
      <c r="AG1899" s="166">
        <v>67.073016800125501</v>
      </c>
      <c r="AO1899" s="121"/>
      <c r="AT1899" s="111"/>
      <c r="AX1899" s="121"/>
    </row>
    <row r="1900" spans="1:50" s="110" customFormat="1" ht="20" customHeight="1">
      <c r="A1900" s="125" t="s">
        <v>231</v>
      </c>
      <c r="B1900" s="126" t="s">
        <v>66</v>
      </c>
      <c r="C1900" s="127">
        <v>16781</v>
      </c>
      <c r="D1900" s="163">
        <v>112042</v>
      </c>
      <c r="E1900" s="164" t="s">
        <v>3006</v>
      </c>
      <c r="F1900" s="164" t="s">
        <v>3006</v>
      </c>
      <c r="G1900" s="165">
        <v>3700</v>
      </c>
      <c r="H1900" s="165">
        <v>1</v>
      </c>
      <c r="I1900" s="164" t="s">
        <v>187</v>
      </c>
      <c r="J1900" s="164" t="s">
        <v>219</v>
      </c>
      <c r="K1900" s="164" t="s">
        <v>220</v>
      </c>
      <c r="L1900" s="165">
        <v>5</v>
      </c>
      <c r="M1900" s="165">
        <v>5</v>
      </c>
      <c r="N1900" s="164" t="s">
        <v>1577</v>
      </c>
      <c r="O1900" s="165">
        <v>0</v>
      </c>
      <c r="P1900" s="165">
        <v>0</v>
      </c>
      <c r="Q1900" s="165">
        <v>21</v>
      </c>
      <c r="R1900" s="164" t="s">
        <v>200</v>
      </c>
      <c r="S1900" s="164" t="s">
        <v>201</v>
      </c>
      <c r="T1900" s="165">
        <v>475</v>
      </c>
      <c r="U1900" s="164" t="s">
        <v>200</v>
      </c>
      <c r="V1900" s="164" t="s">
        <v>392</v>
      </c>
      <c r="W1900" s="165">
        <v>2</v>
      </c>
      <c r="X1900" s="165">
        <v>4</v>
      </c>
      <c r="Y1900" s="164" t="s">
        <v>203</v>
      </c>
      <c r="Z1900" s="164" t="s">
        <v>195</v>
      </c>
      <c r="AA1900" s="164" t="s">
        <v>196</v>
      </c>
      <c r="AB1900" s="164" t="s">
        <v>187</v>
      </c>
      <c r="AC1900" s="164" t="s">
        <v>187</v>
      </c>
      <c r="AD1900" s="165">
        <v>1</v>
      </c>
      <c r="AE1900" s="164" t="s">
        <v>187</v>
      </c>
      <c r="AF1900" s="165">
        <v>24.908892731577801</v>
      </c>
      <c r="AG1900" s="166">
        <v>67.067459736329695</v>
      </c>
      <c r="AO1900" s="121"/>
      <c r="AT1900" s="111"/>
      <c r="AX1900" s="121"/>
    </row>
    <row r="1901" spans="1:50" s="110" customFormat="1" ht="20" customHeight="1">
      <c r="A1901" s="125" t="s">
        <v>231</v>
      </c>
      <c r="B1901" s="126" t="s">
        <v>66</v>
      </c>
      <c r="C1901" s="127">
        <v>17950</v>
      </c>
      <c r="D1901" s="163">
        <v>113439</v>
      </c>
      <c r="E1901" s="164" t="s">
        <v>2593</v>
      </c>
      <c r="F1901" s="164" t="s">
        <v>2593</v>
      </c>
      <c r="G1901" s="165">
        <v>1600</v>
      </c>
      <c r="H1901" s="165">
        <v>1</v>
      </c>
      <c r="I1901" s="164" t="s">
        <v>187</v>
      </c>
      <c r="J1901" s="164" t="s">
        <v>219</v>
      </c>
      <c r="K1901" s="164" t="s">
        <v>220</v>
      </c>
      <c r="L1901" s="165">
        <v>5</v>
      </c>
      <c r="M1901" s="165">
        <v>5</v>
      </c>
      <c r="N1901" s="164" t="s">
        <v>1577</v>
      </c>
      <c r="O1901" s="165">
        <v>0</v>
      </c>
      <c r="P1901" s="165">
        <v>0</v>
      </c>
      <c r="Q1901" s="165">
        <v>21</v>
      </c>
      <c r="R1901" s="164" t="s">
        <v>200</v>
      </c>
      <c r="S1901" s="164" t="s">
        <v>201</v>
      </c>
      <c r="T1901" s="165">
        <v>475</v>
      </c>
      <c r="U1901" s="164" t="s">
        <v>200</v>
      </c>
      <c r="V1901" s="164" t="s">
        <v>392</v>
      </c>
      <c r="W1901" s="165">
        <v>2</v>
      </c>
      <c r="X1901" s="165">
        <v>4</v>
      </c>
      <c r="Y1901" s="164" t="s">
        <v>203</v>
      </c>
      <c r="Z1901" s="164" t="s">
        <v>195</v>
      </c>
      <c r="AA1901" s="164" t="s">
        <v>196</v>
      </c>
      <c r="AB1901" s="164" t="s">
        <v>187</v>
      </c>
      <c r="AC1901" s="164" t="s">
        <v>187</v>
      </c>
      <c r="AD1901" s="165">
        <v>1</v>
      </c>
      <c r="AE1901" s="164" t="s">
        <v>187</v>
      </c>
      <c r="AF1901" s="165">
        <v>24.910206079605</v>
      </c>
      <c r="AG1901" s="166">
        <v>67.071111666302997</v>
      </c>
      <c r="AO1901" s="121"/>
      <c r="AT1901" s="111"/>
      <c r="AX1901" s="121"/>
    </row>
    <row r="1902" spans="1:50" s="110" customFormat="1" ht="20" customHeight="1">
      <c r="A1902" s="125" t="s">
        <v>231</v>
      </c>
      <c r="B1902" s="126" t="s">
        <v>66</v>
      </c>
      <c r="C1902" s="127">
        <v>17855</v>
      </c>
      <c r="D1902" s="163">
        <v>113331</v>
      </c>
      <c r="E1902" s="164" t="s">
        <v>2380</v>
      </c>
      <c r="F1902" s="164" t="s">
        <v>2380</v>
      </c>
      <c r="G1902" s="165">
        <v>1100</v>
      </c>
      <c r="H1902" s="165">
        <v>1</v>
      </c>
      <c r="I1902" s="164" t="s">
        <v>187</v>
      </c>
      <c r="J1902" s="164" t="s">
        <v>219</v>
      </c>
      <c r="K1902" s="164" t="s">
        <v>220</v>
      </c>
      <c r="L1902" s="165">
        <v>5</v>
      </c>
      <c r="M1902" s="165">
        <v>5</v>
      </c>
      <c r="N1902" s="164" t="s">
        <v>1577</v>
      </c>
      <c r="O1902" s="165">
        <v>0</v>
      </c>
      <c r="P1902" s="165">
        <v>0</v>
      </c>
      <c r="Q1902" s="165">
        <v>21</v>
      </c>
      <c r="R1902" s="164" t="s">
        <v>200</v>
      </c>
      <c r="S1902" s="164" t="s">
        <v>201</v>
      </c>
      <c r="T1902" s="165">
        <v>475</v>
      </c>
      <c r="U1902" s="164" t="s">
        <v>200</v>
      </c>
      <c r="V1902" s="164" t="s">
        <v>392</v>
      </c>
      <c r="W1902" s="165">
        <v>2</v>
      </c>
      <c r="X1902" s="165">
        <v>4</v>
      </c>
      <c r="Y1902" s="164" t="s">
        <v>203</v>
      </c>
      <c r="Z1902" s="164" t="s">
        <v>195</v>
      </c>
      <c r="AA1902" s="164" t="s">
        <v>196</v>
      </c>
      <c r="AB1902" s="164" t="s">
        <v>187</v>
      </c>
      <c r="AC1902" s="164" t="s">
        <v>187</v>
      </c>
      <c r="AD1902" s="165">
        <v>1</v>
      </c>
      <c r="AE1902" s="164" t="s">
        <v>187</v>
      </c>
      <c r="AF1902" s="165">
        <v>24.9056488492249</v>
      </c>
      <c r="AG1902" s="166">
        <v>67.070772843910206</v>
      </c>
      <c r="AO1902" s="121"/>
      <c r="AT1902" s="111"/>
      <c r="AX1902" s="121"/>
    </row>
    <row r="1903" spans="1:50" s="110" customFormat="1" ht="20" customHeight="1">
      <c r="A1903" s="125" t="s">
        <v>408</v>
      </c>
      <c r="B1903" s="126" t="s">
        <v>64</v>
      </c>
      <c r="C1903" s="127">
        <v>17433</v>
      </c>
      <c r="D1903" s="163">
        <v>112836</v>
      </c>
      <c r="E1903" s="164" t="s">
        <v>1083</v>
      </c>
      <c r="F1903" s="164" t="s">
        <v>1083</v>
      </c>
      <c r="G1903" s="165">
        <v>27000</v>
      </c>
      <c r="H1903" s="165">
        <v>1</v>
      </c>
      <c r="I1903" s="164" t="s">
        <v>187</v>
      </c>
      <c r="J1903" s="164" t="s">
        <v>2136</v>
      </c>
      <c r="K1903" s="164" t="s">
        <v>2137</v>
      </c>
      <c r="L1903" s="165">
        <v>5</v>
      </c>
      <c r="M1903" s="165">
        <v>5</v>
      </c>
      <c r="N1903" s="164" t="s">
        <v>1577</v>
      </c>
      <c r="O1903" s="165">
        <v>5</v>
      </c>
      <c r="P1903" s="165">
        <v>2</v>
      </c>
      <c r="Q1903" s="165">
        <v>21</v>
      </c>
      <c r="R1903" s="164" t="s">
        <v>200</v>
      </c>
      <c r="S1903" s="164" t="s">
        <v>201</v>
      </c>
      <c r="T1903" s="165">
        <v>475</v>
      </c>
      <c r="U1903" s="164" t="s">
        <v>200</v>
      </c>
      <c r="V1903" s="164" t="s">
        <v>392</v>
      </c>
      <c r="W1903" s="165">
        <v>12</v>
      </c>
      <c r="X1903" s="165">
        <v>2</v>
      </c>
      <c r="Y1903" s="164" t="s">
        <v>194</v>
      </c>
      <c r="Z1903" s="164" t="s">
        <v>195</v>
      </c>
      <c r="AA1903" s="164" t="s">
        <v>196</v>
      </c>
      <c r="AB1903" s="164" t="s">
        <v>209</v>
      </c>
      <c r="AC1903" s="164" t="s">
        <v>209</v>
      </c>
      <c r="AD1903" s="165">
        <v>1</v>
      </c>
      <c r="AE1903" s="164" t="s">
        <v>209</v>
      </c>
      <c r="AF1903" s="165">
        <v>1.3427800000000001</v>
      </c>
      <c r="AG1903" s="166">
        <v>103.8064</v>
      </c>
      <c r="AO1903" s="121"/>
      <c r="AT1903" s="111"/>
      <c r="AX1903" s="121"/>
    </row>
    <row r="1904" spans="1:50" s="110" customFormat="1" ht="20" customHeight="1">
      <c r="A1904" s="125" t="s">
        <v>224</v>
      </c>
      <c r="B1904" s="126" t="s">
        <v>68</v>
      </c>
      <c r="C1904" s="127">
        <v>16932</v>
      </c>
      <c r="D1904" s="163">
        <v>112234</v>
      </c>
      <c r="E1904" s="164" t="s">
        <v>2442</v>
      </c>
      <c r="F1904" s="164" t="s">
        <v>2442</v>
      </c>
      <c r="G1904" s="165">
        <v>1200</v>
      </c>
      <c r="H1904" s="165">
        <v>1</v>
      </c>
      <c r="I1904" s="164" t="s">
        <v>187</v>
      </c>
      <c r="J1904" s="164" t="s">
        <v>2139</v>
      </c>
      <c r="K1904" s="164" t="s">
        <v>2140</v>
      </c>
      <c r="L1904" s="165">
        <v>5</v>
      </c>
      <c r="M1904" s="165">
        <v>5</v>
      </c>
      <c r="N1904" s="164" t="s">
        <v>1577</v>
      </c>
      <c r="O1904" s="165">
        <v>0</v>
      </c>
      <c r="P1904" s="165">
        <v>0</v>
      </c>
      <c r="Q1904" s="165">
        <v>21</v>
      </c>
      <c r="R1904" s="164" t="s">
        <v>200</v>
      </c>
      <c r="S1904" s="164" t="s">
        <v>201</v>
      </c>
      <c r="T1904" s="165">
        <v>475</v>
      </c>
      <c r="U1904" s="164" t="s">
        <v>200</v>
      </c>
      <c r="V1904" s="164" t="s">
        <v>392</v>
      </c>
      <c r="W1904" s="165">
        <v>2</v>
      </c>
      <c r="X1904" s="165">
        <v>4</v>
      </c>
      <c r="Y1904" s="164" t="s">
        <v>203</v>
      </c>
      <c r="Z1904" s="164" t="s">
        <v>195</v>
      </c>
      <c r="AA1904" s="164" t="s">
        <v>196</v>
      </c>
      <c r="AB1904" s="164" t="s">
        <v>187</v>
      </c>
      <c r="AC1904" s="164" t="s">
        <v>187</v>
      </c>
      <c r="AD1904" s="165">
        <v>1</v>
      </c>
      <c r="AE1904" s="164" t="s">
        <v>187</v>
      </c>
      <c r="AF1904" s="165">
        <v>7.0134718049938396</v>
      </c>
      <c r="AG1904" s="166">
        <v>80.766509324472494</v>
      </c>
      <c r="AO1904" s="121"/>
      <c r="AT1904" s="111"/>
      <c r="AX1904" s="121"/>
    </row>
    <row r="1905" spans="1:50" s="110" customFormat="1" ht="20" customHeight="1">
      <c r="A1905" s="125" t="s">
        <v>224</v>
      </c>
      <c r="B1905" s="126" t="s">
        <v>68</v>
      </c>
      <c r="C1905" s="127">
        <v>17433</v>
      </c>
      <c r="D1905" s="157">
        <v>112836</v>
      </c>
      <c r="E1905" s="158" t="s">
        <v>1083</v>
      </c>
      <c r="F1905" s="158" t="s">
        <v>1083</v>
      </c>
      <c r="G1905" s="159">
        <v>700</v>
      </c>
      <c r="H1905" s="159">
        <v>2</v>
      </c>
      <c r="I1905" s="158" t="s">
        <v>209</v>
      </c>
      <c r="J1905" s="158" t="s">
        <v>2136</v>
      </c>
      <c r="K1905" s="158" t="s">
        <v>2137</v>
      </c>
      <c r="L1905" s="159">
        <v>5</v>
      </c>
      <c r="M1905" s="159">
        <v>5</v>
      </c>
      <c r="N1905" s="158" t="s">
        <v>1577</v>
      </c>
      <c r="O1905" s="159">
        <v>11.019</v>
      </c>
      <c r="P1905" s="160"/>
      <c r="Q1905" s="159">
        <v>21</v>
      </c>
      <c r="R1905" s="158" t="s">
        <v>200</v>
      </c>
      <c r="S1905" s="158" t="s">
        <v>201</v>
      </c>
      <c r="T1905" s="159">
        <v>475</v>
      </c>
      <c r="U1905" s="158" t="s">
        <v>200</v>
      </c>
      <c r="V1905" s="158" t="s">
        <v>392</v>
      </c>
      <c r="W1905" s="159">
        <v>12</v>
      </c>
      <c r="X1905" s="159">
        <v>4</v>
      </c>
      <c r="Y1905" s="158" t="s">
        <v>203</v>
      </c>
      <c r="Z1905" s="158" t="s">
        <v>195</v>
      </c>
      <c r="AA1905" s="158" t="s">
        <v>196</v>
      </c>
      <c r="AB1905" s="158" t="s">
        <v>187</v>
      </c>
      <c r="AC1905" s="158" t="s">
        <v>187</v>
      </c>
      <c r="AD1905" s="160"/>
      <c r="AE1905" s="158" t="s">
        <v>209</v>
      </c>
      <c r="AF1905" s="159">
        <v>7.7882199999999999</v>
      </c>
      <c r="AG1905" s="161">
        <v>81.497190000000003</v>
      </c>
      <c r="AO1905" s="121"/>
      <c r="AT1905" s="111"/>
      <c r="AX1905" s="121"/>
    </row>
    <row r="1906" spans="1:50" s="110" customFormat="1" ht="20" customHeight="1">
      <c r="A1906" s="125" t="s">
        <v>185</v>
      </c>
      <c r="B1906" s="126" t="s">
        <v>59</v>
      </c>
      <c r="C1906" s="127">
        <v>10144</v>
      </c>
      <c r="D1906" s="163">
        <v>100036</v>
      </c>
      <c r="E1906" s="164" t="s">
        <v>204</v>
      </c>
      <c r="F1906" s="164" t="s">
        <v>204</v>
      </c>
      <c r="G1906" s="165">
        <v>3924000</v>
      </c>
      <c r="H1906" s="165">
        <v>1</v>
      </c>
      <c r="I1906" s="164" t="s">
        <v>187</v>
      </c>
      <c r="J1906" s="164" t="s">
        <v>205</v>
      </c>
      <c r="K1906" s="164" t="s">
        <v>206</v>
      </c>
      <c r="L1906" s="165">
        <v>5</v>
      </c>
      <c r="M1906" s="165">
        <v>6</v>
      </c>
      <c r="N1906" s="164" t="s">
        <v>189</v>
      </c>
      <c r="O1906" s="165">
        <v>0.12</v>
      </c>
      <c r="P1906" s="165">
        <v>2E-3</v>
      </c>
      <c r="Q1906" s="165">
        <v>17</v>
      </c>
      <c r="R1906" s="164" t="s">
        <v>190</v>
      </c>
      <c r="S1906" s="164" t="s">
        <v>191</v>
      </c>
      <c r="T1906" s="165">
        <v>101</v>
      </c>
      <c r="U1906" s="164" t="s">
        <v>207</v>
      </c>
      <c r="V1906" s="164" t="s">
        <v>208</v>
      </c>
      <c r="W1906" s="165">
        <v>2</v>
      </c>
      <c r="X1906" s="165">
        <v>2</v>
      </c>
      <c r="Y1906" s="164" t="s">
        <v>194</v>
      </c>
      <c r="Z1906" s="164" t="s">
        <v>195</v>
      </c>
      <c r="AA1906" s="164" t="s">
        <v>196</v>
      </c>
      <c r="AB1906" s="164" t="s">
        <v>187</v>
      </c>
      <c r="AC1906" s="164" t="s">
        <v>187</v>
      </c>
      <c r="AD1906" s="165">
        <v>78</v>
      </c>
      <c r="AE1906" s="164" t="s">
        <v>209</v>
      </c>
      <c r="AF1906" s="165">
        <v>3.6434199999999999</v>
      </c>
      <c r="AG1906" s="166">
        <v>97.05471</v>
      </c>
      <c r="AO1906" s="121"/>
      <c r="AT1906" s="111"/>
      <c r="AX1906" s="121"/>
    </row>
    <row r="1907" spans="1:50" s="110" customFormat="1" ht="20" customHeight="1">
      <c r="A1907" s="125" t="s">
        <v>185</v>
      </c>
      <c r="B1907" s="126" t="s">
        <v>59</v>
      </c>
      <c r="C1907" s="127">
        <v>11837</v>
      </c>
      <c r="D1907" s="163">
        <v>103264</v>
      </c>
      <c r="E1907" s="164" t="s">
        <v>702</v>
      </c>
      <c r="F1907" s="164" t="s">
        <v>702</v>
      </c>
      <c r="G1907" s="165">
        <v>336000</v>
      </c>
      <c r="H1907" s="165">
        <v>1</v>
      </c>
      <c r="I1907" s="164" t="s">
        <v>187</v>
      </c>
      <c r="J1907" s="164" t="s">
        <v>703</v>
      </c>
      <c r="K1907" s="164" t="s">
        <v>702</v>
      </c>
      <c r="L1907" s="165">
        <v>0</v>
      </c>
      <c r="M1907" s="165">
        <v>6</v>
      </c>
      <c r="N1907" s="164" t="s">
        <v>189</v>
      </c>
      <c r="O1907" s="165">
        <v>0.03</v>
      </c>
      <c r="P1907" s="165">
        <v>5.0000000000000001E-3</v>
      </c>
      <c r="Q1907" s="165">
        <v>17</v>
      </c>
      <c r="R1907" s="164" t="s">
        <v>190</v>
      </c>
      <c r="S1907" s="164" t="s">
        <v>191</v>
      </c>
      <c r="T1907" s="165">
        <v>101</v>
      </c>
      <c r="U1907" s="164" t="s">
        <v>207</v>
      </c>
      <c r="V1907" s="164" t="s">
        <v>208</v>
      </c>
      <c r="W1907" s="165">
        <v>1</v>
      </c>
      <c r="X1907" s="165">
        <v>2</v>
      </c>
      <c r="Y1907" s="164" t="s">
        <v>194</v>
      </c>
      <c r="Z1907" s="164" t="s">
        <v>195</v>
      </c>
      <c r="AA1907" s="164" t="s">
        <v>196</v>
      </c>
      <c r="AB1907" s="164" t="s">
        <v>187</v>
      </c>
      <c r="AC1907" s="164" t="s">
        <v>187</v>
      </c>
      <c r="AD1907" s="165">
        <v>7</v>
      </c>
      <c r="AE1907" s="164" t="s">
        <v>187</v>
      </c>
      <c r="AF1907" s="165">
        <v>4.4181900000000001</v>
      </c>
      <c r="AG1907" s="166">
        <v>97.348870000000005</v>
      </c>
      <c r="AO1907" s="121"/>
      <c r="AT1907" s="111"/>
      <c r="AX1907" s="121"/>
    </row>
    <row r="1908" spans="1:50" s="110" customFormat="1" ht="20" customHeight="1">
      <c r="A1908" s="125" t="s">
        <v>185</v>
      </c>
      <c r="B1908" s="126" t="s">
        <v>59</v>
      </c>
      <c r="C1908" s="127">
        <v>10246</v>
      </c>
      <c r="D1908" s="163">
        <v>100215</v>
      </c>
      <c r="E1908" s="164" t="s">
        <v>240</v>
      </c>
      <c r="F1908" s="164" t="s">
        <v>240</v>
      </c>
      <c r="G1908" s="165">
        <v>90000</v>
      </c>
      <c r="H1908" s="165">
        <v>1</v>
      </c>
      <c r="I1908" s="164" t="s">
        <v>187</v>
      </c>
      <c r="J1908" s="164" t="s">
        <v>241</v>
      </c>
      <c r="K1908" s="164" t="s">
        <v>242</v>
      </c>
      <c r="L1908" s="165">
        <v>3</v>
      </c>
      <c r="M1908" s="165">
        <v>6</v>
      </c>
      <c r="N1908" s="164" t="s">
        <v>189</v>
      </c>
      <c r="O1908" s="165">
        <v>0.01</v>
      </c>
      <c r="P1908" s="165">
        <v>4.0000000000000001E-3</v>
      </c>
      <c r="Q1908" s="165">
        <v>17</v>
      </c>
      <c r="R1908" s="164" t="s">
        <v>190</v>
      </c>
      <c r="S1908" s="164" t="s">
        <v>191</v>
      </c>
      <c r="T1908" s="165">
        <v>101</v>
      </c>
      <c r="U1908" s="164" t="s">
        <v>207</v>
      </c>
      <c r="V1908" s="164" t="s">
        <v>208</v>
      </c>
      <c r="W1908" s="165">
        <v>1</v>
      </c>
      <c r="X1908" s="165">
        <v>2</v>
      </c>
      <c r="Y1908" s="164" t="s">
        <v>194</v>
      </c>
      <c r="Z1908" s="164" t="s">
        <v>195</v>
      </c>
      <c r="AA1908" s="164" t="s">
        <v>196</v>
      </c>
      <c r="AB1908" s="164" t="s">
        <v>187</v>
      </c>
      <c r="AC1908" s="164" t="s">
        <v>187</v>
      </c>
      <c r="AD1908" s="165">
        <v>2</v>
      </c>
      <c r="AE1908" s="164" t="s">
        <v>187</v>
      </c>
      <c r="AF1908" s="165">
        <v>3.44809782905156</v>
      </c>
      <c r="AG1908" s="166">
        <v>97.831208411938604</v>
      </c>
      <c r="AO1908" s="121"/>
      <c r="AT1908" s="111"/>
      <c r="AX1908" s="121"/>
    </row>
    <row r="1909" spans="1:50" s="110" customFormat="1" ht="20" customHeight="1">
      <c r="A1909" s="125" t="s">
        <v>185</v>
      </c>
      <c r="B1909" s="126" t="s">
        <v>59</v>
      </c>
      <c r="C1909" s="127">
        <v>10317</v>
      </c>
      <c r="D1909" s="163">
        <v>100341</v>
      </c>
      <c r="E1909" s="164" t="s">
        <v>265</v>
      </c>
      <c r="F1909" s="164" t="s">
        <v>265</v>
      </c>
      <c r="G1909" s="165">
        <v>73000</v>
      </c>
      <c r="H1909" s="165">
        <v>1</v>
      </c>
      <c r="I1909" s="164" t="s">
        <v>187</v>
      </c>
      <c r="J1909" s="164" t="s">
        <v>266</v>
      </c>
      <c r="K1909" s="164" t="s">
        <v>267</v>
      </c>
      <c r="L1909" s="165">
        <v>4</v>
      </c>
      <c r="M1909" s="165">
        <v>6</v>
      </c>
      <c r="N1909" s="164" t="s">
        <v>189</v>
      </c>
      <c r="O1909" s="165">
        <v>0.1</v>
      </c>
      <c r="P1909" s="165">
        <v>5.0000000000000001E-3</v>
      </c>
      <c r="Q1909" s="165">
        <v>17</v>
      </c>
      <c r="R1909" s="164" t="s">
        <v>190</v>
      </c>
      <c r="S1909" s="164" t="s">
        <v>191</v>
      </c>
      <c r="T1909" s="165">
        <v>101</v>
      </c>
      <c r="U1909" s="164" t="s">
        <v>207</v>
      </c>
      <c r="V1909" s="164" t="s">
        <v>208</v>
      </c>
      <c r="W1909" s="165">
        <v>1</v>
      </c>
      <c r="X1909" s="165">
        <v>2</v>
      </c>
      <c r="Y1909" s="164" t="s">
        <v>194</v>
      </c>
      <c r="Z1909" s="164" t="s">
        <v>195</v>
      </c>
      <c r="AA1909" s="164" t="s">
        <v>196</v>
      </c>
      <c r="AB1909" s="164" t="s">
        <v>187</v>
      </c>
      <c r="AC1909" s="164" t="s">
        <v>187</v>
      </c>
      <c r="AD1909" s="165">
        <v>1</v>
      </c>
      <c r="AE1909" s="164" t="s">
        <v>187</v>
      </c>
      <c r="AF1909" s="165">
        <v>3.0855437526420801</v>
      </c>
      <c r="AG1909" s="166">
        <v>97.379944296092305</v>
      </c>
      <c r="AO1909" s="121"/>
      <c r="AT1909" s="111"/>
      <c r="AX1909" s="121"/>
    </row>
    <row r="1910" spans="1:50" s="110" customFormat="1" ht="20" customHeight="1">
      <c r="A1910" s="125" t="s">
        <v>185</v>
      </c>
      <c r="B1910" s="126" t="s">
        <v>59</v>
      </c>
      <c r="C1910" s="127">
        <v>10720</v>
      </c>
      <c r="D1910" s="163">
        <v>101125</v>
      </c>
      <c r="E1910" s="164" t="s">
        <v>1079</v>
      </c>
      <c r="F1910" s="164" t="s">
        <v>1079</v>
      </c>
      <c r="G1910" s="165">
        <v>72000</v>
      </c>
      <c r="H1910" s="165">
        <v>1</v>
      </c>
      <c r="I1910" s="164" t="s">
        <v>187</v>
      </c>
      <c r="J1910" s="164" t="s">
        <v>1080</v>
      </c>
      <c r="K1910" s="164" t="s">
        <v>1081</v>
      </c>
      <c r="L1910" s="165">
        <v>5</v>
      </c>
      <c r="M1910" s="165">
        <v>6</v>
      </c>
      <c r="N1910" s="164" t="s">
        <v>189</v>
      </c>
      <c r="O1910" s="165">
        <v>0</v>
      </c>
      <c r="P1910" s="165">
        <v>0</v>
      </c>
      <c r="Q1910" s="165">
        <v>17</v>
      </c>
      <c r="R1910" s="164" t="s">
        <v>190</v>
      </c>
      <c r="S1910" s="164" t="s">
        <v>191</v>
      </c>
      <c r="T1910" s="165">
        <v>101</v>
      </c>
      <c r="U1910" s="164" t="s">
        <v>207</v>
      </c>
      <c r="V1910" s="164" t="s">
        <v>208</v>
      </c>
      <c r="W1910" s="165">
        <v>1</v>
      </c>
      <c r="X1910" s="165">
        <v>2</v>
      </c>
      <c r="Y1910" s="164" t="s">
        <v>194</v>
      </c>
      <c r="Z1910" s="164" t="s">
        <v>195</v>
      </c>
      <c r="AA1910" s="164" t="s">
        <v>196</v>
      </c>
      <c r="AB1910" s="164" t="s">
        <v>187</v>
      </c>
      <c r="AC1910" s="164" t="s">
        <v>187</v>
      </c>
      <c r="AD1910" s="165">
        <v>1</v>
      </c>
      <c r="AE1910" s="164" t="s">
        <v>187</v>
      </c>
      <c r="AF1910" s="165">
        <v>2.77313013404842</v>
      </c>
      <c r="AG1910" s="166">
        <v>97.773354038158303</v>
      </c>
      <c r="AO1910" s="121"/>
      <c r="AT1910" s="111"/>
      <c r="AX1910" s="121"/>
    </row>
    <row r="1911" spans="1:50" s="110" customFormat="1" ht="20" customHeight="1">
      <c r="A1911" s="125" t="s">
        <v>185</v>
      </c>
      <c r="B1911" s="126" t="s">
        <v>59</v>
      </c>
      <c r="C1911" s="127">
        <v>10247</v>
      </c>
      <c r="D1911" s="163">
        <v>100216</v>
      </c>
      <c r="E1911" s="164" t="s">
        <v>931</v>
      </c>
      <c r="F1911" s="164" t="s">
        <v>931</v>
      </c>
      <c r="G1911" s="165">
        <v>57000</v>
      </c>
      <c r="H1911" s="165">
        <v>1</v>
      </c>
      <c r="I1911" s="164" t="s">
        <v>187</v>
      </c>
      <c r="J1911" s="164" t="s">
        <v>241</v>
      </c>
      <c r="K1911" s="164" t="s">
        <v>242</v>
      </c>
      <c r="L1911" s="165">
        <v>3</v>
      </c>
      <c r="M1911" s="165">
        <v>6</v>
      </c>
      <c r="N1911" s="164" t="s">
        <v>189</v>
      </c>
      <c r="O1911" s="165">
        <v>0</v>
      </c>
      <c r="P1911" s="165">
        <v>0</v>
      </c>
      <c r="Q1911" s="165">
        <v>17</v>
      </c>
      <c r="R1911" s="164" t="s">
        <v>190</v>
      </c>
      <c r="S1911" s="164" t="s">
        <v>191</v>
      </c>
      <c r="T1911" s="165">
        <v>101</v>
      </c>
      <c r="U1911" s="164" t="s">
        <v>207</v>
      </c>
      <c r="V1911" s="164" t="s">
        <v>208</v>
      </c>
      <c r="W1911" s="165">
        <v>1</v>
      </c>
      <c r="X1911" s="165">
        <v>2</v>
      </c>
      <c r="Y1911" s="164" t="s">
        <v>194</v>
      </c>
      <c r="Z1911" s="164" t="s">
        <v>195</v>
      </c>
      <c r="AA1911" s="164" t="s">
        <v>196</v>
      </c>
      <c r="AB1911" s="164" t="s">
        <v>187</v>
      </c>
      <c r="AC1911" s="164" t="s">
        <v>187</v>
      </c>
      <c r="AD1911" s="165">
        <v>1</v>
      </c>
      <c r="AE1911" s="164" t="s">
        <v>187</v>
      </c>
      <c r="AF1911" s="165">
        <v>2.9428362969575201</v>
      </c>
      <c r="AG1911" s="166">
        <v>97.491796085221097</v>
      </c>
      <c r="AO1911" s="121"/>
      <c r="AT1911" s="111"/>
      <c r="AX1911" s="121"/>
    </row>
    <row r="1912" spans="1:50" s="110" customFormat="1" ht="20" customHeight="1">
      <c r="A1912" s="125" t="s">
        <v>185</v>
      </c>
      <c r="B1912" s="126" t="s">
        <v>59</v>
      </c>
      <c r="C1912" s="127">
        <v>14184</v>
      </c>
      <c r="D1912" s="163">
        <v>109018</v>
      </c>
      <c r="E1912" s="164" t="s">
        <v>1375</v>
      </c>
      <c r="F1912" s="164" t="s">
        <v>1375</v>
      </c>
      <c r="G1912" s="165">
        <v>45000</v>
      </c>
      <c r="H1912" s="165">
        <v>1</v>
      </c>
      <c r="I1912" s="164" t="s">
        <v>187</v>
      </c>
      <c r="J1912" s="164" t="s">
        <v>1376</v>
      </c>
      <c r="K1912" s="164" t="s">
        <v>1375</v>
      </c>
      <c r="L1912" s="165">
        <v>0</v>
      </c>
      <c r="M1912" s="165">
        <v>6</v>
      </c>
      <c r="N1912" s="164" t="s">
        <v>189</v>
      </c>
      <c r="O1912" s="165">
        <v>8.9999999999999993E-3</v>
      </c>
      <c r="P1912" s="165">
        <v>8.9999999999999993E-3</v>
      </c>
      <c r="Q1912" s="165">
        <v>17</v>
      </c>
      <c r="R1912" s="164" t="s">
        <v>190</v>
      </c>
      <c r="S1912" s="164" t="s">
        <v>191</v>
      </c>
      <c r="T1912" s="165">
        <v>101</v>
      </c>
      <c r="U1912" s="164" t="s">
        <v>207</v>
      </c>
      <c r="V1912" s="164" t="s">
        <v>208</v>
      </c>
      <c r="W1912" s="165">
        <v>1</v>
      </c>
      <c r="X1912" s="165">
        <v>2</v>
      </c>
      <c r="Y1912" s="164" t="s">
        <v>194</v>
      </c>
      <c r="Z1912" s="164" t="s">
        <v>195</v>
      </c>
      <c r="AA1912" s="164" t="s">
        <v>196</v>
      </c>
      <c r="AB1912" s="164" t="s">
        <v>187</v>
      </c>
      <c r="AC1912" s="164" t="s">
        <v>187</v>
      </c>
      <c r="AD1912" s="165">
        <v>1</v>
      </c>
      <c r="AE1912" s="164" t="s">
        <v>187</v>
      </c>
      <c r="AF1912" s="165">
        <v>2.4786199999999998</v>
      </c>
      <c r="AG1912" s="166">
        <v>96.375140000000002</v>
      </c>
      <c r="AO1912" s="121"/>
      <c r="AT1912" s="111"/>
      <c r="AX1912" s="121"/>
    </row>
    <row r="1913" spans="1:50" s="110" customFormat="1" ht="20" customHeight="1">
      <c r="A1913" s="125" t="s">
        <v>185</v>
      </c>
      <c r="B1913" s="126" t="s">
        <v>59</v>
      </c>
      <c r="C1913" s="127">
        <v>15225</v>
      </c>
      <c r="D1913" s="163">
        <v>109774</v>
      </c>
      <c r="E1913" s="164" t="s">
        <v>1416</v>
      </c>
      <c r="F1913" s="164" t="s">
        <v>1416</v>
      </c>
      <c r="G1913" s="165">
        <v>45000</v>
      </c>
      <c r="H1913" s="165">
        <v>1</v>
      </c>
      <c r="I1913" s="164" t="s">
        <v>187</v>
      </c>
      <c r="J1913" s="164" t="s">
        <v>210</v>
      </c>
      <c r="K1913" s="164" t="s">
        <v>211</v>
      </c>
      <c r="L1913" s="165">
        <v>5</v>
      </c>
      <c r="M1913" s="165">
        <v>6</v>
      </c>
      <c r="N1913" s="164" t="s">
        <v>189</v>
      </c>
      <c r="O1913" s="165">
        <v>0</v>
      </c>
      <c r="P1913" s="165">
        <v>0</v>
      </c>
      <c r="Q1913" s="165">
        <v>17</v>
      </c>
      <c r="R1913" s="164" t="s">
        <v>190</v>
      </c>
      <c r="S1913" s="164" t="s">
        <v>191</v>
      </c>
      <c r="T1913" s="165">
        <v>101</v>
      </c>
      <c r="U1913" s="164" t="s">
        <v>207</v>
      </c>
      <c r="V1913" s="164" t="s">
        <v>208</v>
      </c>
      <c r="W1913" s="165">
        <v>1</v>
      </c>
      <c r="X1913" s="165">
        <v>2</v>
      </c>
      <c r="Y1913" s="164" t="s">
        <v>194</v>
      </c>
      <c r="Z1913" s="164" t="s">
        <v>195</v>
      </c>
      <c r="AA1913" s="164" t="s">
        <v>196</v>
      </c>
      <c r="AB1913" s="164" t="s">
        <v>187</v>
      </c>
      <c r="AC1913" s="164" t="s">
        <v>187</v>
      </c>
      <c r="AD1913" s="165">
        <v>1</v>
      </c>
      <c r="AE1913" s="164" t="s">
        <v>187</v>
      </c>
      <c r="AF1913" s="165">
        <v>4.1847768562668604</v>
      </c>
      <c r="AG1913" s="166">
        <v>97.819637536643</v>
      </c>
      <c r="AO1913" s="121"/>
      <c r="AT1913" s="111"/>
      <c r="AX1913" s="121"/>
    </row>
    <row r="1914" spans="1:50" s="110" customFormat="1" ht="20" customHeight="1">
      <c r="A1914" s="125" t="s">
        <v>237</v>
      </c>
      <c r="B1914" s="126" t="s">
        <v>60</v>
      </c>
      <c r="C1914" s="127">
        <v>10144</v>
      </c>
      <c r="D1914" s="163">
        <v>100036</v>
      </c>
      <c r="E1914" s="164" t="s">
        <v>204</v>
      </c>
      <c r="F1914" s="164" t="s">
        <v>204</v>
      </c>
      <c r="G1914" s="165">
        <v>84000</v>
      </c>
      <c r="H1914" s="165">
        <v>1</v>
      </c>
      <c r="I1914" s="164" t="s">
        <v>187</v>
      </c>
      <c r="J1914" s="164" t="s">
        <v>210</v>
      </c>
      <c r="K1914" s="164" t="s">
        <v>211</v>
      </c>
      <c r="L1914" s="165">
        <v>5</v>
      </c>
      <c r="M1914" s="165">
        <v>6</v>
      </c>
      <c r="N1914" s="164" t="s">
        <v>189</v>
      </c>
      <c r="O1914" s="165">
        <v>0</v>
      </c>
      <c r="P1914" s="165">
        <v>0</v>
      </c>
      <c r="Q1914" s="165">
        <v>17</v>
      </c>
      <c r="R1914" s="164" t="s">
        <v>190</v>
      </c>
      <c r="S1914" s="164" t="s">
        <v>191</v>
      </c>
      <c r="T1914" s="165">
        <v>101</v>
      </c>
      <c r="U1914" s="164" t="s">
        <v>207</v>
      </c>
      <c r="V1914" s="164" t="s">
        <v>208</v>
      </c>
      <c r="W1914" s="165">
        <v>2</v>
      </c>
      <c r="X1914" s="165">
        <v>2</v>
      </c>
      <c r="Y1914" s="164" t="s">
        <v>194</v>
      </c>
      <c r="Z1914" s="164" t="s">
        <v>195</v>
      </c>
      <c r="AA1914" s="164" t="s">
        <v>196</v>
      </c>
      <c r="AB1914" s="164" t="s">
        <v>187</v>
      </c>
      <c r="AC1914" s="164" t="s">
        <v>209</v>
      </c>
      <c r="AD1914" s="165">
        <v>2</v>
      </c>
      <c r="AE1914" s="164" t="s">
        <v>187</v>
      </c>
      <c r="AF1914" s="165">
        <v>3.0344199999999999</v>
      </c>
      <c r="AG1914" s="166">
        <v>101.60094599999999</v>
      </c>
      <c r="AO1914" s="121"/>
      <c r="AT1914" s="111"/>
      <c r="AX1914" s="121"/>
    </row>
    <row r="1915" spans="1:50" s="110" customFormat="1" ht="20" customHeight="1">
      <c r="A1915" s="125" t="s">
        <v>185</v>
      </c>
      <c r="B1915" s="126" t="s">
        <v>59</v>
      </c>
      <c r="C1915" s="127">
        <v>19204</v>
      </c>
      <c r="D1915" s="163">
        <v>115690</v>
      </c>
      <c r="E1915" s="164" t="s">
        <v>284</v>
      </c>
      <c r="F1915" s="164" t="s">
        <v>284</v>
      </c>
      <c r="G1915" s="165">
        <v>277000</v>
      </c>
      <c r="H1915" s="165">
        <v>1</v>
      </c>
      <c r="I1915" s="164" t="s">
        <v>187</v>
      </c>
      <c r="J1915" s="164" t="s">
        <v>277</v>
      </c>
      <c r="K1915" s="164" t="s">
        <v>278</v>
      </c>
      <c r="L1915" s="165">
        <v>3</v>
      </c>
      <c r="M1915" s="165">
        <v>6</v>
      </c>
      <c r="N1915" s="164" t="s">
        <v>189</v>
      </c>
      <c r="O1915" s="165">
        <v>4</v>
      </c>
      <c r="P1915" s="165">
        <v>0.1</v>
      </c>
      <c r="Q1915" s="165">
        <v>10</v>
      </c>
      <c r="R1915" s="164" t="s">
        <v>273</v>
      </c>
      <c r="S1915" s="164" t="s">
        <v>274</v>
      </c>
      <c r="T1915" s="165">
        <v>324</v>
      </c>
      <c r="U1915" s="164" t="s">
        <v>285</v>
      </c>
      <c r="V1915" s="164" t="s">
        <v>286</v>
      </c>
      <c r="W1915" s="165">
        <v>8</v>
      </c>
      <c r="X1915" s="165">
        <v>2</v>
      </c>
      <c r="Y1915" s="164" t="s">
        <v>194</v>
      </c>
      <c r="Z1915" s="164" t="s">
        <v>195</v>
      </c>
      <c r="AA1915" s="164" t="s">
        <v>196</v>
      </c>
      <c r="AB1915" s="164" t="s">
        <v>187</v>
      </c>
      <c r="AC1915" s="164" t="s">
        <v>187</v>
      </c>
      <c r="AD1915" s="165">
        <v>6</v>
      </c>
      <c r="AE1915" s="164" t="s">
        <v>209</v>
      </c>
      <c r="AF1915" s="165">
        <v>-6.153384</v>
      </c>
      <c r="AG1915" s="166">
        <v>106.73720299999999</v>
      </c>
      <c r="AO1915" s="121"/>
      <c r="AT1915" s="111"/>
      <c r="AX1915" s="121"/>
    </row>
    <row r="1916" spans="1:50" s="110" customFormat="1" ht="20" customHeight="1">
      <c r="A1916" s="125" t="s">
        <v>237</v>
      </c>
      <c r="B1916" s="126" t="s">
        <v>60</v>
      </c>
      <c r="C1916" s="127">
        <v>10375</v>
      </c>
      <c r="D1916" s="163">
        <v>100425</v>
      </c>
      <c r="E1916" s="164" t="s">
        <v>270</v>
      </c>
      <c r="F1916" s="164" t="s">
        <v>270</v>
      </c>
      <c r="G1916" s="165">
        <v>15000</v>
      </c>
      <c r="H1916" s="165">
        <v>1</v>
      </c>
      <c r="I1916" s="164" t="s">
        <v>187</v>
      </c>
      <c r="J1916" s="164" t="s">
        <v>277</v>
      </c>
      <c r="K1916" s="164" t="s">
        <v>278</v>
      </c>
      <c r="L1916" s="165">
        <v>3</v>
      </c>
      <c r="M1916" s="165">
        <v>6</v>
      </c>
      <c r="N1916" s="164" t="s">
        <v>189</v>
      </c>
      <c r="O1916" s="165">
        <v>0.2</v>
      </c>
      <c r="P1916" s="165">
        <v>0</v>
      </c>
      <c r="Q1916" s="165">
        <v>10</v>
      </c>
      <c r="R1916" s="164" t="s">
        <v>273</v>
      </c>
      <c r="S1916" s="164" t="s">
        <v>274</v>
      </c>
      <c r="T1916" s="165">
        <v>111</v>
      </c>
      <c r="U1916" s="164" t="s">
        <v>275</v>
      </c>
      <c r="V1916" s="164" t="s">
        <v>276</v>
      </c>
      <c r="W1916" s="165">
        <v>31</v>
      </c>
      <c r="X1916" s="165">
        <v>2</v>
      </c>
      <c r="Y1916" s="164" t="s">
        <v>194</v>
      </c>
      <c r="Z1916" s="164" t="s">
        <v>195</v>
      </c>
      <c r="AA1916" s="164" t="s">
        <v>196</v>
      </c>
      <c r="AB1916" s="164" t="s">
        <v>187</v>
      </c>
      <c r="AC1916" s="164" t="s">
        <v>209</v>
      </c>
      <c r="AD1916" s="165">
        <v>1</v>
      </c>
      <c r="AE1916" s="164" t="s">
        <v>209</v>
      </c>
      <c r="AF1916" s="165">
        <v>3.15968018659134</v>
      </c>
      <c r="AG1916" s="166">
        <v>101.73526414332601</v>
      </c>
      <c r="AO1916" s="121"/>
      <c r="AT1916" s="111"/>
      <c r="AX1916" s="121"/>
    </row>
    <row r="1917" spans="1:50" s="110" customFormat="1" ht="20" customHeight="1">
      <c r="A1917" s="125" t="s">
        <v>231</v>
      </c>
      <c r="B1917" s="126" t="s">
        <v>66</v>
      </c>
      <c r="C1917" s="127">
        <v>10375</v>
      </c>
      <c r="D1917" s="163">
        <v>100425</v>
      </c>
      <c r="E1917" s="164" t="s">
        <v>270</v>
      </c>
      <c r="F1917" s="164" t="s">
        <v>270</v>
      </c>
      <c r="G1917" s="165">
        <v>5400</v>
      </c>
      <c r="H1917" s="165">
        <v>1</v>
      </c>
      <c r="I1917" s="164" t="s">
        <v>187</v>
      </c>
      <c r="J1917" s="164" t="s">
        <v>271</v>
      </c>
      <c r="K1917" s="164" t="s">
        <v>272</v>
      </c>
      <c r="L1917" s="165">
        <v>4</v>
      </c>
      <c r="M1917" s="165">
        <v>6</v>
      </c>
      <c r="N1917" s="164" t="s">
        <v>189</v>
      </c>
      <c r="O1917" s="165">
        <v>0</v>
      </c>
      <c r="P1917" s="165">
        <v>0</v>
      </c>
      <c r="Q1917" s="165">
        <v>10</v>
      </c>
      <c r="R1917" s="164" t="s">
        <v>273</v>
      </c>
      <c r="S1917" s="164" t="s">
        <v>274</v>
      </c>
      <c r="T1917" s="165">
        <v>111</v>
      </c>
      <c r="U1917" s="164" t="s">
        <v>275</v>
      </c>
      <c r="V1917" s="164" t="s">
        <v>276</v>
      </c>
      <c r="W1917" s="165">
        <v>31</v>
      </c>
      <c r="X1917" s="165">
        <v>4</v>
      </c>
      <c r="Y1917" s="164" t="s">
        <v>203</v>
      </c>
      <c r="Z1917" s="164" t="s">
        <v>195</v>
      </c>
      <c r="AA1917" s="164" t="s">
        <v>196</v>
      </c>
      <c r="AB1917" s="164" t="s">
        <v>187</v>
      </c>
      <c r="AC1917" s="164" t="s">
        <v>209</v>
      </c>
      <c r="AD1917" s="165">
        <v>1</v>
      </c>
      <c r="AE1917" s="164" t="s">
        <v>187</v>
      </c>
      <c r="AF1917" s="165">
        <v>29.390496309756902</v>
      </c>
      <c r="AG1917" s="166">
        <v>71.661009608306799</v>
      </c>
      <c r="AO1917" s="121"/>
      <c r="AT1917" s="111"/>
      <c r="AX1917" s="121"/>
    </row>
    <row r="1918" spans="1:50" s="110" customFormat="1" ht="20" customHeight="1">
      <c r="A1918" s="125" t="s">
        <v>239</v>
      </c>
      <c r="B1918" s="126" t="s">
        <v>67</v>
      </c>
      <c r="C1918" s="127">
        <v>10375</v>
      </c>
      <c r="D1918" s="163">
        <v>100425</v>
      </c>
      <c r="E1918" s="164" t="s">
        <v>270</v>
      </c>
      <c r="F1918" s="164" t="s">
        <v>270</v>
      </c>
      <c r="G1918" s="165">
        <v>33000</v>
      </c>
      <c r="H1918" s="165">
        <v>1</v>
      </c>
      <c r="I1918" s="164" t="s">
        <v>187</v>
      </c>
      <c r="J1918" s="164" t="s">
        <v>271</v>
      </c>
      <c r="K1918" s="164" t="s">
        <v>272</v>
      </c>
      <c r="L1918" s="165">
        <v>4</v>
      </c>
      <c r="M1918" s="165">
        <v>6</v>
      </c>
      <c r="N1918" s="164" t="s">
        <v>189</v>
      </c>
      <c r="O1918" s="165">
        <v>2</v>
      </c>
      <c r="P1918" s="165">
        <v>0.2</v>
      </c>
      <c r="Q1918" s="165">
        <v>10</v>
      </c>
      <c r="R1918" s="164" t="s">
        <v>273</v>
      </c>
      <c r="S1918" s="164" t="s">
        <v>274</v>
      </c>
      <c r="T1918" s="165">
        <v>111</v>
      </c>
      <c r="U1918" s="164" t="s">
        <v>275</v>
      </c>
      <c r="V1918" s="164" t="s">
        <v>276</v>
      </c>
      <c r="W1918" s="165">
        <v>31</v>
      </c>
      <c r="X1918" s="165">
        <v>2</v>
      </c>
      <c r="Y1918" s="164" t="s">
        <v>194</v>
      </c>
      <c r="Z1918" s="164" t="s">
        <v>195</v>
      </c>
      <c r="AA1918" s="164" t="s">
        <v>196</v>
      </c>
      <c r="AB1918" s="164" t="s">
        <v>209</v>
      </c>
      <c r="AC1918" s="164" t="s">
        <v>209</v>
      </c>
      <c r="AD1918" s="165">
        <v>1</v>
      </c>
      <c r="AE1918" s="164" t="s">
        <v>209</v>
      </c>
      <c r="AF1918" s="165">
        <v>14.58104</v>
      </c>
      <c r="AG1918" s="166">
        <v>120.988322</v>
      </c>
      <c r="AO1918" s="121"/>
      <c r="AT1918" s="111"/>
      <c r="AX1918" s="121"/>
    </row>
    <row r="1919" spans="1:50" s="110" customFormat="1" ht="20" customHeight="1">
      <c r="A1919" s="125" t="s">
        <v>224</v>
      </c>
      <c r="B1919" s="126" t="s">
        <v>68</v>
      </c>
      <c r="C1919" s="127">
        <v>10375</v>
      </c>
      <c r="D1919" s="163">
        <v>100425</v>
      </c>
      <c r="E1919" s="164" t="s">
        <v>270</v>
      </c>
      <c r="F1919" s="164" t="s">
        <v>270</v>
      </c>
      <c r="G1919" s="165">
        <v>5100</v>
      </c>
      <c r="H1919" s="165">
        <v>1</v>
      </c>
      <c r="I1919" s="164" t="s">
        <v>187</v>
      </c>
      <c r="J1919" s="164" t="s">
        <v>271</v>
      </c>
      <c r="K1919" s="164" t="s">
        <v>272</v>
      </c>
      <c r="L1919" s="165">
        <v>4</v>
      </c>
      <c r="M1919" s="165">
        <v>6</v>
      </c>
      <c r="N1919" s="164" t="s">
        <v>189</v>
      </c>
      <c r="O1919" s="165">
        <v>0</v>
      </c>
      <c r="P1919" s="165">
        <v>0</v>
      </c>
      <c r="Q1919" s="165">
        <v>10</v>
      </c>
      <c r="R1919" s="164" t="s">
        <v>273</v>
      </c>
      <c r="S1919" s="164" t="s">
        <v>274</v>
      </c>
      <c r="T1919" s="165">
        <v>111</v>
      </c>
      <c r="U1919" s="164" t="s">
        <v>275</v>
      </c>
      <c r="V1919" s="164" t="s">
        <v>276</v>
      </c>
      <c r="W1919" s="165">
        <v>31</v>
      </c>
      <c r="X1919" s="165">
        <v>4</v>
      </c>
      <c r="Y1919" s="164" t="s">
        <v>203</v>
      </c>
      <c r="Z1919" s="164" t="s">
        <v>195</v>
      </c>
      <c r="AA1919" s="164" t="s">
        <v>196</v>
      </c>
      <c r="AB1919" s="164" t="s">
        <v>187</v>
      </c>
      <c r="AC1919" s="164" t="s">
        <v>209</v>
      </c>
      <c r="AD1919" s="165">
        <v>1</v>
      </c>
      <c r="AE1919" s="164" t="s">
        <v>187</v>
      </c>
      <c r="AF1919" s="165">
        <v>7.2251599999999998</v>
      </c>
      <c r="AG1919" s="166">
        <v>81.555269999999993</v>
      </c>
      <c r="AO1919" s="121"/>
      <c r="AT1919" s="111"/>
      <c r="AX1919" s="121"/>
    </row>
    <row r="1920" spans="1:50" s="110" customFormat="1" ht="20" customHeight="1">
      <c r="A1920" s="125" t="s">
        <v>231</v>
      </c>
      <c r="B1920" s="126" t="s">
        <v>66</v>
      </c>
      <c r="C1920" s="127">
        <v>10528</v>
      </c>
      <c r="D1920" s="163">
        <v>100675</v>
      </c>
      <c r="E1920" s="164" t="s">
        <v>303</v>
      </c>
      <c r="F1920" s="164" t="s">
        <v>304</v>
      </c>
      <c r="G1920" s="165">
        <v>1000</v>
      </c>
      <c r="H1920" s="165">
        <v>1</v>
      </c>
      <c r="I1920" s="164" t="s">
        <v>187</v>
      </c>
      <c r="J1920" s="164" t="s">
        <v>305</v>
      </c>
      <c r="K1920" s="164" t="s">
        <v>306</v>
      </c>
      <c r="L1920" s="165">
        <v>5</v>
      </c>
      <c r="M1920" s="165">
        <v>6</v>
      </c>
      <c r="N1920" s="164" t="s">
        <v>189</v>
      </c>
      <c r="O1920" s="165">
        <v>0</v>
      </c>
      <c r="P1920" s="165">
        <v>0</v>
      </c>
      <c r="Q1920" s="165">
        <v>24</v>
      </c>
      <c r="R1920" s="164" t="s">
        <v>307</v>
      </c>
      <c r="S1920" s="164" t="s">
        <v>308</v>
      </c>
      <c r="T1920" s="165">
        <v>126</v>
      </c>
      <c r="U1920" s="164" t="s">
        <v>309</v>
      </c>
      <c r="V1920" s="164" t="s">
        <v>303</v>
      </c>
      <c r="W1920" s="165">
        <v>21</v>
      </c>
      <c r="X1920" s="165">
        <v>4</v>
      </c>
      <c r="Y1920" s="164" t="s">
        <v>203</v>
      </c>
      <c r="Z1920" s="164" t="s">
        <v>195</v>
      </c>
      <c r="AA1920" s="164" t="s">
        <v>196</v>
      </c>
      <c r="AB1920" s="164" t="s">
        <v>187</v>
      </c>
      <c r="AC1920" s="164" t="s">
        <v>209</v>
      </c>
      <c r="AD1920" s="165">
        <v>1</v>
      </c>
      <c r="AE1920" s="164" t="s">
        <v>187</v>
      </c>
      <c r="AF1920" s="165">
        <v>30.169090000000001</v>
      </c>
      <c r="AG1920" s="166">
        <v>66.741</v>
      </c>
      <c r="AO1920" s="121"/>
      <c r="AT1920" s="111"/>
      <c r="AX1920" s="121"/>
    </row>
    <row r="1921" spans="1:50" s="110" customFormat="1" ht="20" customHeight="1">
      <c r="A1921" s="125" t="s">
        <v>185</v>
      </c>
      <c r="B1921" s="126" t="s">
        <v>59</v>
      </c>
      <c r="C1921" s="127">
        <v>14776</v>
      </c>
      <c r="D1921" s="163">
        <v>108736</v>
      </c>
      <c r="E1921" s="164" t="s">
        <v>1347</v>
      </c>
      <c r="F1921" s="164" t="s">
        <v>1347</v>
      </c>
      <c r="G1921" s="165">
        <v>3312000</v>
      </c>
      <c r="H1921" s="165">
        <v>1</v>
      </c>
      <c r="I1921" s="164" t="s">
        <v>187</v>
      </c>
      <c r="J1921" s="164" t="s">
        <v>1348</v>
      </c>
      <c r="K1921" s="164" t="s">
        <v>1347</v>
      </c>
      <c r="L1921" s="165">
        <v>4</v>
      </c>
      <c r="M1921" s="165">
        <v>6</v>
      </c>
      <c r="N1921" s="164" t="s">
        <v>189</v>
      </c>
      <c r="O1921" s="165">
        <v>1.2999999999999999E-2</v>
      </c>
      <c r="P1921" s="165">
        <v>1.2999999999999999E-2</v>
      </c>
      <c r="Q1921" s="165">
        <v>17</v>
      </c>
      <c r="R1921" s="164" t="s">
        <v>190</v>
      </c>
      <c r="S1921" s="164" t="s">
        <v>191</v>
      </c>
      <c r="T1921" s="165">
        <v>128</v>
      </c>
      <c r="U1921" s="164" t="s">
        <v>1017</v>
      </c>
      <c r="V1921" s="164" t="s">
        <v>1018</v>
      </c>
      <c r="W1921" s="165">
        <v>1</v>
      </c>
      <c r="X1921" s="165">
        <v>2</v>
      </c>
      <c r="Y1921" s="164" t="s">
        <v>194</v>
      </c>
      <c r="Z1921" s="164" t="s">
        <v>195</v>
      </c>
      <c r="AA1921" s="164" t="s">
        <v>196</v>
      </c>
      <c r="AB1921" s="164" t="s">
        <v>187</v>
      </c>
      <c r="AC1921" s="164" t="s">
        <v>187</v>
      </c>
      <c r="AD1921" s="165">
        <v>66</v>
      </c>
      <c r="AE1921" s="164" t="s">
        <v>187</v>
      </c>
      <c r="AF1921" s="165">
        <v>-8.5822299999999991</v>
      </c>
      <c r="AG1921" s="166">
        <v>116.3492</v>
      </c>
      <c r="AO1921" s="121"/>
      <c r="AT1921" s="111"/>
      <c r="AX1921" s="121"/>
    </row>
    <row r="1922" spans="1:50" s="110" customFormat="1" ht="20" customHeight="1">
      <c r="A1922" s="125" t="s">
        <v>185</v>
      </c>
      <c r="B1922" s="126" t="s">
        <v>59</v>
      </c>
      <c r="C1922" s="127">
        <v>20293</v>
      </c>
      <c r="D1922" s="163">
        <v>116021</v>
      </c>
      <c r="E1922" s="164" t="s">
        <v>1117</v>
      </c>
      <c r="F1922" s="164" t="s">
        <v>1117</v>
      </c>
      <c r="G1922" s="165">
        <v>815000</v>
      </c>
      <c r="H1922" s="165">
        <v>1</v>
      </c>
      <c r="I1922" s="164" t="s">
        <v>187</v>
      </c>
      <c r="J1922" s="164" t="s">
        <v>1118</v>
      </c>
      <c r="K1922" s="164" t="s">
        <v>1119</v>
      </c>
      <c r="L1922" s="165">
        <v>4</v>
      </c>
      <c r="M1922" s="165">
        <v>6</v>
      </c>
      <c r="N1922" s="164" t="s">
        <v>189</v>
      </c>
      <c r="O1922" s="165">
        <v>2.1999999999999999E-2</v>
      </c>
      <c r="P1922" s="165">
        <v>2.1999999999999999E-2</v>
      </c>
      <c r="Q1922" s="165">
        <v>17</v>
      </c>
      <c r="R1922" s="164" t="s">
        <v>190</v>
      </c>
      <c r="S1922" s="164" t="s">
        <v>191</v>
      </c>
      <c r="T1922" s="165">
        <v>128</v>
      </c>
      <c r="U1922" s="164" t="s">
        <v>1017</v>
      </c>
      <c r="V1922" s="164" t="s">
        <v>1018</v>
      </c>
      <c r="W1922" s="165">
        <v>1</v>
      </c>
      <c r="X1922" s="165">
        <v>2</v>
      </c>
      <c r="Y1922" s="164" t="s">
        <v>194</v>
      </c>
      <c r="Z1922" s="164" t="s">
        <v>195</v>
      </c>
      <c r="AA1922" s="164" t="s">
        <v>196</v>
      </c>
      <c r="AB1922" s="164" t="s">
        <v>187</v>
      </c>
      <c r="AC1922" s="164" t="s">
        <v>187</v>
      </c>
      <c r="AD1922" s="165">
        <v>16</v>
      </c>
      <c r="AE1922" s="164" t="s">
        <v>187</v>
      </c>
      <c r="AF1922" s="165">
        <v>-8.4882899999999992</v>
      </c>
      <c r="AG1922" s="166">
        <v>118.52193</v>
      </c>
      <c r="AO1922" s="121"/>
      <c r="AT1922" s="111"/>
      <c r="AX1922" s="121"/>
    </row>
    <row r="1923" spans="1:50" s="110" customFormat="1" ht="20" customHeight="1">
      <c r="A1923" s="125" t="s">
        <v>185</v>
      </c>
      <c r="B1923" s="126" t="s">
        <v>59</v>
      </c>
      <c r="C1923" s="127">
        <v>15119</v>
      </c>
      <c r="D1923" s="163">
        <v>109602</v>
      </c>
      <c r="E1923" s="164" t="s">
        <v>1395</v>
      </c>
      <c r="F1923" s="164" t="s">
        <v>1395</v>
      </c>
      <c r="G1923" s="165">
        <v>452000</v>
      </c>
      <c r="H1923" s="165">
        <v>1</v>
      </c>
      <c r="I1923" s="164" t="s">
        <v>187</v>
      </c>
      <c r="J1923" s="164" t="s">
        <v>1396</v>
      </c>
      <c r="K1923" s="164" t="s">
        <v>1395</v>
      </c>
      <c r="L1923" s="165">
        <v>0</v>
      </c>
      <c r="M1923" s="165">
        <v>6</v>
      </c>
      <c r="N1923" s="164" t="s">
        <v>189</v>
      </c>
      <c r="O1923" s="165">
        <v>0.03</v>
      </c>
      <c r="P1923" s="165">
        <v>0.03</v>
      </c>
      <c r="Q1923" s="165">
        <v>17</v>
      </c>
      <c r="R1923" s="164" t="s">
        <v>190</v>
      </c>
      <c r="S1923" s="164" t="s">
        <v>191</v>
      </c>
      <c r="T1923" s="165">
        <v>128</v>
      </c>
      <c r="U1923" s="164" t="s">
        <v>1017</v>
      </c>
      <c r="V1923" s="164" t="s">
        <v>1018</v>
      </c>
      <c r="W1923" s="165">
        <v>1</v>
      </c>
      <c r="X1923" s="165">
        <v>2</v>
      </c>
      <c r="Y1923" s="164" t="s">
        <v>194</v>
      </c>
      <c r="Z1923" s="164" t="s">
        <v>195</v>
      </c>
      <c r="AA1923" s="164" t="s">
        <v>196</v>
      </c>
      <c r="AB1923" s="164" t="s">
        <v>187</v>
      </c>
      <c r="AC1923" s="164" t="s">
        <v>187</v>
      </c>
      <c r="AD1923" s="165">
        <v>9</v>
      </c>
      <c r="AE1923" s="164" t="s">
        <v>187</v>
      </c>
      <c r="AF1923" s="165">
        <v>-8.7317099999999996</v>
      </c>
      <c r="AG1923" s="166">
        <v>117.35466</v>
      </c>
      <c r="AO1923" s="121"/>
      <c r="AT1923" s="111"/>
      <c r="AX1923" s="121"/>
    </row>
    <row r="1924" spans="1:50" s="110" customFormat="1" ht="20" customHeight="1">
      <c r="A1924" s="125" t="s">
        <v>185</v>
      </c>
      <c r="B1924" s="126" t="s">
        <v>59</v>
      </c>
      <c r="C1924" s="127">
        <v>19397</v>
      </c>
      <c r="D1924" s="163">
        <v>115421</v>
      </c>
      <c r="E1924" s="164" t="s">
        <v>1014</v>
      </c>
      <c r="F1924" s="164" t="s">
        <v>1014</v>
      </c>
      <c r="G1924" s="165">
        <v>28000</v>
      </c>
      <c r="H1924" s="165">
        <v>1</v>
      </c>
      <c r="I1924" s="164" t="s">
        <v>187</v>
      </c>
      <c r="J1924" s="164" t="s">
        <v>1015</v>
      </c>
      <c r="K1924" s="164" t="s">
        <v>1016</v>
      </c>
      <c r="L1924" s="165">
        <v>1</v>
      </c>
      <c r="M1924" s="165">
        <v>6</v>
      </c>
      <c r="N1924" s="164" t="s">
        <v>189</v>
      </c>
      <c r="O1924" s="165">
        <v>0.16300000000000001</v>
      </c>
      <c r="P1924" s="165">
        <v>0.16300000000000001</v>
      </c>
      <c r="Q1924" s="165">
        <v>17</v>
      </c>
      <c r="R1924" s="164" t="s">
        <v>190</v>
      </c>
      <c r="S1924" s="164" t="s">
        <v>191</v>
      </c>
      <c r="T1924" s="165">
        <v>128</v>
      </c>
      <c r="U1924" s="164" t="s">
        <v>1017</v>
      </c>
      <c r="V1924" s="164" t="s">
        <v>1018</v>
      </c>
      <c r="W1924" s="165">
        <v>1</v>
      </c>
      <c r="X1924" s="165">
        <v>2</v>
      </c>
      <c r="Y1924" s="164" t="s">
        <v>194</v>
      </c>
      <c r="Z1924" s="164" t="s">
        <v>195</v>
      </c>
      <c r="AA1924" s="164" t="s">
        <v>196</v>
      </c>
      <c r="AB1924" s="164" t="s">
        <v>187</v>
      </c>
      <c r="AC1924" s="164" t="s">
        <v>187</v>
      </c>
      <c r="AD1924" s="165">
        <v>1</v>
      </c>
      <c r="AE1924" s="164" t="s">
        <v>209</v>
      </c>
      <c r="AF1924" s="165">
        <v>-8.3691200000000006</v>
      </c>
      <c r="AG1924" s="166">
        <v>115.13424000000001</v>
      </c>
      <c r="AO1924" s="121"/>
      <c r="AT1924" s="111"/>
      <c r="AX1924" s="121"/>
    </row>
    <row r="1925" spans="1:50" s="110" customFormat="1" ht="20" customHeight="1">
      <c r="A1925" s="125" t="s">
        <v>231</v>
      </c>
      <c r="B1925" s="126" t="s">
        <v>66</v>
      </c>
      <c r="C1925" s="127">
        <v>11684</v>
      </c>
      <c r="D1925" s="163">
        <v>102830</v>
      </c>
      <c r="E1925" s="164" t="s">
        <v>345</v>
      </c>
      <c r="F1925" s="164" t="s">
        <v>345</v>
      </c>
      <c r="G1925" s="165">
        <v>8565000</v>
      </c>
      <c r="H1925" s="165">
        <v>1</v>
      </c>
      <c r="I1925" s="164" t="s">
        <v>187</v>
      </c>
      <c r="J1925" s="164" t="s">
        <v>346</v>
      </c>
      <c r="K1925" s="164" t="s">
        <v>347</v>
      </c>
      <c r="L1925" s="165">
        <v>4</v>
      </c>
      <c r="M1925" s="165">
        <v>6</v>
      </c>
      <c r="N1925" s="164" t="s">
        <v>189</v>
      </c>
      <c r="O1925" s="165">
        <v>0</v>
      </c>
      <c r="P1925" s="165">
        <v>0</v>
      </c>
      <c r="Q1925" s="165">
        <v>21</v>
      </c>
      <c r="R1925" s="164" t="s">
        <v>200</v>
      </c>
      <c r="S1925" s="164" t="s">
        <v>201</v>
      </c>
      <c r="T1925" s="165">
        <v>455</v>
      </c>
      <c r="U1925" s="164" t="s">
        <v>200</v>
      </c>
      <c r="V1925" s="164" t="s">
        <v>345</v>
      </c>
      <c r="W1925" s="165">
        <v>3</v>
      </c>
      <c r="X1925" s="165">
        <v>4</v>
      </c>
      <c r="Y1925" s="164" t="s">
        <v>203</v>
      </c>
      <c r="Z1925" s="164" t="s">
        <v>195</v>
      </c>
      <c r="AA1925" s="164" t="s">
        <v>196</v>
      </c>
      <c r="AB1925" s="164" t="s">
        <v>187</v>
      </c>
      <c r="AC1925" s="164" t="s">
        <v>187</v>
      </c>
      <c r="AD1925" s="165">
        <v>171</v>
      </c>
      <c r="AE1925" s="164" t="s">
        <v>187</v>
      </c>
      <c r="AF1925" s="165">
        <v>28.802730000089401</v>
      </c>
      <c r="AG1925" s="166">
        <v>68.803769999585796</v>
      </c>
      <c r="AO1925" s="121"/>
      <c r="AT1925" s="111"/>
      <c r="AX1925" s="121"/>
    </row>
    <row r="1926" spans="1:50" s="110" customFormat="1" ht="20" customHeight="1">
      <c r="A1926" s="125" t="s">
        <v>231</v>
      </c>
      <c r="B1926" s="126" t="s">
        <v>66</v>
      </c>
      <c r="C1926" s="127">
        <v>20260</v>
      </c>
      <c r="D1926" s="163">
        <v>115997</v>
      </c>
      <c r="E1926" s="164" t="s">
        <v>385</v>
      </c>
      <c r="F1926" s="164" t="s">
        <v>385</v>
      </c>
      <c r="G1926" s="165">
        <v>978000</v>
      </c>
      <c r="H1926" s="165">
        <v>1</v>
      </c>
      <c r="I1926" s="164" t="s">
        <v>187</v>
      </c>
      <c r="J1926" s="164" t="s">
        <v>346</v>
      </c>
      <c r="K1926" s="164" t="s">
        <v>347</v>
      </c>
      <c r="L1926" s="165">
        <v>4</v>
      </c>
      <c r="M1926" s="165">
        <v>6</v>
      </c>
      <c r="N1926" s="164" t="s">
        <v>189</v>
      </c>
      <c r="O1926" s="165">
        <v>0</v>
      </c>
      <c r="P1926" s="165">
        <v>0</v>
      </c>
      <c r="Q1926" s="165">
        <v>21</v>
      </c>
      <c r="R1926" s="164" t="s">
        <v>200</v>
      </c>
      <c r="S1926" s="164" t="s">
        <v>201</v>
      </c>
      <c r="T1926" s="165">
        <v>455</v>
      </c>
      <c r="U1926" s="164" t="s">
        <v>200</v>
      </c>
      <c r="V1926" s="164" t="s">
        <v>345</v>
      </c>
      <c r="W1926" s="165">
        <v>1</v>
      </c>
      <c r="X1926" s="165">
        <v>4</v>
      </c>
      <c r="Y1926" s="164" t="s">
        <v>203</v>
      </c>
      <c r="Z1926" s="164" t="s">
        <v>195</v>
      </c>
      <c r="AA1926" s="164" t="s">
        <v>196</v>
      </c>
      <c r="AB1926" s="164" t="s">
        <v>187</v>
      </c>
      <c r="AC1926" s="164" t="s">
        <v>187</v>
      </c>
      <c r="AD1926" s="165">
        <v>20</v>
      </c>
      <c r="AE1926" s="164" t="s">
        <v>187</v>
      </c>
      <c r="AF1926" s="165">
        <v>26.026654076208601</v>
      </c>
      <c r="AG1926" s="166">
        <v>63.112175037163603</v>
      </c>
      <c r="AO1926" s="121"/>
      <c r="AT1926" s="111"/>
      <c r="AX1926" s="121"/>
    </row>
    <row r="1927" spans="1:50" s="110" customFormat="1" ht="20" customHeight="1">
      <c r="A1927" s="125" t="s">
        <v>231</v>
      </c>
      <c r="B1927" s="126" t="s">
        <v>66</v>
      </c>
      <c r="C1927" s="127">
        <v>20259</v>
      </c>
      <c r="D1927" s="163">
        <v>115996</v>
      </c>
      <c r="E1927" s="164" t="s">
        <v>384</v>
      </c>
      <c r="F1927" s="164" t="s">
        <v>384</v>
      </c>
      <c r="G1927" s="165">
        <v>473000</v>
      </c>
      <c r="H1927" s="165">
        <v>1</v>
      </c>
      <c r="I1927" s="164" t="s">
        <v>187</v>
      </c>
      <c r="J1927" s="164" t="s">
        <v>346</v>
      </c>
      <c r="K1927" s="164" t="s">
        <v>347</v>
      </c>
      <c r="L1927" s="165">
        <v>4</v>
      </c>
      <c r="M1927" s="165">
        <v>6</v>
      </c>
      <c r="N1927" s="164" t="s">
        <v>189</v>
      </c>
      <c r="O1927" s="165">
        <v>0</v>
      </c>
      <c r="P1927" s="165">
        <v>0</v>
      </c>
      <c r="Q1927" s="165">
        <v>21</v>
      </c>
      <c r="R1927" s="164" t="s">
        <v>200</v>
      </c>
      <c r="S1927" s="164" t="s">
        <v>201</v>
      </c>
      <c r="T1927" s="165">
        <v>455</v>
      </c>
      <c r="U1927" s="164" t="s">
        <v>200</v>
      </c>
      <c r="V1927" s="164" t="s">
        <v>345</v>
      </c>
      <c r="W1927" s="165">
        <v>1</v>
      </c>
      <c r="X1927" s="165">
        <v>4</v>
      </c>
      <c r="Y1927" s="164" t="s">
        <v>203</v>
      </c>
      <c r="Z1927" s="164" t="s">
        <v>195</v>
      </c>
      <c r="AA1927" s="164" t="s">
        <v>196</v>
      </c>
      <c r="AB1927" s="164" t="s">
        <v>187</v>
      </c>
      <c r="AC1927" s="164" t="s">
        <v>187</v>
      </c>
      <c r="AD1927" s="165">
        <v>9</v>
      </c>
      <c r="AE1927" s="164" t="s">
        <v>187</v>
      </c>
      <c r="AF1927" s="165">
        <v>27.980869999999999</v>
      </c>
      <c r="AG1927" s="166">
        <v>64.635760000000005</v>
      </c>
      <c r="AO1927" s="121"/>
      <c r="AT1927" s="111"/>
      <c r="AX1927" s="121"/>
    </row>
    <row r="1928" spans="1:50" s="110" customFormat="1" ht="20" customHeight="1">
      <c r="A1928" s="125" t="s">
        <v>231</v>
      </c>
      <c r="B1928" s="126" t="s">
        <v>66</v>
      </c>
      <c r="C1928" s="127">
        <v>20244</v>
      </c>
      <c r="D1928" s="163">
        <v>115987</v>
      </c>
      <c r="E1928" s="164" t="s">
        <v>351</v>
      </c>
      <c r="F1928" s="164" t="s">
        <v>351</v>
      </c>
      <c r="G1928" s="165">
        <v>155000</v>
      </c>
      <c r="H1928" s="165">
        <v>1</v>
      </c>
      <c r="I1928" s="164" t="s">
        <v>187</v>
      </c>
      <c r="J1928" s="164" t="s">
        <v>349</v>
      </c>
      <c r="K1928" s="164" t="s">
        <v>350</v>
      </c>
      <c r="L1928" s="165">
        <v>3</v>
      </c>
      <c r="M1928" s="165">
        <v>6</v>
      </c>
      <c r="N1928" s="164" t="s">
        <v>189</v>
      </c>
      <c r="O1928" s="165">
        <v>0</v>
      </c>
      <c r="P1928" s="165">
        <v>0</v>
      </c>
      <c r="Q1928" s="165">
        <v>21</v>
      </c>
      <c r="R1928" s="164" t="s">
        <v>200</v>
      </c>
      <c r="S1928" s="164" t="s">
        <v>201</v>
      </c>
      <c r="T1928" s="165">
        <v>455</v>
      </c>
      <c r="U1928" s="164" t="s">
        <v>200</v>
      </c>
      <c r="V1928" s="164" t="s">
        <v>345</v>
      </c>
      <c r="W1928" s="165">
        <v>1</v>
      </c>
      <c r="X1928" s="165">
        <v>4</v>
      </c>
      <c r="Y1928" s="164" t="s">
        <v>203</v>
      </c>
      <c r="Z1928" s="164" t="s">
        <v>195</v>
      </c>
      <c r="AA1928" s="164" t="s">
        <v>196</v>
      </c>
      <c r="AB1928" s="164" t="s">
        <v>187</v>
      </c>
      <c r="AC1928" s="164" t="s">
        <v>187</v>
      </c>
      <c r="AD1928" s="165">
        <v>3</v>
      </c>
      <c r="AE1928" s="164" t="s">
        <v>187</v>
      </c>
      <c r="AF1928" s="165">
        <v>28.91769</v>
      </c>
      <c r="AG1928" s="166">
        <v>69.06317</v>
      </c>
      <c r="AO1928" s="121"/>
      <c r="AT1928" s="111"/>
      <c r="AX1928" s="121"/>
    </row>
    <row r="1929" spans="1:50" s="110" customFormat="1" ht="20" customHeight="1">
      <c r="A1929" s="125" t="s">
        <v>231</v>
      </c>
      <c r="B1929" s="126" t="s">
        <v>66</v>
      </c>
      <c r="C1929" s="127">
        <v>20253</v>
      </c>
      <c r="D1929" s="163">
        <v>100896</v>
      </c>
      <c r="E1929" s="164" t="s">
        <v>372</v>
      </c>
      <c r="F1929" s="164" t="s">
        <v>372</v>
      </c>
      <c r="G1929" s="165">
        <v>152000</v>
      </c>
      <c r="H1929" s="165">
        <v>1</v>
      </c>
      <c r="I1929" s="164" t="s">
        <v>187</v>
      </c>
      <c r="J1929" s="164" t="s">
        <v>354</v>
      </c>
      <c r="K1929" s="164" t="s">
        <v>355</v>
      </c>
      <c r="L1929" s="165">
        <v>4</v>
      </c>
      <c r="M1929" s="165">
        <v>6</v>
      </c>
      <c r="N1929" s="164" t="s">
        <v>189</v>
      </c>
      <c r="O1929" s="165">
        <v>0</v>
      </c>
      <c r="P1929" s="165">
        <v>0</v>
      </c>
      <c r="Q1929" s="165">
        <v>21</v>
      </c>
      <c r="R1929" s="164" t="s">
        <v>200</v>
      </c>
      <c r="S1929" s="164" t="s">
        <v>201</v>
      </c>
      <c r="T1929" s="165">
        <v>455</v>
      </c>
      <c r="U1929" s="164" t="s">
        <v>200</v>
      </c>
      <c r="V1929" s="164" t="s">
        <v>345</v>
      </c>
      <c r="W1929" s="165">
        <v>1</v>
      </c>
      <c r="X1929" s="165">
        <v>4</v>
      </c>
      <c r="Y1929" s="164" t="s">
        <v>203</v>
      </c>
      <c r="Z1929" s="164" t="s">
        <v>195</v>
      </c>
      <c r="AA1929" s="164" t="s">
        <v>196</v>
      </c>
      <c r="AB1929" s="164" t="s">
        <v>187</v>
      </c>
      <c r="AC1929" s="164" t="s">
        <v>187</v>
      </c>
      <c r="AD1929" s="165">
        <v>3</v>
      </c>
      <c r="AE1929" s="164" t="s">
        <v>187</v>
      </c>
      <c r="AF1929" s="165">
        <v>30.4723646115403</v>
      </c>
      <c r="AG1929" s="166">
        <v>70.429128302597107</v>
      </c>
      <c r="AO1929" s="121"/>
      <c r="AT1929" s="111"/>
      <c r="AX1929" s="121"/>
    </row>
    <row r="1930" spans="1:50" s="110" customFormat="1" ht="20" customHeight="1">
      <c r="A1930" s="125" t="s">
        <v>231</v>
      </c>
      <c r="B1930" s="126" t="s">
        <v>66</v>
      </c>
      <c r="C1930" s="127">
        <v>20261</v>
      </c>
      <c r="D1930" s="163">
        <v>115998</v>
      </c>
      <c r="E1930" s="164" t="s">
        <v>388</v>
      </c>
      <c r="F1930" s="164" t="s">
        <v>388</v>
      </c>
      <c r="G1930" s="165">
        <v>135000</v>
      </c>
      <c r="H1930" s="165">
        <v>1</v>
      </c>
      <c r="I1930" s="164" t="s">
        <v>187</v>
      </c>
      <c r="J1930" s="164" t="s">
        <v>349</v>
      </c>
      <c r="K1930" s="164" t="s">
        <v>350</v>
      </c>
      <c r="L1930" s="165">
        <v>3</v>
      </c>
      <c r="M1930" s="165">
        <v>6</v>
      </c>
      <c r="N1930" s="164" t="s">
        <v>189</v>
      </c>
      <c r="O1930" s="165">
        <v>0</v>
      </c>
      <c r="P1930" s="165">
        <v>0</v>
      </c>
      <c r="Q1930" s="165">
        <v>21</v>
      </c>
      <c r="R1930" s="164" t="s">
        <v>200</v>
      </c>
      <c r="S1930" s="164" t="s">
        <v>201</v>
      </c>
      <c r="T1930" s="165">
        <v>455</v>
      </c>
      <c r="U1930" s="164" t="s">
        <v>200</v>
      </c>
      <c r="V1930" s="164" t="s">
        <v>345</v>
      </c>
      <c r="W1930" s="165">
        <v>1</v>
      </c>
      <c r="X1930" s="165">
        <v>4</v>
      </c>
      <c r="Y1930" s="164" t="s">
        <v>203</v>
      </c>
      <c r="Z1930" s="164" t="s">
        <v>195</v>
      </c>
      <c r="AA1930" s="164" t="s">
        <v>196</v>
      </c>
      <c r="AB1930" s="164" t="s">
        <v>187</v>
      </c>
      <c r="AC1930" s="164" t="s">
        <v>187</v>
      </c>
      <c r="AD1930" s="165">
        <v>3</v>
      </c>
      <c r="AE1930" s="164" t="s">
        <v>187</v>
      </c>
      <c r="AF1930" s="165">
        <v>30.475214892776201</v>
      </c>
      <c r="AG1930" s="166">
        <v>70.424722653153395</v>
      </c>
      <c r="AO1930" s="121"/>
      <c r="AT1930" s="111"/>
      <c r="AX1930" s="121"/>
    </row>
    <row r="1931" spans="1:50" s="110" customFormat="1" ht="20" customHeight="1">
      <c r="A1931" s="125" t="s">
        <v>231</v>
      </c>
      <c r="B1931" s="126" t="s">
        <v>66</v>
      </c>
      <c r="C1931" s="127">
        <v>20207</v>
      </c>
      <c r="D1931" s="163">
        <v>100885</v>
      </c>
      <c r="E1931" s="164" t="s">
        <v>365</v>
      </c>
      <c r="F1931" s="164" t="s">
        <v>365</v>
      </c>
      <c r="G1931" s="165">
        <v>132000</v>
      </c>
      <c r="H1931" s="165">
        <v>1</v>
      </c>
      <c r="I1931" s="164" t="s">
        <v>187</v>
      </c>
      <c r="J1931" s="164" t="s">
        <v>354</v>
      </c>
      <c r="K1931" s="164" t="s">
        <v>355</v>
      </c>
      <c r="L1931" s="165">
        <v>4</v>
      </c>
      <c r="M1931" s="165">
        <v>6</v>
      </c>
      <c r="N1931" s="164" t="s">
        <v>189</v>
      </c>
      <c r="O1931" s="165">
        <v>0</v>
      </c>
      <c r="P1931" s="165">
        <v>0</v>
      </c>
      <c r="Q1931" s="165">
        <v>21</v>
      </c>
      <c r="R1931" s="164" t="s">
        <v>200</v>
      </c>
      <c r="S1931" s="164" t="s">
        <v>201</v>
      </c>
      <c r="T1931" s="165">
        <v>455</v>
      </c>
      <c r="U1931" s="164" t="s">
        <v>200</v>
      </c>
      <c r="V1931" s="164" t="s">
        <v>345</v>
      </c>
      <c r="W1931" s="165">
        <v>1</v>
      </c>
      <c r="X1931" s="165">
        <v>4</v>
      </c>
      <c r="Y1931" s="164" t="s">
        <v>203</v>
      </c>
      <c r="Z1931" s="164" t="s">
        <v>195</v>
      </c>
      <c r="AA1931" s="164" t="s">
        <v>196</v>
      </c>
      <c r="AB1931" s="164" t="s">
        <v>187</v>
      </c>
      <c r="AC1931" s="164" t="s">
        <v>187</v>
      </c>
      <c r="AD1931" s="165">
        <v>3</v>
      </c>
      <c r="AE1931" s="164" t="s">
        <v>187</v>
      </c>
      <c r="AF1931" s="165">
        <v>31.359813518872102</v>
      </c>
      <c r="AG1931" s="166">
        <v>73.243652406863404</v>
      </c>
      <c r="AO1931" s="121"/>
      <c r="AT1931" s="111"/>
      <c r="AX1931" s="121"/>
    </row>
    <row r="1932" spans="1:50" s="110" customFormat="1" ht="20" customHeight="1">
      <c r="A1932" s="125" t="s">
        <v>231</v>
      </c>
      <c r="B1932" s="126" t="s">
        <v>66</v>
      </c>
      <c r="C1932" s="127">
        <v>20245</v>
      </c>
      <c r="D1932" s="163">
        <v>115988</v>
      </c>
      <c r="E1932" s="164" t="s">
        <v>353</v>
      </c>
      <c r="F1932" s="164" t="s">
        <v>353</v>
      </c>
      <c r="G1932" s="165">
        <v>130000</v>
      </c>
      <c r="H1932" s="165">
        <v>1</v>
      </c>
      <c r="I1932" s="164" t="s">
        <v>187</v>
      </c>
      <c r="J1932" s="164" t="s">
        <v>354</v>
      </c>
      <c r="K1932" s="164" t="s">
        <v>355</v>
      </c>
      <c r="L1932" s="165">
        <v>4</v>
      </c>
      <c r="M1932" s="165">
        <v>6</v>
      </c>
      <c r="N1932" s="164" t="s">
        <v>189</v>
      </c>
      <c r="O1932" s="165">
        <v>0</v>
      </c>
      <c r="P1932" s="165">
        <v>0</v>
      </c>
      <c r="Q1932" s="165">
        <v>21</v>
      </c>
      <c r="R1932" s="164" t="s">
        <v>200</v>
      </c>
      <c r="S1932" s="164" t="s">
        <v>201</v>
      </c>
      <c r="T1932" s="165">
        <v>455</v>
      </c>
      <c r="U1932" s="164" t="s">
        <v>200</v>
      </c>
      <c r="V1932" s="164" t="s">
        <v>345</v>
      </c>
      <c r="W1932" s="165">
        <v>1</v>
      </c>
      <c r="X1932" s="165">
        <v>4</v>
      </c>
      <c r="Y1932" s="164" t="s">
        <v>203</v>
      </c>
      <c r="Z1932" s="164" t="s">
        <v>195</v>
      </c>
      <c r="AA1932" s="164" t="s">
        <v>196</v>
      </c>
      <c r="AB1932" s="164" t="s">
        <v>187</v>
      </c>
      <c r="AC1932" s="164" t="s">
        <v>187</v>
      </c>
      <c r="AD1932" s="165">
        <v>3</v>
      </c>
      <c r="AE1932" s="164" t="s">
        <v>187</v>
      </c>
      <c r="AF1932" s="165">
        <v>30.0781241074348</v>
      </c>
      <c r="AG1932" s="166">
        <v>71.016878760733505</v>
      </c>
      <c r="AO1932" s="121"/>
      <c r="AT1932" s="111"/>
      <c r="AX1932" s="121"/>
    </row>
    <row r="1933" spans="1:50" s="110" customFormat="1" ht="20" customHeight="1">
      <c r="A1933" s="125" t="s">
        <v>231</v>
      </c>
      <c r="B1933" s="126" t="s">
        <v>66</v>
      </c>
      <c r="C1933" s="127">
        <v>20246</v>
      </c>
      <c r="D1933" s="163">
        <v>115989</v>
      </c>
      <c r="E1933" s="164" t="s">
        <v>361</v>
      </c>
      <c r="F1933" s="164" t="s">
        <v>361</v>
      </c>
      <c r="G1933" s="165">
        <v>124000</v>
      </c>
      <c r="H1933" s="165">
        <v>1</v>
      </c>
      <c r="I1933" s="164" t="s">
        <v>187</v>
      </c>
      <c r="J1933" s="164" t="s">
        <v>354</v>
      </c>
      <c r="K1933" s="164" t="s">
        <v>355</v>
      </c>
      <c r="L1933" s="165">
        <v>4</v>
      </c>
      <c r="M1933" s="165">
        <v>6</v>
      </c>
      <c r="N1933" s="164" t="s">
        <v>189</v>
      </c>
      <c r="O1933" s="165">
        <v>0</v>
      </c>
      <c r="P1933" s="165">
        <v>0</v>
      </c>
      <c r="Q1933" s="165">
        <v>21</v>
      </c>
      <c r="R1933" s="164" t="s">
        <v>200</v>
      </c>
      <c r="S1933" s="164" t="s">
        <v>201</v>
      </c>
      <c r="T1933" s="165">
        <v>455</v>
      </c>
      <c r="U1933" s="164" t="s">
        <v>200</v>
      </c>
      <c r="V1933" s="164" t="s">
        <v>345</v>
      </c>
      <c r="W1933" s="165">
        <v>1</v>
      </c>
      <c r="X1933" s="165">
        <v>4</v>
      </c>
      <c r="Y1933" s="164" t="s">
        <v>203</v>
      </c>
      <c r="Z1933" s="164" t="s">
        <v>195</v>
      </c>
      <c r="AA1933" s="164" t="s">
        <v>196</v>
      </c>
      <c r="AB1933" s="164" t="s">
        <v>187</v>
      </c>
      <c r="AC1933" s="164" t="s">
        <v>187</v>
      </c>
      <c r="AD1933" s="165">
        <v>2</v>
      </c>
      <c r="AE1933" s="164" t="s">
        <v>187</v>
      </c>
      <c r="AF1933" s="165">
        <v>30.078435567012299</v>
      </c>
      <c r="AG1933" s="166">
        <v>71.018893684185002</v>
      </c>
      <c r="AO1933" s="121"/>
      <c r="AT1933" s="111"/>
      <c r="AX1933" s="121"/>
    </row>
    <row r="1934" spans="1:50" s="110" customFormat="1" ht="20" customHeight="1">
      <c r="A1934" s="125" t="s">
        <v>231</v>
      </c>
      <c r="B1934" s="126" t="s">
        <v>66</v>
      </c>
      <c r="C1934" s="127">
        <v>20257</v>
      </c>
      <c r="D1934" s="163">
        <v>100902</v>
      </c>
      <c r="E1934" s="164" t="s">
        <v>376</v>
      </c>
      <c r="F1934" s="164" t="s">
        <v>376</v>
      </c>
      <c r="G1934" s="165">
        <v>120000</v>
      </c>
      <c r="H1934" s="165">
        <v>1</v>
      </c>
      <c r="I1934" s="164" t="s">
        <v>187</v>
      </c>
      <c r="J1934" s="164" t="s">
        <v>349</v>
      </c>
      <c r="K1934" s="164" t="s">
        <v>350</v>
      </c>
      <c r="L1934" s="165">
        <v>3</v>
      </c>
      <c r="M1934" s="165">
        <v>6</v>
      </c>
      <c r="N1934" s="164" t="s">
        <v>189</v>
      </c>
      <c r="O1934" s="165">
        <v>0</v>
      </c>
      <c r="P1934" s="165">
        <v>0</v>
      </c>
      <c r="Q1934" s="165">
        <v>21</v>
      </c>
      <c r="R1934" s="164" t="s">
        <v>200</v>
      </c>
      <c r="S1934" s="164" t="s">
        <v>201</v>
      </c>
      <c r="T1934" s="165">
        <v>455</v>
      </c>
      <c r="U1934" s="164" t="s">
        <v>200</v>
      </c>
      <c r="V1934" s="164" t="s">
        <v>345</v>
      </c>
      <c r="W1934" s="165">
        <v>1</v>
      </c>
      <c r="X1934" s="165">
        <v>4</v>
      </c>
      <c r="Y1934" s="164" t="s">
        <v>203</v>
      </c>
      <c r="Z1934" s="164" t="s">
        <v>195</v>
      </c>
      <c r="AA1934" s="164" t="s">
        <v>196</v>
      </c>
      <c r="AB1934" s="164" t="s">
        <v>187</v>
      </c>
      <c r="AC1934" s="164" t="s">
        <v>187</v>
      </c>
      <c r="AD1934" s="165">
        <v>2</v>
      </c>
      <c r="AE1934" s="164" t="s">
        <v>187</v>
      </c>
      <c r="AF1934" s="165">
        <v>29.830030000000001</v>
      </c>
      <c r="AG1934" s="166">
        <v>67.916300000000007</v>
      </c>
      <c r="AO1934" s="121"/>
      <c r="AT1934" s="111"/>
      <c r="AX1934" s="121"/>
    </row>
    <row r="1935" spans="1:50" s="110" customFormat="1" ht="20" customHeight="1">
      <c r="A1935" s="125" t="s">
        <v>231</v>
      </c>
      <c r="B1935" s="126" t="s">
        <v>66</v>
      </c>
      <c r="C1935" s="127">
        <v>20262</v>
      </c>
      <c r="D1935" s="163">
        <v>115999</v>
      </c>
      <c r="E1935" s="164" t="s">
        <v>390</v>
      </c>
      <c r="F1935" s="164" t="s">
        <v>390</v>
      </c>
      <c r="G1935" s="165">
        <v>104000</v>
      </c>
      <c r="H1935" s="165">
        <v>1</v>
      </c>
      <c r="I1935" s="164" t="s">
        <v>187</v>
      </c>
      <c r="J1935" s="164" t="s">
        <v>346</v>
      </c>
      <c r="K1935" s="164" t="s">
        <v>347</v>
      </c>
      <c r="L1935" s="165">
        <v>4</v>
      </c>
      <c r="M1935" s="165">
        <v>6</v>
      </c>
      <c r="N1935" s="164" t="s">
        <v>189</v>
      </c>
      <c r="O1935" s="165">
        <v>0</v>
      </c>
      <c r="P1935" s="165">
        <v>0</v>
      </c>
      <c r="Q1935" s="165">
        <v>21</v>
      </c>
      <c r="R1935" s="164" t="s">
        <v>200</v>
      </c>
      <c r="S1935" s="164" t="s">
        <v>201</v>
      </c>
      <c r="T1935" s="165">
        <v>455</v>
      </c>
      <c r="U1935" s="164" t="s">
        <v>200</v>
      </c>
      <c r="V1935" s="164" t="s">
        <v>345</v>
      </c>
      <c r="W1935" s="165">
        <v>1</v>
      </c>
      <c r="X1935" s="165">
        <v>4</v>
      </c>
      <c r="Y1935" s="164" t="s">
        <v>203</v>
      </c>
      <c r="Z1935" s="164" t="s">
        <v>195</v>
      </c>
      <c r="AA1935" s="164" t="s">
        <v>196</v>
      </c>
      <c r="AB1935" s="164" t="s">
        <v>187</v>
      </c>
      <c r="AC1935" s="164" t="s">
        <v>187</v>
      </c>
      <c r="AD1935" s="165">
        <v>2</v>
      </c>
      <c r="AE1935" s="164" t="s">
        <v>187</v>
      </c>
      <c r="AF1935" s="165">
        <v>25.777799999999999</v>
      </c>
      <c r="AG1935" s="166">
        <v>66.63158</v>
      </c>
      <c r="AO1935" s="121"/>
      <c r="AT1935" s="111"/>
      <c r="AX1935" s="121"/>
    </row>
    <row r="1936" spans="1:50" s="110" customFormat="1" ht="20" customHeight="1">
      <c r="A1936" s="125" t="s">
        <v>231</v>
      </c>
      <c r="B1936" s="126" t="s">
        <v>66</v>
      </c>
      <c r="C1936" s="127">
        <v>20249</v>
      </c>
      <c r="D1936" s="163">
        <v>100893</v>
      </c>
      <c r="E1936" s="164" t="s">
        <v>368</v>
      </c>
      <c r="F1936" s="164" t="s">
        <v>368</v>
      </c>
      <c r="G1936" s="165">
        <v>99000</v>
      </c>
      <c r="H1936" s="165">
        <v>1</v>
      </c>
      <c r="I1936" s="164" t="s">
        <v>187</v>
      </c>
      <c r="J1936" s="164" t="s">
        <v>354</v>
      </c>
      <c r="K1936" s="164" t="s">
        <v>355</v>
      </c>
      <c r="L1936" s="165">
        <v>4</v>
      </c>
      <c r="M1936" s="165">
        <v>6</v>
      </c>
      <c r="N1936" s="164" t="s">
        <v>189</v>
      </c>
      <c r="O1936" s="165">
        <v>0</v>
      </c>
      <c r="P1936" s="165">
        <v>0</v>
      </c>
      <c r="Q1936" s="165">
        <v>21</v>
      </c>
      <c r="R1936" s="164" t="s">
        <v>200</v>
      </c>
      <c r="S1936" s="164" t="s">
        <v>201</v>
      </c>
      <c r="T1936" s="165">
        <v>455</v>
      </c>
      <c r="U1936" s="164" t="s">
        <v>200</v>
      </c>
      <c r="V1936" s="164" t="s">
        <v>345</v>
      </c>
      <c r="W1936" s="165">
        <v>1</v>
      </c>
      <c r="X1936" s="165">
        <v>4</v>
      </c>
      <c r="Y1936" s="164" t="s">
        <v>203</v>
      </c>
      <c r="Z1936" s="164" t="s">
        <v>195</v>
      </c>
      <c r="AA1936" s="164" t="s">
        <v>196</v>
      </c>
      <c r="AB1936" s="164" t="s">
        <v>187</v>
      </c>
      <c r="AC1936" s="164" t="s">
        <v>187</v>
      </c>
      <c r="AD1936" s="165">
        <v>2</v>
      </c>
      <c r="AE1936" s="164" t="s">
        <v>187</v>
      </c>
      <c r="AF1936" s="165">
        <v>30.083287413513901</v>
      </c>
      <c r="AG1936" s="166">
        <v>71.453004679685705</v>
      </c>
      <c r="AO1936" s="121"/>
      <c r="AT1936" s="111"/>
      <c r="AX1936" s="121"/>
    </row>
    <row r="1937" spans="1:50" s="110" customFormat="1" ht="20" customHeight="1">
      <c r="A1937" s="125" t="s">
        <v>231</v>
      </c>
      <c r="B1937" s="126" t="s">
        <v>66</v>
      </c>
      <c r="C1937" s="127">
        <v>20255</v>
      </c>
      <c r="D1937" s="163">
        <v>115993</v>
      </c>
      <c r="E1937" s="164" t="s">
        <v>374</v>
      </c>
      <c r="F1937" s="164" t="s">
        <v>374</v>
      </c>
      <c r="G1937" s="165">
        <v>97000</v>
      </c>
      <c r="H1937" s="165">
        <v>1</v>
      </c>
      <c r="I1937" s="164" t="s">
        <v>187</v>
      </c>
      <c r="J1937" s="164" t="s">
        <v>346</v>
      </c>
      <c r="K1937" s="164" t="s">
        <v>347</v>
      </c>
      <c r="L1937" s="165">
        <v>4</v>
      </c>
      <c r="M1937" s="165">
        <v>6</v>
      </c>
      <c r="N1937" s="164" t="s">
        <v>189</v>
      </c>
      <c r="O1937" s="165">
        <v>0</v>
      </c>
      <c r="P1937" s="165">
        <v>0</v>
      </c>
      <c r="Q1937" s="165">
        <v>21</v>
      </c>
      <c r="R1937" s="164" t="s">
        <v>200</v>
      </c>
      <c r="S1937" s="164" t="s">
        <v>201</v>
      </c>
      <c r="T1937" s="165">
        <v>455</v>
      </c>
      <c r="U1937" s="164" t="s">
        <v>200</v>
      </c>
      <c r="V1937" s="164" t="s">
        <v>345</v>
      </c>
      <c r="W1937" s="165">
        <v>1</v>
      </c>
      <c r="X1937" s="165">
        <v>4</v>
      </c>
      <c r="Y1937" s="164" t="s">
        <v>203</v>
      </c>
      <c r="Z1937" s="164" t="s">
        <v>195</v>
      </c>
      <c r="AA1937" s="164" t="s">
        <v>196</v>
      </c>
      <c r="AB1937" s="164" t="s">
        <v>187</v>
      </c>
      <c r="AC1937" s="164" t="s">
        <v>187</v>
      </c>
      <c r="AD1937" s="165">
        <v>2</v>
      </c>
      <c r="AE1937" s="164" t="s">
        <v>187</v>
      </c>
      <c r="AF1937" s="165">
        <v>29.57198</v>
      </c>
      <c r="AG1937" s="166">
        <v>66.974500000000006</v>
      </c>
      <c r="AO1937" s="121"/>
      <c r="AT1937" s="111"/>
      <c r="AX1937" s="121"/>
    </row>
    <row r="1938" spans="1:50" s="110" customFormat="1" ht="20" customHeight="1">
      <c r="A1938" s="125" t="s">
        <v>231</v>
      </c>
      <c r="B1938" s="126" t="s">
        <v>66</v>
      </c>
      <c r="C1938" s="127">
        <v>20252</v>
      </c>
      <c r="D1938" s="163">
        <v>100894</v>
      </c>
      <c r="E1938" s="164" t="s">
        <v>371</v>
      </c>
      <c r="F1938" s="164" t="s">
        <v>371</v>
      </c>
      <c r="G1938" s="165">
        <v>95000</v>
      </c>
      <c r="H1938" s="165">
        <v>1</v>
      </c>
      <c r="I1938" s="164" t="s">
        <v>187</v>
      </c>
      <c r="J1938" s="164" t="s">
        <v>349</v>
      </c>
      <c r="K1938" s="164" t="s">
        <v>350</v>
      </c>
      <c r="L1938" s="165">
        <v>3</v>
      </c>
      <c r="M1938" s="165">
        <v>6</v>
      </c>
      <c r="N1938" s="164" t="s">
        <v>189</v>
      </c>
      <c r="O1938" s="165">
        <v>0</v>
      </c>
      <c r="P1938" s="165">
        <v>0</v>
      </c>
      <c r="Q1938" s="165">
        <v>21</v>
      </c>
      <c r="R1938" s="164" t="s">
        <v>200</v>
      </c>
      <c r="S1938" s="164" t="s">
        <v>201</v>
      </c>
      <c r="T1938" s="165">
        <v>455</v>
      </c>
      <c r="U1938" s="164" t="s">
        <v>200</v>
      </c>
      <c r="V1938" s="164" t="s">
        <v>345</v>
      </c>
      <c r="W1938" s="165">
        <v>1</v>
      </c>
      <c r="X1938" s="165">
        <v>4</v>
      </c>
      <c r="Y1938" s="164" t="s">
        <v>203</v>
      </c>
      <c r="Z1938" s="164" t="s">
        <v>195</v>
      </c>
      <c r="AA1938" s="164" t="s">
        <v>196</v>
      </c>
      <c r="AB1938" s="164" t="s">
        <v>187</v>
      </c>
      <c r="AC1938" s="164" t="s">
        <v>187</v>
      </c>
      <c r="AD1938" s="165">
        <v>2</v>
      </c>
      <c r="AE1938" s="164" t="s">
        <v>187</v>
      </c>
      <c r="AF1938" s="165">
        <v>30.472307180198101</v>
      </c>
      <c r="AG1938" s="166">
        <v>70.424614930076302</v>
      </c>
      <c r="AO1938" s="121"/>
      <c r="AT1938" s="111"/>
      <c r="AX1938" s="121"/>
    </row>
    <row r="1939" spans="1:50" s="110" customFormat="1" ht="20" customHeight="1">
      <c r="A1939" s="125" t="s">
        <v>231</v>
      </c>
      <c r="B1939" s="126" t="s">
        <v>66</v>
      </c>
      <c r="C1939" s="127">
        <v>20338</v>
      </c>
      <c r="D1939" s="163">
        <v>100873</v>
      </c>
      <c r="E1939" s="164" t="s">
        <v>359</v>
      </c>
      <c r="F1939" s="164" t="s">
        <v>359</v>
      </c>
      <c r="G1939" s="165">
        <v>79000</v>
      </c>
      <c r="H1939" s="165">
        <v>1</v>
      </c>
      <c r="I1939" s="164" t="s">
        <v>187</v>
      </c>
      <c r="J1939" s="164" t="s">
        <v>354</v>
      </c>
      <c r="K1939" s="164" t="s">
        <v>355</v>
      </c>
      <c r="L1939" s="165">
        <v>4</v>
      </c>
      <c r="M1939" s="165">
        <v>6</v>
      </c>
      <c r="N1939" s="164" t="s">
        <v>189</v>
      </c>
      <c r="O1939" s="165">
        <v>0</v>
      </c>
      <c r="P1939" s="165">
        <v>0</v>
      </c>
      <c r="Q1939" s="165">
        <v>21</v>
      </c>
      <c r="R1939" s="164" t="s">
        <v>200</v>
      </c>
      <c r="S1939" s="164" t="s">
        <v>201</v>
      </c>
      <c r="T1939" s="165">
        <v>455</v>
      </c>
      <c r="U1939" s="164" t="s">
        <v>200</v>
      </c>
      <c r="V1939" s="164" t="s">
        <v>345</v>
      </c>
      <c r="W1939" s="165">
        <v>1</v>
      </c>
      <c r="X1939" s="165">
        <v>4</v>
      </c>
      <c r="Y1939" s="164" t="s">
        <v>203</v>
      </c>
      <c r="Z1939" s="164" t="s">
        <v>195</v>
      </c>
      <c r="AA1939" s="164" t="s">
        <v>196</v>
      </c>
      <c r="AB1939" s="164" t="s">
        <v>187</v>
      </c>
      <c r="AC1939" s="164" t="s">
        <v>187</v>
      </c>
      <c r="AD1939" s="165">
        <v>2</v>
      </c>
      <c r="AE1939" s="164" t="s">
        <v>187</v>
      </c>
      <c r="AF1939" s="165">
        <v>30.082282306932999</v>
      </c>
      <c r="AG1939" s="166">
        <v>71.013483772996494</v>
      </c>
      <c r="AO1939" s="121"/>
      <c r="AT1939" s="111"/>
      <c r="AX1939" s="121"/>
    </row>
    <row r="1940" spans="1:50" s="110" customFormat="1" ht="20" customHeight="1">
      <c r="A1940" s="125" t="s">
        <v>231</v>
      </c>
      <c r="B1940" s="126" t="s">
        <v>66</v>
      </c>
      <c r="C1940" s="127">
        <v>20258</v>
      </c>
      <c r="D1940" s="163">
        <v>115995</v>
      </c>
      <c r="E1940" s="164" t="s">
        <v>383</v>
      </c>
      <c r="F1940" s="164" t="s">
        <v>383</v>
      </c>
      <c r="G1940" s="165">
        <v>71000</v>
      </c>
      <c r="H1940" s="165">
        <v>1</v>
      </c>
      <c r="I1940" s="164" t="s">
        <v>187</v>
      </c>
      <c r="J1940" s="164" t="s">
        <v>346</v>
      </c>
      <c r="K1940" s="164" t="s">
        <v>347</v>
      </c>
      <c r="L1940" s="165">
        <v>4</v>
      </c>
      <c r="M1940" s="165">
        <v>6</v>
      </c>
      <c r="N1940" s="164" t="s">
        <v>189</v>
      </c>
      <c r="O1940" s="165">
        <v>0</v>
      </c>
      <c r="P1940" s="165">
        <v>0</v>
      </c>
      <c r="Q1940" s="165">
        <v>21</v>
      </c>
      <c r="R1940" s="164" t="s">
        <v>200</v>
      </c>
      <c r="S1940" s="164" t="s">
        <v>201</v>
      </c>
      <c r="T1940" s="165">
        <v>455</v>
      </c>
      <c r="U1940" s="164" t="s">
        <v>200</v>
      </c>
      <c r="V1940" s="164" t="s">
        <v>345</v>
      </c>
      <c r="W1940" s="165">
        <v>1</v>
      </c>
      <c r="X1940" s="165">
        <v>4</v>
      </c>
      <c r="Y1940" s="164" t="s">
        <v>203</v>
      </c>
      <c r="Z1940" s="164" t="s">
        <v>195</v>
      </c>
      <c r="AA1940" s="164" t="s">
        <v>196</v>
      </c>
      <c r="AB1940" s="164" t="s">
        <v>187</v>
      </c>
      <c r="AC1940" s="164" t="s">
        <v>187</v>
      </c>
      <c r="AD1940" s="165">
        <v>1</v>
      </c>
      <c r="AE1940" s="164" t="s">
        <v>187</v>
      </c>
      <c r="AF1940" s="165">
        <v>26.026960972513301</v>
      </c>
      <c r="AG1940" s="166">
        <v>63.105614667078001</v>
      </c>
      <c r="AO1940" s="121"/>
      <c r="AT1940" s="111"/>
      <c r="AX1940" s="121"/>
    </row>
    <row r="1941" spans="1:50" s="110" customFormat="1" ht="20" customHeight="1">
      <c r="A1941" s="125" t="s">
        <v>231</v>
      </c>
      <c r="B1941" s="126" t="s">
        <v>66</v>
      </c>
      <c r="C1941" s="127">
        <v>20247</v>
      </c>
      <c r="D1941" s="163">
        <v>115990</v>
      </c>
      <c r="E1941" s="164" t="s">
        <v>364</v>
      </c>
      <c r="F1941" s="164" t="s">
        <v>364</v>
      </c>
      <c r="G1941" s="165">
        <v>55000</v>
      </c>
      <c r="H1941" s="165">
        <v>1</v>
      </c>
      <c r="I1941" s="164" t="s">
        <v>187</v>
      </c>
      <c r="J1941" s="164" t="s">
        <v>354</v>
      </c>
      <c r="K1941" s="164" t="s">
        <v>355</v>
      </c>
      <c r="L1941" s="165">
        <v>4</v>
      </c>
      <c r="M1941" s="165">
        <v>6</v>
      </c>
      <c r="N1941" s="164" t="s">
        <v>189</v>
      </c>
      <c r="O1941" s="165">
        <v>0</v>
      </c>
      <c r="P1941" s="165">
        <v>0</v>
      </c>
      <c r="Q1941" s="165">
        <v>21</v>
      </c>
      <c r="R1941" s="164" t="s">
        <v>200</v>
      </c>
      <c r="S1941" s="164" t="s">
        <v>201</v>
      </c>
      <c r="T1941" s="165">
        <v>455</v>
      </c>
      <c r="U1941" s="164" t="s">
        <v>200</v>
      </c>
      <c r="V1941" s="164" t="s">
        <v>345</v>
      </c>
      <c r="W1941" s="165">
        <v>1</v>
      </c>
      <c r="X1941" s="165">
        <v>4</v>
      </c>
      <c r="Y1941" s="164" t="s">
        <v>203</v>
      </c>
      <c r="Z1941" s="164" t="s">
        <v>195</v>
      </c>
      <c r="AA1941" s="164" t="s">
        <v>196</v>
      </c>
      <c r="AB1941" s="164" t="s">
        <v>187</v>
      </c>
      <c r="AC1941" s="164" t="s">
        <v>187</v>
      </c>
      <c r="AD1941" s="165">
        <v>1</v>
      </c>
      <c r="AE1941" s="164" t="s">
        <v>187</v>
      </c>
      <c r="AF1941" s="165">
        <v>30.081993587061898</v>
      </c>
      <c r="AG1941" s="166">
        <v>71.009914989405601</v>
      </c>
      <c r="AO1941" s="121"/>
      <c r="AT1941" s="111"/>
      <c r="AX1941" s="121"/>
    </row>
    <row r="1942" spans="1:50" s="110" customFormat="1" ht="20" customHeight="1">
      <c r="A1942" s="125" t="s">
        <v>231</v>
      </c>
      <c r="B1942" s="126" t="s">
        <v>66</v>
      </c>
      <c r="C1942" s="127">
        <v>20250</v>
      </c>
      <c r="D1942" s="163">
        <v>115992</v>
      </c>
      <c r="E1942" s="164" t="s">
        <v>369</v>
      </c>
      <c r="F1942" s="164" t="s">
        <v>369</v>
      </c>
      <c r="G1942" s="165">
        <v>53000</v>
      </c>
      <c r="H1942" s="165">
        <v>1</v>
      </c>
      <c r="I1942" s="164" t="s">
        <v>187</v>
      </c>
      <c r="J1942" s="164" t="s">
        <v>349</v>
      </c>
      <c r="K1942" s="164" t="s">
        <v>350</v>
      </c>
      <c r="L1942" s="165">
        <v>3</v>
      </c>
      <c r="M1942" s="165">
        <v>6</v>
      </c>
      <c r="N1942" s="164" t="s">
        <v>189</v>
      </c>
      <c r="O1942" s="165">
        <v>0</v>
      </c>
      <c r="P1942" s="165">
        <v>0</v>
      </c>
      <c r="Q1942" s="165">
        <v>21</v>
      </c>
      <c r="R1942" s="164" t="s">
        <v>200</v>
      </c>
      <c r="S1942" s="164" t="s">
        <v>201</v>
      </c>
      <c r="T1942" s="165">
        <v>455</v>
      </c>
      <c r="U1942" s="164" t="s">
        <v>200</v>
      </c>
      <c r="V1942" s="164" t="s">
        <v>345</v>
      </c>
      <c r="W1942" s="165">
        <v>1</v>
      </c>
      <c r="X1942" s="165">
        <v>4</v>
      </c>
      <c r="Y1942" s="164" t="s">
        <v>203</v>
      </c>
      <c r="Z1942" s="164" t="s">
        <v>195</v>
      </c>
      <c r="AA1942" s="164" t="s">
        <v>196</v>
      </c>
      <c r="AB1942" s="164" t="s">
        <v>187</v>
      </c>
      <c r="AC1942" s="164" t="s">
        <v>187</v>
      </c>
      <c r="AD1942" s="165">
        <v>1</v>
      </c>
      <c r="AE1942" s="164" t="s">
        <v>187</v>
      </c>
      <c r="AF1942" s="165">
        <v>31.86364</v>
      </c>
      <c r="AG1942" s="166">
        <v>70.685509999999994</v>
      </c>
      <c r="AO1942" s="121"/>
      <c r="AT1942" s="111"/>
      <c r="AX1942" s="121"/>
    </row>
    <row r="1943" spans="1:50" s="110" customFormat="1" ht="20" customHeight="1">
      <c r="A1943" s="125" t="s">
        <v>231</v>
      </c>
      <c r="B1943" s="126" t="s">
        <v>66</v>
      </c>
      <c r="C1943" s="127">
        <v>21502</v>
      </c>
      <c r="D1943" s="163">
        <v>118280</v>
      </c>
      <c r="E1943" s="164" t="s">
        <v>356</v>
      </c>
      <c r="F1943" s="164" t="s">
        <v>356</v>
      </c>
      <c r="G1943" s="165">
        <v>47000</v>
      </c>
      <c r="H1943" s="165">
        <v>1</v>
      </c>
      <c r="I1943" s="164" t="s">
        <v>187</v>
      </c>
      <c r="J1943" s="164" t="s">
        <v>349</v>
      </c>
      <c r="K1943" s="164" t="s">
        <v>350</v>
      </c>
      <c r="L1943" s="165">
        <v>3</v>
      </c>
      <c r="M1943" s="165">
        <v>6</v>
      </c>
      <c r="N1943" s="164" t="s">
        <v>189</v>
      </c>
      <c r="O1943" s="165">
        <v>0</v>
      </c>
      <c r="P1943" s="165">
        <v>0</v>
      </c>
      <c r="Q1943" s="165">
        <v>21</v>
      </c>
      <c r="R1943" s="164" t="s">
        <v>200</v>
      </c>
      <c r="S1943" s="164" t="s">
        <v>201</v>
      </c>
      <c r="T1943" s="165">
        <v>455</v>
      </c>
      <c r="U1943" s="164" t="s">
        <v>200</v>
      </c>
      <c r="V1943" s="164" t="s">
        <v>345</v>
      </c>
      <c r="W1943" s="165">
        <v>1</v>
      </c>
      <c r="X1943" s="165">
        <v>4</v>
      </c>
      <c r="Y1943" s="164" t="s">
        <v>203</v>
      </c>
      <c r="Z1943" s="164" t="s">
        <v>195</v>
      </c>
      <c r="AA1943" s="164" t="s">
        <v>196</v>
      </c>
      <c r="AB1943" s="164" t="s">
        <v>187</v>
      </c>
      <c r="AC1943" s="164" t="s">
        <v>187</v>
      </c>
      <c r="AD1943" s="165">
        <v>1</v>
      </c>
      <c r="AE1943" s="164" t="s">
        <v>187</v>
      </c>
      <c r="AF1943" s="165">
        <v>30.503833650000001</v>
      </c>
      <c r="AG1943" s="166">
        <v>70.495073349999998</v>
      </c>
      <c r="AO1943" s="121"/>
      <c r="AT1943" s="111"/>
      <c r="AX1943" s="121"/>
    </row>
    <row r="1944" spans="1:50" s="110" customFormat="1" ht="20" customHeight="1">
      <c r="A1944" s="125" t="s">
        <v>231</v>
      </c>
      <c r="B1944" s="126" t="s">
        <v>66</v>
      </c>
      <c r="C1944" s="127">
        <v>20248</v>
      </c>
      <c r="D1944" s="163">
        <v>115991</v>
      </c>
      <c r="E1944" s="164" t="s">
        <v>367</v>
      </c>
      <c r="F1944" s="164" t="s">
        <v>367</v>
      </c>
      <c r="G1944" s="165">
        <v>46000</v>
      </c>
      <c r="H1944" s="165">
        <v>1</v>
      </c>
      <c r="I1944" s="164" t="s">
        <v>187</v>
      </c>
      <c r="J1944" s="164" t="s">
        <v>349</v>
      </c>
      <c r="K1944" s="164" t="s">
        <v>350</v>
      </c>
      <c r="L1944" s="165">
        <v>3</v>
      </c>
      <c r="M1944" s="165">
        <v>6</v>
      </c>
      <c r="N1944" s="164" t="s">
        <v>189</v>
      </c>
      <c r="O1944" s="165">
        <v>0</v>
      </c>
      <c r="P1944" s="165">
        <v>0</v>
      </c>
      <c r="Q1944" s="165">
        <v>21</v>
      </c>
      <c r="R1944" s="164" t="s">
        <v>200</v>
      </c>
      <c r="S1944" s="164" t="s">
        <v>201</v>
      </c>
      <c r="T1944" s="165">
        <v>455</v>
      </c>
      <c r="U1944" s="164" t="s">
        <v>200</v>
      </c>
      <c r="V1944" s="164" t="s">
        <v>345</v>
      </c>
      <c r="W1944" s="165">
        <v>1</v>
      </c>
      <c r="X1944" s="165">
        <v>4</v>
      </c>
      <c r="Y1944" s="164" t="s">
        <v>203</v>
      </c>
      <c r="Z1944" s="164" t="s">
        <v>195</v>
      </c>
      <c r="AA1944" s="164" t="s">
        <v>196</v>
      </c>
      <c r="AB1944" s="164" t="s">
        <v>187</v>
      </c>
      <c r="AC1944" s="164" t="s">
        <v>187</v>
      </c>
      <c r="AD1944" s="165">
        <v>1</v>
      </c>
      <c r="AE1944" s="164" t="s">
        <v>187</v>
      </c>
      <c r="AF1944" s="165">
        <v>30.275539999999999</v>
      </c>
      <c r="AG1944" s="166">
        <v>68.67953</v>
      </c>
      <c r="AO1944" s="121"/>
      <c r="AT1944" s="111"/>
      <c r="AX1944" s="121"/>
    </row>
    <row r="1945" spans="1:50" s="110" customFormat="1" ht="20" customHeight="1">
      <c r="A1945" s="125" t="s">
        <v>231</v>
      </c>
      <c r="B1945" s="126" t="s">
        <v>66</v>
      </c>
      <c r="C1945" s="127">
        <v>21657</v>
      </c>
      <c r="D1945" s="167"/>
      <c r="E1945" s="164" t="s">
        <v>357</v>
      </c>
      <c r="F1945" s="164" t="s">
        <v>357</v>
      </c>
      <c r="G1945" s="165">
        <v>44000</v>
      </c>
      <c r="H1945" s="165">
        <v>1</v>
      </c>
      <c r="I1945" s="164" t="s">
        <v>187</v>
      </c>
      <c r="J1945" s="164" t="s">
        <v>346</v>
      </c>
      <c r="K1945" s="164" t="s">
        <v>347</v>
      </c>
      <c r="L1945" s="165">
        <v>4</v>
      </c>
      <c r="M1945" s="165">
        <v>6</v>
      </c>
      <c r="N1945" s="164" t="s">
        <v>189</v>
      </c>
      <c r="O1945" s="165">
        <v>0</v>
      </c>
      <c r="P1945" s="165">
        <v>0</v>
      </c>
      <c r="Q1945" s="165">
        <v>21</v>
      </c>
      <c r="R1945" s="164" t="s">
        <v>200</v>
      </c>
      <c r="S1945" s="164" t="s">
        <v>201</v>
      </c>
      <c r="T1945" s="165">
        <v>455</v>
      </c>
      <c r="U1945" s="164" t="s">
        <v>200</v>
      </c>
      <c r="V1945" s="164" t="s">
        <v>345</v>
      </c>
      <c r="W1945" s="165">
        <v>1</v>
      </c>
      <c r="X1945" s="165">
        <v>4</v>
      </c>
      <c r="Y1945" s="164" t="s">
        <v>203</v>
      </c>
      <c r="Z1945" s="164" t="s">
        <v>195</v>
      </c>
      <c r="AA1945" s="164" t="s">
        <v>196</v>
      </c>
      <c r="AB1945" s="164" t="s">
        <v>187</v>
      </c>
      <c r="AC1945" s="164" t="s">
        <v>187</v>
      </c>
      <c r="AD1945" s="165">
        <v>1</v>
      </c>
      <c r="AE1945" s="164" t="s">
        <v>187</v>
      </c>
      <c r="AF1945" s="165">
        <v>29.795200000000001</v>
      </c>
      <c r="AG1945" s="166">
        <v>66.903499999999994</v>
      </c>
      <c r="AO1945" s="121"/>
      <c r="AT1945" s="111"/>
      <c r="AX1945" s="121"/>
    </row>
    <row r="1946" spans="1:50" s="110" customFormat="1" ht="20" customHeight="1">
      <c r="A1946" s="125" t="s">
        <v>231</v>
      </c>
      <c r="B1946" s="126" t="s">
        <v>66</v>
      </c>
      <c r="C1946" s="127">
        <v>21662</v>
      </c>
      <c r="D1946" s="167"/>
      <c r="E1946" s="164" t="s">
        <v>373</v>
      </c>
      <c r="F1946" s="164" t="s">
        <v>373</v>
      </c>
      <c r="G1946" s="165">
        <v>44000</v>
      </c>
      <c r="H1946" s="165">
        <v>1</v>
      </c>
      <c r="I1946" s="164" t="s">
        <v>187</v>
      </c>
      <c r="J1946" s="164" t="s">
        <v>349</v>
      </c>
      <c r="K1946" s="164" t="s">
        <v>350</v>
      </c>
      <c r="L1946" s="165">
        <v>3</v>
      </c>
      <c r="M1946" s="165">
        <v>6</v>
      </c>
      <c r="N1946" s="164" t="s">
        <v>189</v>
      </c>
      <c r="O1946" s="165">
        <v>0</v>
      </c>
      <c r="P1946" s="165">
        <v>0</v>
      </c>
      <c r="Q1946" s="165">
        <v>21</v>
      </c>
      <c r="R1946" s="164" t="s">
        <v>200</v>
      </c>
      <c r="S1946" s="164" t="s">
        <v>201</v>
      </c>
      <c r="T1946" s="165">
        <v>455</v>
      </c>
      <c r="U1946" s="164" t="s">
        <v>200</v>
      </c>
      <c r="V1946" s="164" t="s">
        <v>345</v>
      </c>
      <c r="W1946" s="165">
        <v>1</v>
      </c>
      <c r="X1946" s="165">
        <v>4</v>
      </c>
      <c r="Y1946" s="164" t="s">
        <v>203</v>
      </c>
      <c r="Z1946" s="164" t="s">
        <v>195</v>
      </c>
      <c r="AA1946" s="164" t="s">
        <v>196</v>
      </c>
      <c r="AB1946" s="164" t="s">
        <v>187</v>
      </c>
      <c r="AC1946" s="164" t="s">
        <v>187</v>
      </c>
      <c r="AD1946" s="165">
        <v>1</v>
      </c>
      <c r="AE1946" s="164" t="s">
        <v>187</v>
      </c>
      <c r="AF1946" s="165">
        <v>30.471820000000001</v>
      </c>
      <c r="AG1946" s="166">
        <v>70.423439999999999</v>
      </c>
      <c r="AO1946" s="121"/>
      <c r="AT1946" s="111"/>
      <c r="AX1946" s="121"/>
    </row>
    <row r="1947" spans="1:50" s="110" customFormat="1" ht="20" customHeight="1">
      <c r="A1947" s="125" t="s">
        <v>231</v>
      </c>
      <c r="B1947" s="126" t="s">
        <v>66</v>
      </c>
      <c r="C1947" s="127">
        <v>21665</v>
      </c>
      <c r="D1947" s="167"/>
      <c r="E1947" s="164" t="s">
        <v>379</v>
      </c>
      <c r="F1947" s="164" t="s">
        <v>379</v>
      </c>
      <c r="G1947" s="165">
        <v>44000</v>
      </c>
      <c r="H1947" s="165">
        <v>1</v>
      </c>
      <c r="I1947" s="164" t="s">
        <v>187</v>
      </c>
      <c r="J1947" s="164" t="s">
        <v>349</v>
      </c>
      <c r="K1947" s="164" t="s">
        <v>350</v>
      </c>
      <c r="L1947" s="165">
        <v>3</v>
      </c>
      <c r="M1947" s="165">
        <v>6</v>
      </c>
      <c r="N1947" s="164" t="s">
        <v>189</v>
      </c>
      <c r="O1947" s="165">
        <v>0</v>
      </c>
      <c r="P1947" s="165">
        <v>0</v>
      </c>
      <c r="Q1947" s="165">
        <v>21</v>
      </c>
      <c r="R1947" s="164" t="s">
        <v>200</v>
      </c>
      <c r="S1947" s="164" t="s">
        <v>201</v>
      </c>
      <c r="T1947" s="165">
        <v>455</v>
      </c>
      <c r="U1947" s="164" t="s">
        <v>200</v>
      </c>
      <c r="V1947" s="164" t="s">
        <v>345</v>
      </c>
      <c r="W1947" s="165">
        <v>1</v>
      </c>
      <c r="X1947" s="165">
        <v>4</v>
      </c>
      <c r="Y1947" s="164" t="s">
        <v>203</v>
      </c>
      <c r="Z1947" s="164" t="s">
        <v>195</v>
      </c>
      <c r="AA1947" s="164" t="s">
        <v>196</v>
      </c>
      <c r="AB1947" s="164" t="s">
        <v>187</v>
      </c>
      <c r="AC1947" s="164" t="s">
        <v>187</v>
      </c>
      <c r="AD1947" s="165">
        <v>1</v>
      </c>
      <c r="AE1947" s="164" t="s">
        <v>187</v>
      </c>
      <c r="AF1947" s="165">
        <v>30.471820000000001</v>
      </c>
      <c r="AG1947" s="166">
        <v>70.423439999999999</v>
      </c>
      <c r="AO1947" s="121"/>
      <c r="AT1947" s="111"/>
      <c r="AX1947" s="121"/>
    </row>
    <row r="1948" spans="1:50" s="110" customFormat="1" ht="20" customHeight="1">
      <c r="A1948" s="125" t="s">
        <v>231</v>
      </c>
      <c r="B1948" s="126" t="s">
        <v>66</v>
      </c>
      <c r="C1948" s="127">
        <v>21504</v>
      </c>
      <c r="D1948" s="163">
        <v>118282</v>
      </c>
      <c r="E1948" s="164" t="s">
        <v>381</v>
      </c>
      <c r="F1948" s="164" t="s">
        <v>381</v>
      </c>
      <c r="G1948" s="165">
        <v>44000</v>
      </c>
      <c r="H1948" s="165">
        <v>1</v>
      </c>
      <c r="I1948" s="164" t="s">
        <v>187</v>
      </c>
      <c r="J1948" s="164" t="s">
        <v>349</v>
      </c>
      <c r="K1948" s="164" t="s">
        <v>350</v>
      </c>
      <c r="L1948" s="165">
        <v>3</v>
      </c>
      <c r="M1948" s="165">
        <v>6</v>
      </c>
      <c r="N1948" s="164" t="s">
        <v>189</v>
      </c>
      <c r="O1948" s="165">
        <v>0</v>
      </c>
      <c r="P1948" s="165">
        <v>0</v>
      </c>
      <c r="Q1948" s="165">
        <v>21</v>
      </c>
      <c r="R1948" s="164" t="s">
        <v>200</v>
      </c>
      <c r="S1948" s="164" t="s">
        <v>201</v>
      </c>
      <c r="T1948" s="165">
        <v>455</v>
      </c>
      <c r="U1948" s="164" t="s">
        <v>200</v>
      </c>
      <c r="V1948" s="164" t="s">
        <v>345</v>
      </c>
      <c r="W1948" s="165">
        <v>1</v>
      </c>
      <c r="X1948" s="165">
        <v>4</v>
      </c>
      <c r="Y1948" s="164" t="s">
        <v>203</v>
      </c>
      <c r="Z1948" s="164" t="s">
        <v>195</v>
      </c>
      <c r="AA1948" s="164" t="s">
        <v>196</v>
      </c>
      <c r="AB1948" s="164" t="s">
        <v>187</v>
      </c>
      <c r="AC1948" s="164" t="s">
        <v>187</v>
      </c>
      <c r="AD1948" s="165">
        <v>1</v>
      </c>
      <c r="AE1948" s="164" t="s">
        <v>187</v>
      </c>
      <c r="AF1948" s="165">
        <v>31.897166049999999</v>
      </c>
      <c r="AG1948" s="166">
        <v>70.760340909999996</v>
      </c>
      <c r="AO1948" s="121"/>
      <c r="AT1948" s="111"/>
      <c r="AX1948" s="121"/>
    </row>
    <row r="1949" spans="1:50" s="110" customFormat="1" ht="20" customHeight="1">
      <c r="A1949" s="125" t="s">
        <v>231</v>
      </c>
      <c r="B1949" s="126" t="s">
        <v>66</v>
      </c>
      <c r="C1949" s="127">
        <v>21505</v>
      </c>
      <c r="D1949" s="163">
        <v>118283</v>
      </c>
      <c r="E1949" s="164" t="s">
        <v>389</v>
      </c>
      <c r="F1949" s="164" t="s">
        <v>389</v>
      </c>
      <c r="G1949" s="165">
        <v>43000</v>
      </c>
      <c r="H1949" s="165">
        <v>1</v>
      </c>
      <c r="I1949" s="164" t="s">
        <v>187</v>
      </c>
      <c r="J1949" s="164" t="s">
        <v>346</v>
      </c>
      <c r="K1949" s="164" t="s">
        <v>347</v>
      </c>
      <c r="L1949" s="165">
        <v>4</v>
      </c>
      <c r="M1949" s="165">
        <v>6</v>
      </c>
      <c r="N1949" s="164" t="s">
        <v>189</v>
      </c>
      <c r="O1949" s="165">
        <v>0</v>
      </c>
      <c r="P1949" s="165">
        <v>0</v>
      </c>
      <c r="Q1949" s="165">
        <v>21</v>
      </c>
      <c r="R1949" s="164" t="s">
        <v>200</v>
      </c>
      <c r="S1949" s="164" t="s">
        <v>201</v>
      </c>
      <c r="T1949" s="165">
        <v>455</v>
      </c>
      <c r="U1949" s="164" t="s">
        <v>200</v>
      </c>
      <c r="V1949" s="164" t="s">
        <v>345</v>
      </c>
      <c r="W1949" s="165">
        <v>1</v>
      </c>
      <c r="X1949" s="165">
        <v>4</v>
      </c>
      <c r="Y1949" s="164" t="s">
        <v>203</v>
      </c>
      <c r="Z1949" s="164" t="s">
        <v>195</v>
      </c>
      <c r="AA1949" s="164" t="s">
        <v>196</v>
      </c>
      <c r="AB1949" s="164" t="s">
        <v>187</v>
      </c>
      <c r="AC1949" s="164" t="s">
        <v>187</v>
      </c>
      <c r="AD1949" s="165">
        <v>1</v>
      </c>
      <c r="AE1949" s="164" t="s">
        <v>187</v>
      </c>
      <c r="AF1949" s="165">
        <v>29.603889469999999</v>
      </c>
      <c r="AG1949" s="166">
        <v>67.04647559</v>
      </c>
      <c r="AO1949" s="121"/>
      <c r="AT1949" s="111"/>
      <c r="AX1949" s="121"/>
    </row>
    <row r="1950" spans="1:50" s="110" customFormat="1" ht="20" customHeight="1">
      <c r="A1950" s="125" t="s">
        <v>231</v>
      </c>
      <c r="B1950" s="126" t="s">
        <v>66</v>
      </c>
      <c r="C1950" s="127">
        <v>21661</v>
      </c>
      <c r="D1950" s="167"/>
      <c r="E1950" s="164" t="s">
        <v>366</v>
      </c>
      <c r="F1950" s="164" t="s">
        <v>366</v>
      </c>
      <c r="G1950" s="165">
        <v>42000</v>
      </c>
      <c r="H1950" s="165">
        <v>1</v>
      </c>
      <c r="I1950" s="164" t="s">
        <v>187</v>
      </c>
      <c r="J1950" s="164" t="s">
        <v>346</v>
      </c>
      <c r="K1950" s="164" t="s">
        <v>347</v>
      </c>
      <c r="L1950" s="165">
        <v>4</v>
      </c>
      <c r="M1950" s="165">
        <v>6</v>
      </c>
      <c r="N1950" s="164" t="s">
        <v>189</v>
      </c>
      <c r="O1950" s="165">
        <v>0</v>
      </c>
      <c r="P1950" s="165">
        <v>0</v>
      </c>
      <c r="Q1950" s="165">
        <v>21</v>
      </c>
      <c r="R1950" s="164" t="s">
        <v>200</v>
      </c>
      <c r="S1950" s="164" t="s">
        <v>201</v>
      </c>
      <c r="T1950" s="165">
        <v>455</v>
      </c>
      <c r="U1950" s="164" t="s">
        <v>200</v>
      </c>
      <c r="V1950" s="164" t="s">
        <v>345</v>
      </c>
      <c r="W1950" s="165">
        <v>1</v>
      </c>
      <c r="X1950" s="165">
        <v>4</v>
      </c>
      <c r="Y1950" s="164" t="s">
        <v>203</v>
      </c>
      <c r="Z1950" s="164" t="s">
        <v>195</v>
      </c>
      <c r="AA1950" s="164" t="s">
        <v>196</v>
      </c>
      <c r="AB1950" s="164" t="s">
        <v>187</v>
      </c>
      <c r="AC1950" s="164" t="s">
        <v>187</v>
      </c>
      <c r="AD1950" s="165">
        <v>1</v>
      </c>
      <c r="AE1950" s="164" t="s">
        <v>187</v>
      </c>
      <c r="AF1950" s="165">
        <v>26.018139999999999</v>
      </c>
      <c r="AG1950" s="166">
        <v>63.103569999999998</v>
      </c>
      <c r="AO1950" s="121"/>
      <c r="AT1950" s="111"/>
      <c r="AX1950" s="121"/>
    </row>
    <row r="1951" spans="1:50" s="110" customFormat="1" ht="20" customHeight="1">
      <c r="A1951" s="125" t="s">
        <v>231</v>
      </c>
      <c r="B1951" s="126" t="s">
        <v>66</v>
      </c>
      <c r="C1951" s="127">
        <v>21503</v>
      </c>
      <c r="D1951" s="163">
        <v>118281</v>
      </c>
      <c r="E1951" s="164" t="s">
        <v>363</v>
      </c>
      <c r="F1951" s="164" t="s">
        <v>363</v>
      </c>
      <c r="G1951" s="165">
        <v>40000</v>
      </c>
      <c r="H1951" s="165">
        <v>1</v>
      </c>
      <c r="I1951" s="164" t="s">
        <v>187</v>
      </c>
      <c r="J1951" s="164" t="s">
        <v>349</v>
      </c>
      <c r="K1951" s="164" t="s">
        <v>350</v>
      </c>
      <c r="L1951" s="165">
        <v>3</v>
      </c>
      <c r="M1951" s="165">
        <v>6</v>
      </c>
      <c r="N1951" s="164" t="s">
        <v>189</v>
      </c>
      <c r="O1951" s="165">
        <v>0</v>
      </c>
      <c r="P1951" s="165">
        <v>0</v>
      </c>
      <c r="Q1951" s="165">
        <v>21</v>
      </c>
      <c r="R1951" s="164" t="s">
        <v>200</v>
      </c>
      <c r="S1951" s="164" t="s">
        <v>201</v>
      </c>
      <c r="T1951" s="165">
        <v>455</v>
      </c>
      <c r="U1951" s="164" t="s">
        <v>200</v>
      </c>
      <c r="V1951" s="164" t="s">
        <v>345</v>
      </c>
      <c r="W1951" s="165">
        <v>1</v>
      </c>
      <c r="X1951" s="165">
        <v>4</v>
      </c>
      <c r="Y1951" s="164" t="s">
        <v>203</v>
      </c>
      <c r="Z1951" s="164" t="s">
        <v>195</v>
      </c>
      <c r="AA1951" s="164" t="s">
        <v>196</v>
      </c>
      <c r="AB1951" s="164" t="s">
        <v>187</v>
      </c>
      <c r="AC1951" s="164" t="s">
        <v>187</v>
      </c>
      <c r="AD1951" s="165">
        <v>1</v>
      </c>
      <c r="AE1951" s="164" t="s">
        <v>187</v>
      </c>
      <c r="AF1951" s="165">
        <v>30.1089956</v>
      </c>
      <c r="AG1951" s="166">
        <v>71.082431189999994</v>
      </c>
      <c r="AO1951" s="121"/>
      <c r="AT1951" s="111"/>
      <c r="AX1951" s="121"/>
    </row>
    <row r="1952" spans="1:50" s="110" customFormat="1" ht="20" customHeight="1">
      <c r="A1952" s="125" t="s">
        <v>231</v>
      </c>
      <c r="B1952" s="126" t="s">
        <v>66</v>
      </c>
      <c r="C1952" s="127">
        <v>21666</v>
      </c>
      <c r="D1952" s="167"/>
      <c r="E1952" s="164" t="s">
        <v>380</v>
      </c>
      <c r="F1952" s="164" t="s">
        <v>380</v>
      </c>
      <c r="G1952" s="165">
        <v>38000</v>
      </c>
      <c r="H1952" s="165">
        <v>1</v>
      </c>
      <c r="I1952" s="164" t="s">
        <v>187</v>
      </c>
      <c r="J1952" s="164" t="s">
        <v>349</v>
      </c>
      <c r="K1952" s="164" t="s">
        <v>350</v>
      </c>
      <c r="L1952" s="165">
        <v>3</v>
      </c>
      <c r="M1952" s="165">
        <v>6</v>
      </c>
      <c r="N1952" s="164" t="s">
        <v>189</v>
      </c>
      <c r="O1952" s="165">
        <v>0</v>
      </c>
      <c r="P1952" s="165">
        <v>0</v>
      </c>
      <c r="Q1952" s="165">
        <v>21</v>
      </c>
      <c r="R1952" s="164" t="s">
        <v>200</v>
      </c>
      <c r="S1952" s="164" t="s">
        <v>201</v>
      </c>
      <c r="T1952" s="165">
        <v>455</v>
      </c>
      <c r="U1952" s="164" t="s">
        <v>200</v>
      </c>
      <c r="V1952" s="164" t="s">
        <v>345</v>
      </c>
      <c r="W1952" s="165">
        <v>1</v>
      </c>
      <c r="X1952" s="165">
        <v>4</v>
      </c>
      <c r="Y1952" s="164" t="s">
        <v>203</v>
      </c>
      <c r="Z1952" s="164" t="s">
        <v>195</v>
      </c>
      <c r="AA1952" s="164" t="s">
        <v>196</v>
      </c>
      <c r="AB1952" s="164" t="s">
        <v>187</v>
      </c>
      <c r="AC1952" s="164" t="s">
        <v>187</v>
      </c>
      <c r="AD1952" s="165">
        <v>1</v>
      </c>
      <c r="AE1952" s="164" t="s">
        <v>187</v>
      </c>
      <c r="AF1952" s="165">
        <v>30.471820000000001</v>
      </c>
      <c r="AG1952" s="166">
        <v>70.423439999999999</v>
      </c>
      <c r="AO1952" s="121"/>
      <c r="AT1952" s="111"/>
      <c r="AX1952" s="121"/>
    </row>
    <row r="1953" spans="1:50" s="110" customFormat="1" ht="20" customHeight="1">
      <c r="A1953" s="125" t="s">
        <v>231</v>
      </c>
      <c r="B1953" s="126" t="s">
        <v>66</v>
      </c>
      <c r="C1953" s="127">
        <v>21667</v>
      </c>
      <c r="D1953" s="167"/>
      <c r="E1953" s="164" t="s">
        <v>382</v>
      </c>
      <c r="F1953" s="164" t="s">
        <v>382</v>
      </c>
      <c r="G1953" s="165">
        <v>38000</v>
      </c>
      <c r="H1953" s="165">
        <v>1</v>
      </c>
      <c r="I1953" s="164" t="s">
        <v>187</v>
      </c>
      <c r="J1953" s="164" t="s">
        <v>349</v>
      </c>
      <c r="K1953" s="164" t="s">
        <v>350</v>
      </c>
      <c r="L1953" s="165">
        <v>3</v>
      </c>
      <c r="M1953" s="165">
        <v>6</v>
      </c>
      <c r="N1953" s="164" t="s">
        <v>189</v>
      </c>
      <c r="O1953" s="165">
        <v>0</v>
      </c>
      <c r="P1953" s="165">
        <v>0</v>
      </c>
      <c r="Q1953" s="165">
        <v>21</v>
      </c>
      <c r="R1953" s="164" t="s">
        <v>200</v>
      </c>
      <c r="S1953" s="164" t="s">
        <v>201</v>
      </c>
      <c r="T1953" s="165">
        <v>455</v>
      </c>
      <c r="U1953" s="164" t="s">
        <v>200</v>
      </c>
      <c r="V1953" s="164" t="s">
        <v>345</v>
      </c>
      <c r="W1953" s="165">
        <v>1</v>
      </c>
      <c r="X1953" s="165">
        <v>4</v>
      </c>
      <c r="Y1953" s="164" t="s">
        <v>203</v>
      </c>
      <c r="Z1953" s="164" t="s">
        <v>195</v>
      </c>
      <c r="AA1953" s="164" t="s">
        <v>196</v>
      </c>
      <c r="AB1953" s="164" t="s">
        <v>187</v>
      </c>
      <c r="AC1953" s="164" t="s">
        <v>187</v>
      </c>
      <c r="AD1953" s="165">
        <v>1</v>
      </c>
      <c r="AE1953" s="164" t="s">
        <v>187</v>
      </c>
      <c r="AF1953" s="165">
        <v>30.471820000000001</v>
      </c>
      <c r="AG1953" s="166">
        <v>70.423439999999999</v>
      </c>
      <c r="AO1953" s="121"/>
      <c r="AT1953" s="111"/>
      <c r="AX1953" s="121"/>
    </row>
    <row r="1954" spans="1:50" s="110" customFormat="1" ht="20" customHeight="1">
      <c r="A1954" s="125" t="s">
        <v>231</v>
      </c>
      <c r="B1954" s="126" t="s">
        <v>66</v>
      </c>
      <c r="C1954" s="127">
        <v>21669</v>
      </c>
      <c r="D1954" s="167"/>
      <c r="E1954" s="164" t="s">
        <v>387</v>
      </c>
      <c r="F1954" s="164" t="s">
        <v>387</v>
      </c>
      <c r="G1954" s="165">
        <v>37000</v>
      </c>
      <c r="H1954" s="165">
        <v>1</v>
      </c>
      <c r="I1954" s="164" t="s">
        <v>187</v>
      </c>
      <c r="J1954" s="164" t="s">
        <v>346</v>
      </c>
      <c r="K1954" s="164" t="s">
        <v>347</v>
      </c>
      <c r="L1954" s="165">
        <v>4</v>
      </c>
      <c r="M1954" s="165">
        <v>6</v>
      </c>
      <c r="N1954" s="164" t="s">
        <v>189</v>
      </c>
      <c r="O1954" s="165">
        <v>0</v>
      </c>
      <c r="P1954" s="165">
        <v>0</v>
      </c>
      <c r="Q1954" s="165">
        <v>21</v>
      </c>
      <c r="R1954" s="164" t="s">
        <v>200</v>
      </c>
      <c r="S1954" s="164" t="s">
        <v>201</v>
      </c>
      <c r="T1954" s="165">
        <v>455</v>
      </c>
      <c r="U1954" s="164" t="s">
        <v>200</v>
      </c>
      <c r="V1954" s="164" t="s">
        <v>345</v>
      </c>
      <c r="W1954" s="165">
        <v>1</v>
      </c>
      <c r="X1954" s="165">
        <v>4</v>
      </c>
      <c r="Y1954" s="164" t="s">
        <v>203</v>
      </c>
      <c r="Z1954" s="164" t="s">
        <v>195</v>
      </c>
      <c r="AA1954" s="164" t="s">
        <v>196</v>
      </c>
      <c r="AB1954" s="164" t="s">
        <v>187</v>
      </c>
      <c r="AC1954" s="164" t="s">
        <v>187</v>
      </c>
      <c r="AD1954" s="165">
        <v>1</v>
      </c>
      <c r="AE1954" s="164" t="s">
        <v>187</v>
      </c>
      <c r="AF1954" s="165">
        <v>25.777799999999999</v>
      </c>
      <c r="AG1954" s="166">
        <v>66.63158</v>
      </c>
      <c r="AO1954" s="121"/>
      <c r="AT1954" s="111"/>
      <c r="AX1954" s="121"/>
    </row>
    <row r="1955" spans="1:50" s="110" customFormat="1" ht="20" customHeight="1">
      <c r="A1955" s="125" t="s">
        <v>231</v>
      </c>
      <c r="B1955" s="126" t="s">
        <v>66</v>
      </c>
      <c r="C1955" s="127">
        <v>21659</v>
      </c>
      <c r="D1955" s="167"/>
      <c r="E1955" s="164" t="s">
        <v>360</v>
      </c>
      <c r="F1955" s="164" t="s">
        <v>360</v>
      </c>
      <c r="G1955" s="165">
        <v>32000</v>
      </c>
      <c r="H1955" s="165">
        <v>1</v>
      </c>
      <c r="I1955" s="164" t="s">
        <v>187</v>
      </c>
      <c r="J1955" s="164" t="s">
        <v>349</v>
      </c>
      <c r="K1955" s="164" t="s">
        <v>350</v>
      </c>
      <c r="L1955" s="165">
        <v>3</v>
      </c>
      <c r="M1955" s="165">
        <v>6</v>
      </c>
      <c r="N1955" s="164" t="s">
        <v>189</v>
      </c>
      <c r="O1955" s="165">
        <v>0</v>
      </c>
      <c r="P1955" s="165">
        <v>0</v>
      </c>
      <c r="Q1955" s="165">
        <v>21</v>
      </c>
      <c r="R1955" s="164" t="s">
        <v>200</v>
      </c>
      <c r="S1955" s="164" t="s">
        <v>201</v>
      </c>
      <c r="T1955" s="165">
        <v>455</v>
      </c>
      <c r="U1955" s="164" t="s">
        <v>200</v>
      </c>
      <c r="V1955" s="164" t="s">
        <v>345</v>
      </c>
      <c r="W1955" s="165">
        <v>1</v>
      </c>
      <c r="X1955" s="165">
        <v>4</v>
      </c>
      <c r="Y1955" s="164" t="s">
        <v>203</v>
      </c>
      <c r="Z1955" s="164" t="s">
        <v>195</v>
      </c>
      <c r="AA1955" s="164" t="s">
        <v>196</v>
      </c>
      <c r="AB1955" s="164" t="s">
        <v>187</v>
      </c>
      <c r="AC1955" s="164" t="s">
        <v>187</v>
      </c>
      <c r="AD1955" s="165">
        <v>1</v>
      </c>
      <c r="AE1955" s="164" t="s">
        <v>187</v>
      </c>
      <c r="AF1955" s="165">
        <v>31.86364</v>
      </c>
      <c r="AG1955" s="166">
        <v>70.685509999999994</v>
      </c>
      <c r="AO1955" s="121"/>
      <c r="AT1955" s="111"/>
      <c r="AX1955" s="121"/>
    </row>
    <row r="1956" spans="1:50" s="110" customFormat="1" ht="20" customHeight="1">
      <c r="A1956" s="125" t="s">
        <v>231</v>
      </c>
      <c r="B1956" s="126" t="s">
        <v>66</v>
      </c>
      <c r="C1956" s="127">
        <v>21656</v>
      </c>
      <c r="D1956" s="167"/>
      <c r="E1956" s="164" t="s">
        <v>352</v>
      </c>
      <c r="F1956" s="164" t="s">
        <v>352</v>
      </c>
      <c r="G1956" s="165">
        <v>31000</v>
      </c>
      <c r="H1956" s="165">
        <v>1</v>
      </c>
      <c r="I1956" s="164" t="s">
        <v>187</v>
      </c>
      <c r="J1956" s="164" t="s">
        <v>349</v>
      </c>
      <c r="K1956" s="164" t="s">
        <v>350</v>
      </c>
      <c r="L1956" s="165">
        <v>3</v>
      </c>
      <c r="M1956" s="165">
        <v>6</v>
      </c>
      <c r="N1956" s="164" t="s">
        <v>189</v>
      </c>
      <c r="O1956" s="165">
        <v>0</v>
      </c>
      <c r="P1956" s="165">
        <v>0</v>
      </c>
      <c r="Q1956" s="165">
        <v>21</v>
      </c>
      <c r="R1956" s="164" t="s">
        <v>200</v>
      </c>
      <c r="S1956" s="164" t="s">
        <v>201</v>
      </c>
      <c r="T1956" s="165">
        <v>455</v>
      </c>
      <c r="U1956" s="164" t="s">
        <v>200</v>
      </c>
      <c r="V1956" s="164" t="s">
        <v>345</v>
      </c>
      <c r="W1956" s="165">
        <v>1</v>
      </c>
      <c r="X1956" s="165">
        <v>4</v>
      </c>
      <c r="Y1956" s="164" t="s">
        <v>203</v>
      </c>
      <c r="Z1956" s="164" t="s">
        <v>195</v>
      </c>
      <c r="AA1956" s="164" t="s">
        <v>196</v>
      </c>
      <c r="AB1956" s="164" t="s">
        <v>187</v>
      </c>
      <c r="AC1956" s="164" t="s">
        <v>187</v>
      </c>
      <c r="AD1956" s="165">
        <v>1</v>
      </c>
      <c r="AE1956" s="164" t="s">
        <v>187</v>
      </c>
      <c r="AF1956" s="165">
        <v>30.471820000000001</v>
      </c>
      <c r="AG1956" s="166">
        <v>70.423439999999999</v>
      </c>
      <c r="AO1956" s="121"/>
      <c r="AT1956" s="111"/>
      <c r="AX1956" s="121"/>
    </row>
    <row r="1957" spans="1:50" s="110" customFormat="1" ht="20" customHeight="1">
      <c r="A1957" s="125" t="s">
        <v>231</v>
      </c>
      <c r="B1957" s="126" t="s">
        <v>66</v>
      </c>
      <c r="C1957" s="127">
        <v>21658</v>
      </c>
      <c r="D1957" s="167"/>
      <c r="E1957" s="164" t="s">
        <v>358</v>
      </c>
      <c r="F1957" s="164" t="s">
        <v>358</v>
      </c>
      <c r="G1957" s="165">
        <v>26000</v>
      </c>
      <c r="H1957" s="165">
        <v>1</v>
      </c>
      <c r="I1957" s="164" t="s">
        <v>187</v>
      </c>
      <c r="J1957" s="164" t="s">
        <v>349</v>
      </c>
      <c r="K1957" s="164" t="s">
        <v>350</v>
      </c>
      <c r="L1957" s="165">
        <v>3</v>
      </c>
      <c r="M1957" s="165">
        <v>6</v>
      </c>
      <c r="N1957" s="164" t="s">
        <v>189</v>
      </c>
      <c r="O1957" s="165">
        <v>0</v>
      </c>
      <c r="P1957" s="165">
        <v>0</v>
      </c>
      <c r="Q1957" s="165">
        <v>21</v>
      </c>
      <c r="R1957" s="164" t="s">
        <v>200</v>
      </c>
      <c r="S1957" s="164" t="s">
        <v>201</v>
      </c>
      <c r="T1957" s="165">
        <v>455</v>
      </c>
      <c r="U1957" s="164" t="s">
        <v>200</v>
      </c>
      <c r="V1957" s="164" t="s">
        <v>345</v>
      </c>
      <c r="W1957" s="165">
        <v>1</v>
      </c>
      <c r="X1957" s="165">
        <v>4</v>
      </c>
      <c r="Y1957" s="164" t="s">
        <v>203</v>
      </c>
      <c r="Z1957" s="164" t="s">
        <v>195</v>
      </c>
      <c r="AA1957" s="164" t="s">
        <v>196</v>
      </c>
      <c r="AB1957" s="164" t="s">
        <v>187</v>
      </c>
      <c r="AC1957" s="164" t="s">
        <v>187</v>
      </c>
      <c r="AD1957" s="165">
        <v>1</v>
      </c>
      <c r="AE1957" s="164" t="s">
        <v>187</v>
      </c>
      <c r="AF1957" s="165">
        <v>30.471820000000001</v>
      </c>
      <c r="AG1957" s="166">
        <v>70.423439999999999</v>
      </c>
      <c r="AO1957" s="121"/>
      <c r="AT1957" s="111"/>
      <c r="AX1957" s="121"/>
    </row>
    <row r="1958" spans="1:50" s="110" customFormat="1" ht="20" customHeight="1">
      <c r="A1958" s="125" t="s">
        <v>231</v>
      </c>
      <c r="B1958" s="126" t="s">
        <v>66</v>
      </c>
      <c r="C1958" s="127">
        <v>21668</v>
      </c>
      <c r="D1958" s="167"/>
      <c r="E1958" s="164" t="s">
        <v>386</v>
      </c>
      <c r="F1958" s="164" t="s">
        <v>386</v>
      </c>
      <c r="G1958" s="165">
        <v>25000</v>
      </c>
      <c r="H1958" s="165">
        <v>1</v>
      </c>
      <c r="I1958" s="164" t="s">
        <v>187</v>
      </c>
      <c r="J1958" s="164" t="s">
        <v>349</v>
      </c>
      <c r="K1958" s="164" t="s">
        <v>350</v>
      </c>
      <c r="L1958" s="165">
        <v>3</v>
      </c>
      <c r="M1958" s="165">
        <v>6</v>
      </c>
      <c r="N1958" s="164" t="s">
        <v>189</v>
      </c>
      <c r="O1958" s="165">
        <v>0</v>
      </c>
      <c r="P1958" s="165">
        <v>0</v>
      </c>
      <c r="Q1958" s="165">
        <v>21</v>
      </c>
      <c r="R1958" s="164" t="s">
        <v>200</v>
      </c>
      <c r="S1958" s="164" t="s">
        <v>201</v>
      </c>
      <c r="T1958" s="165">
        <v>455</v>
      </c>
      <c r="U1958" s="164" t="s">
        <v>200</v>
      </c>
      <c r="V1958" s="164" t="s">
        <v>345</v>
      </c>
      <c r="W1958" s="165">
        <v>1</v>
      </c>
      <c r="X1958" s="165">
        <v>4</v>
      </c>
      <c r="Y1958" s="164" t="s">
        <v>203</v>
      </c>
      <c r="Z1958" s="164" t="s">
        <v>195</v>
      </c>
      <c r="AA1958" s="164" t="s">
        <v>196</v>
      </c>
      <c r="AB1958" s="164" t="s">
        <v>187</v>
      </c>
      <c r="AC1958" s="164" t="s">
        <v>187</v>
      </c>
      <c r="AD1958" s="165">
        <v>1</v>
      </c>
      <c r="AE1958" s="164" t="s">
        <v>187</v>
      </c>
      <c r="AF1958" s="165">
        <v>29.830030000000001</v>
      </c>
      <c r="AG1958" s="166">
        <v>67.916300000000007</v>
      </c>
      <c r="AO1958" s="121"/>
      <c r="AT1958" s="111"/>
      <c r="AX1958" s="121"/>
    </row>
    <row r="1959" spans="1:50" s="110" customFormat="1" ht="20" customHeight="1">
      <c r="A1959" s="125" t="s">
        <v>231</v>
      </c>
      <c r="B1959" s="126" t="s">
        <v>66</v>
      </c>
      <c r="C1959" s="127">
        <v>21655</v>
      </c>
      <c r="D1959" s="167"/>
      <c r="E1959" s="164" t="s">
        <v>348</v>
      </c>
      <c r="F1959" s="164" t="s">
        <v>348</v>
      </c>
      <c r="G1959" s="165">
        <v>24000</v>
      </c>
      <c r="H1959" s="165">
        <v>1</v>
      </c>
      <c r="I1959" s="164" t="s">
        <v>187</v>
      </c>
      <c r="J1959" s="164" t="s">
        <v>349</v>
      </c>
      <c r="K1959" s="164" t="s">
        <v>350</v>
      </c>
      <c r="L1959" s="165">
        <v>3</v>
      </c>
      <c r="M1959" s="165">
        <v>6</v>
      </c>
      <c r="N1959" s="164" t="s">
        <v>189</v>
      </c>
      <c r="O1959" s="165">
        <v>0</v>
      </c>
      <c r="P1959" s="165">
        <v>0</v>
      </c>
      <c r="Q1959" s="165">
        <v>21</v>
      </c>
      <c r="R1959" s="164" t="s">
        <v>200</v>
      </c>
      <c r="S1959" s="164" t="s">
        <v>201</v>
      </c>
      <c r="T1959" s="165">
        <v>455</v>
      </c>
      <c r="U1959" s="164" t="s">
        <v>200</v>
      </c>
      <c r="V1959" s="164" t="s">
        <v>345</v>
      </c>
      <c r="W1959" s="165">
        <v>1</v>
      </c>
      <c r="X1959" s="165">
        <v>4</v>
      </c>
      <c r="Y1959" s="164" t="s">
        <v>203</v>
      </c>
      <c r="Z1959" s="164" t="s">
        <v>195</v>
      </c>
      <c r="AA1959" s="164" t="s">
        <v>196</v>
      </c>
      <c r="AB1959" s="164" t="s">
        <v>187</v>
      </c>
      <c r="AC1959" s="164" t="s">
        <v>187</v>
      </c>
      <c r="AD1959" s="165">
        <v>1</v>
      </c>
      <c r="AE1959" s="164" t="s">
        <v>187</v>
      </c>
      <c r="AF1959" s="165">
        <v>30.471820000000001</v>
      </c>
      <c r="AG1959" s="166">
        <v>70.423439999999999</v>
      </c>
      <c r="AO1959" s="121"/>
      <c r="AT1959" s="111"/>
      <c r="AX1959" s="121"/>
    </row>
    <row r="1960" spans="1:50" s="110" customFormat="1" ht="20" customHeight="1">
      <c r="A1960" s="125" t="s">
        <v>231</v>
      </c>
      <c r="B1960" s="126" t="s">
        <v>66</v>
      </c>
      <c r="C1960" s="127">
        <v>21663</v>
      </c>
      <c r="D1960" s="167"/>
      <c r="E1960" s="164" t="s">
        <v>377</v>
      </c>
      <c r="F1960" s="164" t="s">
        <v>377</v>
      </c>
      <c r="G1960" s="165">
        <v>23000</v>
      </c>
      <c r="H1960" s="165">
        <v>1</v>
      </c>
      <c r="I1960" s="164" t="s">
        <v>187</v>
      </c>
      <c r="J1960" s="164" t="s">
        <v>349</v>
      </c>
      <c r="K1960" s="164" t="s">
        <v>350</v>
      </c>
      <c r="L1960" s="165">
        <v>3</v>
      </c>
      <c r="M1960" s="165">
        <v>6</v>
      </c>
      <c r="N1960" s="164" t="s">
        <v>189</v>
      </c>
      <c r="O1960" s="165">
        <v>0</v>
      </c>
      <c r="P1960" s="165">
        <v>0</v>
      </c>
      <c r="Q1960" s="165">
        <v>21</v>
      </c>
      <c r="R1960" s="164" t="s">
        <v>200</v>
      </c>
      <c r="S1960" s="164" t="s">
        <v>201</v>
      </c>
      <c r="T1960" s="165">
        <v>455</v>
      </c>
      <c r="U1960" s="164" t="s">
        <v>200</v>
      </c>
      <c r="V1960" s="164" t="s">
        <v>345</v>
      </c>
      <c r="W1960" s="165">
        <v>1</v>
      </c>
      <c r="X1960" s="165">
        <v>4</v>
      </c>
      <c r="Y1960" s="164" t="s">
        <v>203</v>
      </c>
      <c r="Z1960" s="164" t="s">
        <v>195</v>
      </c>
      <c r="AA1960" s="164" t="s">
        <v>196</v>
      </c>
      <c r="AB1960" s="164" t="s">
        <v>187</v>
      </c>
      <c r="AC1960" s="164" t="s">
        <v>187</v>
      </c>
      <c r="AD1960" s="165">
        <v>1</v>
      </c>
      <c r="AE1960" s="164" t="s">
        <v>187</v>
      </c>
      <c r="AF1960" s="165">
        <v>32.680109999999999</v>
      </c>
      <c r="AG1960" s="166">
        <v>71.527389999999997</v>
      </c>
      <c r="AO1960" s="121"/>
      <c r="AT1960" s="111"/>
      <c r="AX1960" s="121"/>
    </row>
    <row r="1961" spans="1:50" s="110" customFormat="1" ht="20" customHeight="1">
      <c r="A1961" s="125" t="s">
        <v>231</v>
      </c>
      <c r="B1961" s="126" t="s">
        <v>66</v>
      </c>
      <c r="C1961" s="127">
        <v>21660</v>
      </c>
      <c r="D1961" s="167"/>
      <c r="E1961" s="164" t="s">
        <v>362</v>
      </c>
      <c r="F1961" s="164" t="s">
        <v>362</v>
      </c>
      <c r="G1961" s="165">
        <v>20000</v>
      </c>
      <c r="H1961" s="165">
        <v>1</v>
      </c>
      <c r="I1961" s="164" t="s">
        <v>187</v>
      </c>
      <c r="J1961" s="164" t="s">
        <v>349</v>
      </c>
      <c r="K1961" s="164" t="s">
        <v>350</v>
      </c>
      <c r="L1961" s="165">
        <v>3</v>
      </c>
      <c r="M1961" s="165">
        <v>6</v>
      </c>
      <c r="N1961" s="164" t="s">
        <v>189</v>
      </c>
      <c r="O1961" s="165">
        <v>0</v>
      </c>
      <c r="P1961" s="165">
        <v>0</v>
      </c>
      <c r="Q1961" s="165">
        <v>21</v>
      </c>
      <c r="R1961" s="164" t="s">
        <v>200</v>
      </c>
      <c r="S1961" s="164" t="s">
        <v>201</v>
      </c>
      <c r="T1961" s="165">
        <v>455</v>
      </c>
      <c r="U1961" s="164" t="s">
        <v>200</v>
      </c>
      <c r="V1961" s="164" t="s">
        <v>345</v>
      </c>
      <c r="W1961" s="165">
        <v>1</v>
      </c>
      <c r="X1961" s="165">
        <v>4</v>
      </c>
      <c r="Y1961" s="164" t="s">
        <v>203</v>
      </c>
      <c r="Z1961" s="164" t="s">
        <v>195</v>
      </c>
      <c r="AA1961" s="164" t="s">
        <v>196</v>
      </c>
      <c r="AB1961" s="164" t="s">
        <v>187</v>
      </c>
      <c r="AC1961" s="164" t="s">
        <v>187</v>
      </c>
      <c r="AD1961" s="165">
        <v>1</v>
      </c>
      <c r="AE1961" s="164" t="s">
        <v>187</v>
      </c>
      <c r="AF1961" s="165">
        <v>30.471820000000001</v>
      </c>
      <c r="AG1961" s="166">
        <v>70.423439999999999</v>
      </c>
      <c r="AO1961" s="121"/>
      <c r="AT1961" s="111"/>
      <c r="AX1961" s="121"/>
    </row>
    <row r="1962" spans="1:50" s="110" customFormat="1" ht="20" customHeight="1">
      <c r="A1962" s="125" t="s">
        <v>231</v>
      </c>
      <c r="B1962" s="126" t="s">
        <v>66</v>
      </c>
      <c r="C1962" s="127">
        <v>21664</v>
      </c>
      <c r="D1962" s="167"/>
      <c r="E1962" s="164" t="s">
        <v>378</v>
      </c>
      <c r="F1962" s="164" t="s">
        <v>378</v>
      </c>
      <c r="G1962" s="165">
        <v>17000</v>
      </c>
      <c r="H1962" s="165">
        <v>1</v>
      </c>
      <c r="I1962" s="164" t="s">
        <v>187</v>
      </c>
      <c r="J1962" s="164" t="s">
        <v>354</v>
      </c>
      <c r="K1962" s="164" t="s">
        <v>355</v>
      </c>
      <c r="L1962" s="165">
        <v>4</v>
      </c>
      <c r="M1962" s="165">
        <v>6</v>
      </c>
      <c r="N1962" s="164" t="s">
        <v>189</v>
      </c>
      <c r="O1962" s="165">
        <v>0</v>
      </c>
      <c r="P1962" s="165">
        <v>0</v>
      </c>
      <c r="Q1962" s="165">
        <v>21</v>
      </c>
      <c r="R1962" s="164" t="s">
        <v>200</v>
      </c>
      <c r="S1962" s="164" t="s">
        <v>201</v>
      </c>
      <c r="T1962" s="165">
        <v>455</v>
      </c>
      <c r="U1962" s="164" t="s">
        <v>200</v>
      </c>
      <c r="V1962" s="164" t="s">
        <v>345</v>
      </c>
      <c r="W1962" s="165">
        <v>1</v>
      </c>
      <c r="X1962" s="165">
        <v>4</v>
      </c>
      <c r="Y1962" s="164" t="s">
        <v>203</v>
      </c>
      <c r="Z1962" s="164" t="s">
        <v>195</v>
      </c>
      <c r="AA1962" s="164" t="s">
        <v>196</v>
      </c>
      <c r="AB1962" s="164" t="s">
        <v>187</v>
      </c>
      <c r="AC1962" s="164" t="s">
        <v>187</v>
      </c>
      <c r="AD1962" s="165">
        <v>1</v>
      </c>
      <c r="AE1962" s="164" t="s">
        <v>187</v>
      </c>
      <c r="AF1962" s="165">
        <v>30.07592</v>
      </c>
      <c r="AG1962" s="166">
        <v>71.009299999999996</v>
      </c>
      <c r="AO1962" s="121"/>
      <c r="AT1962" s="111"/>
      <c r="AX1962" s="121"/>
    </row>
    <row r="1963" spans="1:50" s="110" customFormat="1" ht="20" customHeight="1">
      <c r="A1963" s="125" t="s">
        <v>231</v>
      </c>
      <c r="B1963" s="126" t="s">
        <v>66</v>
      </c>
      <c r="C1963" s="127">
        <v>21670</v>
      </c>
      <c r="D1963" s="167"/>
      <c r="E1963" s="164" t="s">
        <v>391</v>
      </c>
      <c r="F1963" s="164" t="s">
        <v>391</v>
      </c>
      <c r="G1963" s="165">
        <v>14000</v>
      </c>
      <c r="H1963" s="165">
        <v>1</v>
      </c>
      <c r="I1963" s="164" t="s">
        <v>187</v>
      </c>
      <c r="J1963" s="164" t="s">
        <v>346</v>
      </c>
      <c r="K1963" s="164" t="s">
        <v>347</v>
      </c>
      <c r="L1963" s="165">
        <v>4</v>
      </c>
      <c r="M1963" s="165">
        <v>6</v>
      </c>
      <c r="N1963" s="164" t="s">
        <v>189</v>
      </c>
      <c r="O1963" s="165">
        <v>0</v>
      </c>
      <c r="P1963" s="165">
        <v>0</v>
      </c>
      <c r="Q1963" s="165">
        <v>21</v>
      </c>
      <c r="R1963" s="164" t="s">
        <v>200</v>
      </c>
      <c r="S1963" s="164" t="s">
        <v>201</v>
      </c>
      <c r="T1963" s="165">
        <v>455</v>
      </c>
      <c r="U1963" s="164" t="s">
        <v>200</v>
      </c>
      <c r="V1963" s="164" t="s">
        <v>345</v>
      </c>
      <c r="W1963" s="165">
        <v>1</v>
      </c>
      <c r="X1963" s="165">
        <v>4</v>
      </c>
      <c r="Y1963" s="164" t="s">
        <v>203</v>
      </c>
      <c r="Z1963" s="164" t="s">
        <v>195</v>
      </c>
      <c r="AA1963" s="164" t="s">
        <v>196</v>
      </c>
      <c r="AB1963" s="164" t="s">
        <v>187</v>
      </c>
      <c r="AC1963" s="164" t="s">
        <v>187</v>
      </c>
      <c r="AD1963" s="165">
        <v>1</v>
      </c>
      <c r="AE1963" s="164" t="s">
        <v>187</v>
      </c>
      <c r="AF1963" s="165">
        <v>29.4742</v>
      </c>
      <c r="AG1963" s="166">
        <v>65.665899999999993</v>
      </c>
      <c r="AO1963" s="121"/>
      <c r="AT1963" s="111"/>
      <c r="AX1963" s="121"/>
    </row>
    <row r="1964" spans="1:50" s="110" customFormat="1" ht="20" customHeight="1">
      <c r="A1964" s="125" t="s">
        <v>231</v>
      </c>
      <c r="B1964" s="126" t="s">
        <v>66</v>
      </c>
      <c r="C1964" s="127">
        <v>21621</v>
      </c>
      <c r="D1964" s="167"/>
      <c r="E1964" s="164" t="s">
        <v>375</v>
      </c>
      <c r="F1964" s="164" t="s">
        <v>375</v>
      </c>
      <c r="G1964" s="165">
        <v>1800</v>
      </c>
      <c r="H1964" s="165">
        <v>1</v>
      </c>
      <c r="I1964" s="164" t="s">
        <v>187</v>
      </c>
      <c r="J1964" s="164" t="s">
        <v>346</v>
      </c>
      <c r="K1964" s="164" t="s">
        <v>347</v>
      </c>
      <c r="L1964" s="165">
        <v>4</v>
      </c>
      <c r="M1964" s="165">
        <v>6</v>
      </c>
      <c r="N1964" s="164" t="s">
        <v>189</v>
      </c>
      <c r="O1964" s="165">
        <v>0</v>
      </c>
      <c r="P1964" s="165">
        <v>0</v>
      </c>
      <c r="Q1964" s="165">
        <v>21</v>
      </c>
      <c r="R1964" s="164" t="s">
        <v>200</v>
      </c>
      <c r="S1964" s="164" t="s">
        <v>201</v>
      </c>
      <c r="T1964" s="165">
        <v>455</v>
      </c>
      <c r="U1964" s="164" t="s">
        <v>200</v>
      </c>
      <c r="V1964" s="164" t="s">
        <v>345</v>
      </c>
      <c r="W1964" s="165">
        <v>1</v>
      </c>
      <c r="X1964" s="165">
        <v>4</v>
      </c>
      <c r="Y1964" s="164" t="s">
        <v>203</v>
      </c>
      <c r="Z1964" s="164" t="s">
        <v>195</v>
      </c>
      <c r="AA1964" s="164" t="s">
        <v>196</v>
      </c>
      <c r="AB1964" s="164" t="s">
        <v>187</v>
      </c>
      <c r="AC1964" s="164" t="s">
        <v>187</v>
      </c>
      <c r="AD1964" s="165">
        <v>1</v>
      </c>
      <c r="AE1964" s="164" t="s">
        <v>187</v>
      </c>
      <c r="AF1964" s="165">
        <v>27.556159999999998</v>
      </c>
      <c r="AG1964" s="166">
        <v>69.110069999999993</v>
      </c>
      <c r="AO1964" s="121"/>
      <c r="AT1964" s="111"/>
      <c r="AX1964" s="121"/>
    </row>
    <row r="1965" spans="1:50" s="110" customFormat="1" ht="20" customHeight="1">
      <c r="A1965" s="125" t="s">
        <v>224</v>
      </c>
      <c r="B1965" s="126" t="s">
        <v>68</v>
      </c>
      <c r="C1965" s="127">
        <v>11684</v>
      </c>
      <c r="D1965" s="163">
        <v>102830</v>
      </c>
      <c r="E1965" s="164" t="s">
        <v>345</v>
      </c>
      <c r="F1965" s="164" t="s">
        <v>345</v>
      </c>
      <c r="G1965" s="165">
        <v>900</v>
      </c>
      <c r="H1965" s="165">
        <v>1</v>
      </c>
      <c r="I1965" s="164" t="s">
        <v>187</v>
      </c>
      <c r="J1965" s="164" t="s">
        <v>216</v>
      </c>
      <c r="K1965" s="164" t="s">
        <v>217</v>
      </c>
      <c r="L1965" s="165">
        <v>5</v>
      </c>
      <c r="M1965" s="165">
        <v>6</v>
      </c>
      <c r="N1965" s="164" t="s">
        <v>189</v>
      </c>
      <c r="O1965" s="165">
        <v>0</v>
      </c>
      <c r="P1965" s="165">
        <v>0</v>
      </c>
      <c r="Q1965" s="165">
        <v>21</v>
      </c>
      <c r="R1965" s="164" t="s">
        <v>200</v>
      </c>
      <c r="S1965" s="164" t="s">
        <v>201</v>
      </c>
      <c r="T1965" s="165">
        <v>455</v>
      </c>
      <c r="U1965" s="164" t="s">
        <v>200</v>
      </c>
      <c r="V1965" s="164" t="s">
        <v>345</v>
      </c>
      <c r="W1965" s="165">
        <v>3</v>
      </c>
      <c r="X1965" s="165">
        <v>4</v>
      </c>
      <c r="Y1965" s="164" t="s">
        <v>203</v>
      </c>
      <c r="Z1965" s="164" t="s">
        <v>195</v>
      </c>
      <c r="AA1965" s="164" t="s">
        <v>196</v>
      </c>
      <c r="AB1965" s="164" t="s">
        <v>187</v>
      </c>
      <c r="AC1965" s="164" t="s">
        <v>187</v>
      </c>
      <c r="AD1965" s="165">
        <v>1</v>
      </c>
      <c r="AE1965" s="164" t="s">
        <v>187</v>
      </c>
      <c r="AF1965" s="165">
        <v>6.8681700000000001</v>
      </c>
      <c r="AG1965" s="166">
        <v>80.020849999999996</v>
      </c>
      <c r="AO1965" s="121"/>
      <c r="AT1965" s="111"/>
      <c r="AX1965" s="121"/>
    </row>
    <row r="1966" spans="1:50" s="110" customFormat="1" ht="20" customHeight="1">
      <c r="A1966" s="125" t="s">
        <v>185</v>
      </c>
      <c r="B1966" s="126" t="s">
        <v>59</v>
      </c>
      <c r="C1966" s="127">
        <v>10658</v>
      </c>
      <c r="D1966" s="163">
        <v>101002</v>
      </c>
      <c r="E1966" s="164" t="s">
        <v>404</v>
      </c>
      <c r="F1966" s="164" t="s">
        <v>404</v>
      </c>
      <c r="G1966" s="165">
        <v>4306000</v>
      </c>
      <c r="H1966" s="165">
        <v>1</v>
      </c>
      <c r="I1966" s="164" t="s">
        <v>187</v>
      </c>
      <c r="J1966" s="164" t="s">
        <v>405</v>
      </c>
      <c r="K1966" s="164" t="s">
        <v>404</v>
      </c>
      <c r="L1966" s="165">
        <v>3</v>
      </c>
      <c r="M1966" s="165">
        <v>6</v>
      </c>
      <c r="N1966" s="164" t="s">
        <v>189</v>
      </c>
      <c r="O1966" s="165">
        <v>6.0000000000000001E-3</v>
      </c>
      <c r="P1966" s="165">
        <v>2E-3</v>
      </c>
      <c r="Q1966" s="165">
        <v>17</v>
      </c>
      <c r="R1966" s="164" t="s">
        <v>190</v>
      </c>
      <c r="S1966" s="164" t="s">
        <v>191</v>
      </c>
      <c r="T1966" s="165">
        <v>131</v>
      </c>
      <c r="U1966" s="164" t="s">
        <v>406</v>
      </c>
      <c r="V1966" s="164" t="s">
        <v>407</v>
      </c>
      <c r="W1966" s="165">
        <v>2</v>
      </c>
      <c r="X1966" s="165">
        <v>2</v>
      </c>
      <c r="Y1966" s="164" t="s">
        <v>194</v>
      </c>
      <c r="Z1966" s="164" t="s">
        <v>195</v>
      </c>
      <c r="AA1966" s="164" t="s">
        <v>196</v>
      </c>
      <c r="AB1966" s="164" t="s">
        <v>187</v>
      </c>
      <c r="AC1966" s="164" t="s">
        <v>187</v>
      </c>
      <c r="AD1966" s="165">
        <v>86</v>
      </c>
      <c r="AE1966" s="164" t="s">
        <v>187</v>
      </c>
      <c r="AF1966" s="165">
        <v>-2.7580499999999999</v>
      </c>
      <c r="AG1966" s="166">
        <v>114.34815999999999</v>
      </c>
      <c r="AO1966" s="121"/>
      <c r="AT1966" s="111"/>
      <c r="AX1966" s="121"/>
    </row>
    <row r="1967" spans="1:50" s="110" customFormat="1" ht="20" customHeight="1">
      <c r="A1967" s="125" t="s">
        <v>185</v>
      </c>
      <c r="B1967" s="126" t="s">
        <v>59</v>
      </c>
      <c r="C1967" s="127">
        <v>13445</v>
      </c>
      <c r="D1967" s="163">
        <v>106159</v>
      </c>
      <c r="E1967" s="164" t="s">
        <v>964</v>
      </c>
      <c r="F1967" s="164" t="s">
        <v>964</v>
      </c>
      <c r="G1967" s="165">
        <v>234000</v>
      </c>
      <c r="H1967" s="165">
        <v>1</v>
      </c>
      <c r="I1967" s="164" t="s">
        <v>187</v>
      </c>
      <c r="J1967" s="164" t="s">
        <v>965</v>
      </c>
      <c r="K1967" s="164" t="s">
        <v>966</v>
      </c>
      <c r="L1967" s="165">
        <v>1</v>
      </c>
      <c r="M1967" s="165">
        <v>6</v>
      </c>
      <c r="N1967" s="164" t="s">
        <v>189</v>
      </c>
      <c r="O1967" s="165">
        <v>0.1</v>
      </c>
      <c r="P1967" s="165">
        <v>3.9E-2</v>
      </c>
      <c r="Q1967" s="165">
        <v>17</v>
      </c>
      <c r="R1967" s="164" t="s">
        <v>190</v>
      </c>
      <c r="S1967" s="164" t="s">
        <v>191</v>
      </c>
      <c r="T1967" s="165">
        <v>131</v>
      </c>
      <c r="U1967" s="164" t="s">
        <v>406</v>
      </c>
      <c r="V1967" s="164" t="s">
        <v>407</v>
      </c>
      <c r="W1967" s="165">
        <v>1</v>
      </c>
      <c r="X1967" s="165">
        <v>2</v>
      </c>
      <c r="Y1967" s="164" t="s">
        <v>194</v>
      </c>
      <c r="Z1967" s="164" t="s">
        <v>195</v>
      </c>
      <c r="AA1967" s="164" t="s">
        <v>196</v>
      </c>
      <c r="AB1967" s="164" t="s">
        <v>187</v>
      </c>
      <c r="AC1967" s="164" t="s">
        <v>187</v>
      </c>
      <c r="AD1967" s="165">
        <v>5</v>
      </c>
      <c r="AE1967" s="164" t="s">
        <v>187</v>
      </c>
      <c r="AF1967" s="165">
        <v>0.32262999999999997</v>
      </c>
      <c r="AG1967" s="166">
        <v>117.32275</v>
      </c>
      <c r="AO1967" s="121"/>
      <c r="AT1967" s="111"/>
      <c r="AX1967" s="121"/>
    </row>
    <row r="1968" spans="1:50" s="110" customFormat="1" ht="20" customHeight="1">
      <c r="A1968" s="125" t="s">
        <v>185</v>
      </c>
      <c r="B1968" s="126" t="s">
        <v>59</v>
      </c>
      <c r="C1968" s="127">
        <v>14329</v>
      </c>
      <c r="D1968" s="163">
        <v>115426</v>
      </c>
      <c r="E1968" s="164" t="s">
        <v>623</v>
      </c>
      <c r="F1968" s="164" t="s">
        <v>623</v>
      </c>
      <c r="G1968" s="165">
        <v>130000</v>
      </c>
      <c r="H1968" s="165">
        <v>1</v>
      </c>
      <c r="I1968" s="164" t="s">
        <v>187</v>
      </c>
      <c r="J1968" s="164" t="s">
        <v>621</v>
      </c>
      <c r="K1968" s="164" t="s">
        <v>622</v>
      </c>
      <c r="L1968" s="165">
        <v>1</v>
      </c>
      <c r="M1968" s="165">
        <v>6</v>
      </c>
      <c r="N1968" s="164" t="s">
        <v>189</v>
      </c>
      <c r="O1968" s="165">
        <v>5</v>
      </c>
      <c r="P1968" s="165">
        <v>0.03</v>
      </c>
      <c r="Q1968" s="165">
        <v>17</v>
      </c>
      <c r="R1968" s="164" t="s">
        <v>190</v>
      </c>
      <c r="S1968" s="164" t="s">
        <v>191</v>
      </c>
      <c r="T1968" s="165">
        <v>131</v>
      </c>
      <c r="U1968" s="164" t="s">
        <v>406</v>
      </c>
      <c r="V1968" s="164" t="s">
        <v>407</v>
      </c>
      <c r="W1968" s="165">
        <v>1</v>
      </c>
      <c r="X1968" s="165">
        <v>2</v>
      </c>
      <c r="Y1968" s="164" t="s">
        <v>194</v>
      </c>
      <c r="Z1968" s="164" t="s">
        <v>195</v>
      </c>
      <c r="AA1968" s="164" t="s">
        <v>196</v>
      </c>
      <c r="AB1968" s="164" t="s">
        <v>187</v>
      </c>
      <c r="AC1968" s="164" t="s">
        <v>187</v>
      </c>
      <c r="AD1968" s="165">
        <v>3</v>
      </c>
      <c r="AE1968" s="164" t="s">
        <v>209</v>
      </c>
      <c r="AF1968" s="165">
        <v>-1.18571986687834</v>
      </c>
      <c r="AG1968" s="166">
        <v>116.277408209721</v>
      </c>
      <c r="AO1968" s="121"/>
      <c r="AT1968" s="111"/>
      <c r="AX1968" s="121"/>
    </row>
    <row r="1969" spans="1:50" s="110" customFormat="1" ht="20" customHeight="1">
      <c r="A1969" s="125" t="s">
        <v>185</v>
      </c>
      <c r="B1969" s="126" t="s">
        <v>59</v>
      </c>
      <c r="C1969" s="127">
        <v>19646</v>
      </c>
      <c r="D1969" s="163">
        <v>107913</v>
      </c>
      <c r="E1969" s="164" t="s">
        <v>620</v>
      </c>
      <c r="F1969" s="164" t="s">
        <v>620</v>
      </c>
      <c r="G1969" s="165">
        <v>61000</v>
      </c>
      <c r="H1969" s="165">
        <v>1</v>
      </c>
      <c r="I1969" s="164" t="s">
        <v>187</v>
      </c>
      <c r="J1969" s="164" t="s">
        <v>621</v>
      </c>
      <c r="K1969" s="164" t="s">
        <v>622</v>
      </c>
      <c r="L1969" s="165">
        <v>1</v>
      </c>
      <c r="M1969" s="165">
        <v>6</v>
      </c>
      <c r="N1969" s="164" t="s">
        <v>189</v>
      </c>
      <c r="O1969" s="165">
        <v>3</v>
      </c>
      <c r="P1969" s="165">
        <v>1.5</v>
      </c>
      <c r="Q1969" s="165">
        <v>17</v>
      </c>
      <c r="R1969" s="164" t="s">
        <v>190</v>
      </c>
      <c r="S1969" s="164" t="s">
        <v>191</v>
      </c>
      <c r="T1969" s="165">
        <v>131</v>
      </c>
      <c r="U1969" s="164" t="s">
        <v>406</v>
      </c>
      <c r="V1969" s="164" t="s">
        <v>407</v>
      </c>
      <c r="W1969" s="165">
        <v>1</v>
      </c>
      <c r="X1969" s="165">
        <v>2</v>
      </c>
      <c r="Y1969" s="164" t="s">
        <v>194</v>
      </c>
      <c r="Z1969" s="164" t="s">
        <v>195</v>
      </c>
      <c r="AA1969" s="164" t="s">
        <v>196</v>
      </c>
      <c r="AB1969" s="164" t="s">
        <v>187</v>
      </c>
      <c r="AC1969" s="164" t="s">
        <v>187</v>
      </c>
      <c r="AD1969" s="165">
        <v>1</v>
      </c>
      <c r="AE1969" s="164" t="s">
        <v>209</v>
      </c>
      <c r="AF1969" s="165">
        <v>-1.9783978019170301</v>
      </c>
      <c r="AG1969" s="166">
        <v>115.572848515247</v>
      </c>
      <c r="AO1969" s="121"/>
      <c r="AT1969" s="111"/>
      <c r="AX1969" s="121"/>
    </row>
    <row r="1970" spans="1:50" s="110" customFormat="1" ht="20" customHeight="1">
      <c r="A1970" s="125" t="s">
        <v>185</v>
      </c>
      <c r="B1970" s="126" t="s">
        <v>59</v>
      </c>
      <c r="C1970" s="127">
        <v>13439</v>
      </c>
      <c r="D1970" s="163">
        <v>106151</v>
      </c>
      <c r="E1970" s="164" t="s">
        <v>472</v>
      </c>
      <c r="F1970" s="164" t="s">
        <v>472</v>
      </c>
      <c r="G1970" s="165">
        <v>22000</v>
      </c>
      <c r="H1970" s="165">
        <v>1</v>
      </c>
      <c r="I1970" s="164" t="s">
        <v>187</v>
      </c>
      <c r="J1970" s="164" t="s">
        <v>473</v>
      </c>
      <c r="K1970" s="164" t="s">
        <v>474</v>
      </c>
      <c r="L1970" s="165">
        <v>1</v>
      </c>
      <c r="M1970" s="165">
        <v>6</v>
      </c>
      <c r="N1970" s="164" t="s">
        <v>189</v>
      </c>
      <c r="O1970" s="165">
        <v>8.1000000000000003E-2</v>
      </c>
      <c r="P1970" s="165">
        <v>8.1000000000000003E-2</v>
      </c>
      <c r="Q1970" s="165">
        <v>17</v>
      </c>
      <c r="R1970" s="164" t="s">
        <v>190</v>
      </c>
      <c r="S1970" s="164" t="s">
        <v>191</v>
      </c>
      <c r="T1970" s="165">
        <v>131</v>
      </c>
      <c r="U1970" s="164" t="s">
        <v>406</v>
      </c>
      <c r="V1970" s="164" t="s">
        <v>407</v>
      </c>
      <c r="W1970" s="165">
        <v>1</v>
      </c>
      <c r="X1970" s="165">
        <v>2</v>
      </c>
      <c r="Y1970" s="164" t="s">
        <v>194</v>
      </c>
      <c r="Z1970" s="164" t="s">
        <v>195</v>
      </c>
      <c r="AA1970" s="164" t="s">
        <v>196</v>
      </c>
      <c r="AB1970" s="164" t="s">
        <v>187</v>
      </c>
      <c r="AC1970" s="164" t="s">
        <v>187</v>
      </c>
      <c r="AD1970" s="165">
        <v>1</v>
      </c>
      <c r="AE1970" s="164" t="s">
        <v>187</v>
      </c>
      <c r="AF1970" s="165">
        <v>1.8750100000000001</v>
      </c>
      <c r="AG1970" s="166">
        <v>117.80963</v>
      </c>
      <c r="AO1970" s="121"/>
      <c r="AT1970" s="111"/>
      <c r="AX1970" s="121"/>
    </row>
    <row r="1971" spans="1:50" s="110" customFormat="1" ht="20" customHeight="1">
      <c r="A1971" s="125" t="s">
        <v>185</v>
      </c>
      <c r="B1971" s="126" t="s">
        <v>59</v>
      </c>
      <c r="C1971" s="127">
        <v>13446</v>
      </c>
      <c r="D1971" s="145">
        <v>106165</v>
      </c>
      <c r="E1971" s="146" t="s">
        <v>624</v>
      </c>
      <c r="F1971" s="146" t="s">
        <v>624</v>
      </c>
      <c r="G1971" s="147">
        <v>697000</v>
      </c>
      <c r="H1971" s="147">
        <v>4</v>
      </c>
      <c r="I1971" s="146" t="s">
        <v>209</v>
      </c>
      <c r="J1971" s="146" t="s">
        <v>625</v>
      </c>
      <c r="K1971" s="146" t="s">
        <v>626</v>
      </c>
      <c r="L1971" s="147">
        <v>3</v>
      </c>
      <c r="M1971" s="147">
        <v>6</v>
      </c>
      <c r="N1971" s="146" t="s">
        <v>189</v>
      </c>
      <c r="O1971" s="147">
        <v>20</v>
      </c>
      <c r="P1971" s="147">
        <v>5</v>
      </c>
      <c r="Q1971" s="147">
        <v>17</v>
      </c>
      <c r="R1971" s="146" t="s">
        <v>190</v>
      </c>
      <c r="S1971" s="146" t="s">
        <v>191</v>
      </c>
      <c r="T1971" s="147">
        <v>131</v>
      </c>
      <c r="U1971" s="146" t="s">
        <v>406</v>
      </c>
      <c r="V1971" s="146" t="s">
        <v>407</v>
      </c>
      <c r="W1971" s="147">
        <v>1</v>
      </c>
      <c r="X1971" s="147">
        <v>2</v>
      </c>
      <c r="Y1971" s="146" t="s">
        <v>194</v>
      </c>
      <c r="Z1971" s="146" t="s">
        <v>195</v>
      </c>
      <c r="AA1971" s="146" t="s">
        <v>196</v>
      </c>
      <c r="AB1971" s="146" t="s">
        <v>187</v>
      </c>
      <c r="AC1971" s="146" t="s">
        <v>187</v>
      </c>
      <c r="AD1971" s="148"/>
      <c r="AE1971" s="146" t="s">
        <v>209</v>
      </c>
      <c r="AF1971" s="147">
        <v>-1.64107</v>
      </c>
      <c r="AG1971" s="149">
        <v>111.62779999999999</v>
      </c>
      <c r="AO1971" s="121"/>
      <c r="AT1971" s="111"/>
      <c r="AX1971" s="121"/>
    </row>
    <row r="1972" spans="1:50" s="110" customFormat="1" ht="20" customHeight="1">
      <c r="A1972" s="125" t="s">
        <v>237</v>
      </c>
      <c r="B1972" s="126" t="s">
        <v>60</v>
      </c>
      <c r="C1972" s="127">
        <v>10658</v>
      </c>
      <c r="D1972" s="163">
        <v>101002</v>
      </c>
      <c r="E1972" s="164" t="s">
        <v>404</v>
      </c>
      <c r="F1972" s="164" t="s">
        <v>411</v>
      </c>
      <c r="G1972" s="165">
        <v>26000</v>
      </c>
      <c r="H1972" s="165">
        <v>1</v>
      </c>
      <c r="I1972" s="164" t="s">
        <v>187</v>
      </c>
      <c r="J1972" s="164" t="s">
        <v>210</v>
      </c>
      <c r="K1972" s="164" t="s">
        <v>211</v>
      </c>
      <c r="L1972" s="165">
        <v>5</v>
      </c>
      <c r="M1972" s="165">
        <v>6</v>
      </c>
      <c r="N1972" s="164" t="s">
        <v>189</v>
      </c>
      <c r="O1972" s="165">
        <v>0</v>
      </c>
      <c r="P1972" s="165">
        <v>0</v>
      </c>
      <c r="Q1972" s="165">
        <v>17</v>
      </c>
      <c r="R1972" s="164" t="s">
        <v>190</v>
      </c>
      <c r="S1972" s="164" t="s">
        <v>191</v>
      </c>
      <c r="T1972" s="165">
        <v>131</v>
      </c>
      <c r="U1972" s="164" t="s">
        <v>406</v>
      </c>
      <c r="V1972" s="164" t="s">
        <v>407</v>
      </c>
      <c r="W1972" s="165">
        <v>2</v>
      </c>
      <c r="X1972" s="165">
        <v>2</v>
      </c>
      <c r="Y1972" s="164" t="s">
        <v>194</v>
      </c>
      <c r="Z1972" s="164" t="s">
        <v>195</v>
      </c>
      <c r="AA1972" s="164" t="s">
        <v>196</v>
      </c>
      <c r="AB1972" s="164" t="s">
        <v>187</v>
      </c>
      <c r="AC1972" s="164" t="s">
        <v>209</v>
      </c>
      <c r="AD1972" s="165">
        <v>1</v>
      </c>
      <c r="AE1972" s="164" t="s">
        <v>187</v>
      </c>
      <c r="AF1972" s="165">
        <v>5.6536900000000001</v>
      </c>
      <c r="AG1972" s="166">
        <v>116.95346000000001</v>
      </c>
      <c r="AO1972" s="121"/>
      <c r="AT1972" s="111"/>
      <c r="AX1972" s="121"/>
    </row>
    <row r="1973" spans="1:50" s="110" customFormat="1" ht="20" customHeight="1">
      <c r="A1973" s="125" t="s">
        <v>185</v>
      </c>
      <c r="B1973" s="126" t="s">
        <v>59</v>
      </c>
      <c r="C1973" s="127">
        <v>10597</v>
      </c>
      <c r="D1973" s="163">
        <v>100828</v>
      </c>
      <c r="E1973" s="164" t="s">
        <v>338</v>
      </c>
      <c r="F1973" s="164" t="s">
        <v>338</v>
      </c>
      <c r="G1973" s="165">
        <v>163000</v>
      </c>
      <c r="H1973" s="165">
        <v>1</v>
      </c>
      <c r="I1973" s="164" t="s">
        <v>187</v>
      </c>
      <c r="J1973" s="164" t="s">
        <v>339</v>
      </c>
      <c r="K1973" s="164" t="s">
        <v>338</v>
      </c>
      <c r="L1973" s="165">
        <v>0</v>
      </c>
      <c r="M1973" s="165">
        <v>6</v>
      </c>
      <c r="N1973" s="164" t="s">
        <v>189</v>
      </c>
      <c r="O1973" s="165">
        <v>2</v>
      </c>
      <c r="P1973" s="165">
        <v>2.8000000000000001E-2</v>
      </c>
      <c r="Q1973" s="165">
        <v>17</v>
      </c>
      <c r="R1973" s="164" t="s">
        <v>190</v>
      </c>
      <c r="S1973" s="164" t="s">
        <v>191</v>
      </c>
      <c r="T1973" s="165">
        <v>133</v>
      </c>
      <c r="U1973" s="164" t="s">
        <v>340</v>
      </c>
      <c r="V1973" s="164" t="s">
        <v>341</v>
      </c>
      <c r="W1973" s="165">
        <v>1</v>
      </c>
      <c r="X1973" s="165">
        <v>2</v>
      </c>
      <c r="Y1973" s="164" t="s">
        <v>194</v>
      </c>
      <c r="Z1973" s="164" t="s">
        <v>195</v>
      </c>
      <c r="AA1973" s="164" t="s">
        <v>196</v>
      </c>
      <c r="AB1973" s="164" t="s">
        <v>187</v>
      </c>
      <c r="AC1973" s="164" t="s">
        <v>187</v>
      </c>
      <c r="AD1973" s="165">
        <v>3</v>
      </c>
      <c r="AE1973" s="164" t="s">
        <v>209</v>
      </c>
      <c r="AF1973" s="165">
        <v>-1.6144799999999999</v>
      </c>
      <c r="AG1973" s="166">
        <v>114.79103000000001</v>
      </c>
      <c r="AO1973" s="121"/>
      <c r="AT1973" s="111"/>
      <c r="AX1973" s="121"/>
    </row>
    <row r="1974" spans="1:50" s="110" customFormat="1" ht="20" customHeight="1">
      <c r="A1974" s="125" t="s">
        <v>185</v>
      </c>
      <c r="B1974" s="126" t="s">
        <v>59</v>
      </c>
      <c r="C1974" s="127">
        <v>10721</v>
      </c>
      <c r="D1974" s="163">
        <v>101126</v>
      </c>
      <c r="E1974" s="164" t="s">
        <v>1100</v>
      </c>
      <c r="F1974" s="164" t="s">
        <v>1100</v>
      </c>
      <c r="G1974" s="165">
        <v>1233000</v>
      </c>
      <c r="H1974" s="165">
        <v>1</v>
      </c>
      <c r="I1974" s="164" t="s">
        <v>187</v>
      </c>
      <c r="J1974" s="164" t="s">
        <v>1101</v>
      </c>
      <c r="K1974" s="164" t="s">
        <v>1102</v>
      </c>
      <c r="L1974" s="165">
        <v>2</v>
      </c>
      <c r="M1974" s="165">
        <v>6</v>
      </c>
      <c r="N1974" s="164" t="s">
        <v>189</v>
      </c>
      <c r="O1974" s="165">
        <v>8.8999999999999996E-2</v>
      </c>
      <c r="P1974" s="165">
        <v>8.8999999999999996E-2</v>
      </c>
      <c r="Q1974" s="165">
        <v>17</v>
      </c>
      <c r="R1974" s="164" t="s">
        <v>190</v>
      </c>
      <c r="S1974" s="164" t="s">
        <v>191</v>
      </c>
      <c r="T1974" s="165">
        <v>135</v>
      </c>
      <c r="U1974" s="164" t="s">
        <v>432</v>
      </c>
      <c r="V1974" s="164" t="s">
        <v>433</v>
      </c>
      <c r="W1974" s="165">
        <v>2</v>
      </c>
      <c r="X1974" s="165">
        <v>2</v>
      </c>
      <c r="Y1974" s="164" t="s">
        <v>194</v>
      </c>
      <c r="Z1974" s="164" t="s">
        <v>195</v>
      </c>
      <c r="AA1974" s="164" t="s">
        <v>196</v>
      </c>
      <c r="AB1974" s="164" t="s">
        <v>187</v>
      </c>
      <c r="AC1974" s="164" t="s">
        <v>187</v>
      </c>
      <c r="AD1974" s="165">
        <v>25</v>
      </c>
      <c r="AE1974" s="164" t="s">
        <v>187</v>
      </c>
      <c r="AF1974" s="165">
        <v>1.1126400000000001</v>
      </c>
      <c r="AG1974" s="166">
        <v>99.963040000000007</v>
      </c>
      <c r="AO1974" s="121"/>
      <c r="AT1974" s="111"/>
      <c r="AX1974" s="121"/>
    </row>
    <row r="1975" spans="1:50" s="110" customFormat="1" ht="20" customHeight="1">
      <c r="A1975" s="125" t="s">
        <v>185</v>
      </c>
      <c r="B1975" s="126" t="s">
        <v>59</v>
      </c>
      <c r="C1975" s="127">
        <v>14171</v>
      </c>
      <c r="D1975" s="163">
        <v>108996</v>
      </c>
      <c r="E1975" s="164" t="s">
        <v>1373</v>
      </c>
      <c r="F1975" s="164" t="s">
        <v>1373</v>
      </c>
      <c r="G1975" s="165">
        <v>28000</v>
      </c>
      <c r="H1975" s="165">
        <v>1</v>
      </c>
      <c r="I1975" s="164" t="s">
        <v>187</v>
      </c>
      <c r="J1975" s="164" t="s">
        <v>1374</v>
      </c>
      <c r="K1975" s="164" t="s">
        <v>1373</v>
      </c>
      <c r="L1975" s="165">
        <v>1</v>
      </c>
      <c r="M1975" s="165">
        <v>6</v>
      </c>
      <c r="N1975" s="164" t="s">
        <v>189</v>
      </c>
      <c r="O1975" s="165">
        <v>0</v>
      </c>
      <c r="P1975" s="165">
        <v>0</v>
      </c>
      <c r="Q1975" s="165">
        <v>17</v>
      </c>
      <c r="R1975" s="164" t="s">
        <v>190</v>
      </c>
      <c r="S1975" s="164" t="s">
        <v>191</v>
      </c>
      <c r="T1975" s="165">
        <v>135</v>
      </c>
      <c r="U1975" s="164" t="s">
        <v>432</v>
      </c>
      <c r="V1975" s="164" t="s">
        <v>433</v>
      </c>
      <c r="W1975" s="165">
        <v>1</v>
      </c>
      <c r="X1975" s="165">
        <v>2</v>
      </c>
      <c r="Y1975" s="164" t="s">
        <v>194</v>
      </c>
      <c r="Z1975" s="164" t="s">
        <v>195</v>
      </c>
      <c r="AA1975" s="164" t="s">
        <v>196</v>
      </c>
      <c r="AB1975" s="164" t="s">
        <v>187</v>
      </c>
      <c r="AC1975" s="164" t="s">
        <v>187</v>
      </c>
      <c r="AD1975" s="165">
        <v>1</v>
      </c>
      <c r="AE1975" s="164" t="s">
        <v>187</v>
      </c>
      <c r="AF1975" s="165">
        <v>2.68567</v>
      </c>
      <c r="AG1975" s="166">
        <v>95.956360000000004</v>
      </c>
      <c r="AO1975" s="121"/>
      <c r="AT1975" s="111"/>
      <c r="AX1975" s="121"/>
    </row>
    <row r="1976" spans="1:50" s="110" customFormat="1" ht="20" customHeight="1">
      <c r="A1976" s="125" t="s">
        <v>185</v>
      </c>
      <c r="B1976" s="126" t="s">
        <v>59</v>
      </c>
      <c r="C1976" s="127">
        <v>21466</v>
      </c>
      <c r="D1976" s="163">
        <v>118278</v>
      </c>
      <c r="E1976" s="164" t="s">
        <v>1174</v>
      </c>
      <c r="F1976" s="164" t="s">
        <v>1174</v>
      </c>
      <c r="G1976" s="165">
        <v>20000</v>
      </c>
      <c r="H1976" s="165">
        <v>1</v>
      </c>
      <c r="I1976" s="164" t="s">
        <v>187</v>
      </c>
      <c r="J1976" s="164" t="s">
        <v>1175</v>
      </c>
      <c r="K1976" s="164" t="s">
        <v>1176</v>
      </c>
      <c r="L1976" s="165">
        <v>5</v>
      </c>
      <c r="M1976" s="165">
        <v>6</v>
      </c>
      <c r="N1976" s="164" t="s">
        <v>189</v>
      </c>
      <c r="O1976" s="165">
        <v>0</v>
      </c>
      <c r="P1976" s="165">
        <v>0</v>
      </c>
      <c r="Q1976" s="165">
        <v>17</v>
      </c>
      <c r="R1976" s="164" t="s">
        <v>190</v>
      </c>
      <c r="S1976" s="164" t="s">
        <v>191</v>
      </c>
      <c r="T1976" s="165">
        <v>135</v>
      </c>
      <c r="U1976" s="164" t="s">
        <v>432</v>
      </c>
      <c r="V1976" s="164" t="s">
        <v>433</v>
      </c>
      <c r="W1976" s="165">
        <v>1</v>
      </c>
      <c r="X1976" s="165">
        <v>2</v>
      </c>
      <c r="Y1976" s="164" t="s">
        <v>194</v>
      </c>
      <c r="Z1976" s="164" t="s">
        <v>195</v>
      </c>
      <c r="AA1976" s="164" t="s">
        <v>196</v>
      </c>
      <c r="AB1976" s="164" t="s">
        <v>187</v>
      </c>
      <c r="AC1976" s="164" t="s">
        <v>187</v>
      </c>
      <c r="AD1976" s="165">
        <v>1</v>
      </c>
      <c r="AE1976" s="164" t="s">
        <v>187</v>
      </c>
      <c r="AF1976" s="165">
        <v>2.4565739999999998</v>
      </c>
      <c r="AG1976" s="166">
        <v>97.994788999999997</v>
      </c>
      <c r="AO1976" s="121"/>
      <c r="AT1976" s="111"/>
      <c r="AX1976" s="121"/>
    </row>
    <row r="1977" spans="1:50" s="110" customFormat="1" ht="20" customHeight="1">
      <c r="A1977" s="125" t="s">
        <v>185</v>
      </c>
      <c r="B1977" s="126" t="s">
        <v>59</v>
      </c>
      <c r="C1977" s="127">
        <v>10718</v>
      </c>
      <c r="D1977" s="145">
        <v>101123</v>
      </c>
      <c r="E1977" s="146" t="s">
        <v>430</v>
      </c>
      <c r="F1977" s="146" t="s">
        <v>430</v>
      </c>
      <c r="G1977" s="147">
        <v>1207000</v>
      </c>
      <c r="H1977" s="147">
        <v>4</v>
      </c>
      <c r="I1977" s="146" t="s">
        <v>209</v>
      </c>
      <c r="J1977" s="146" t="s">
        <v>431</v>
      </c>
      <c r="K1977" s="146" t="s">
        <v>430</v>
      </c>
      <c r="L1977" s="147">
        <v>5</v>
      </c>
      <c r="M1977" s="147">
        <v>6</v>
      </c>
      <c r="N1977" s="146" t="s">
        <v>189</v>
      </c>
      <c r="O1977" s="147">
        <v>10</v>
      </c>
      <c r="P1977" s="147">
        <v>4.7190000000000003</v>
      </c>
      <c r="Q1977" s="147">
        <v>17</v>
      </c>
      <c r="R1977" s="146" t="s">
        <v>190</v>
      </c>
      <c r="S1977" s="146" t="s">
        <v>191</v>
      </c>
      <c r="T1977" s="147">
        <v>135</v>
      </c>
      <c r="U1977" s="146" t="s">
        <v>432</v>
      </c>
      <c r="V1977" s="146" t="s">
        <v>433</v>
      </c>
      <c r="W1977" s="147">
        <v>1</v>
      </c>
      <c r="X1977" s="147">
        <v>2</v>
      </c>
      <c r="Y1977" s="146" t="s">
        <v>194</v>
      </c>
      <c r="Z1977" s="146" t="s">
        <v>195</v>
      </c>
      <c r="AA1977" s="146" t="s">
        <v>196</v>
      </c>
      <c r="AB1977" s="146" t="s">
        <v>187</v>
      </c>
      <c r="AC1977" s="146" t="s">
        <v>187</v>
      </c>
      <c r="AD1977" s="148"/>
      <c r="AE1977" s="146" t="s">
        <v>209</v>
      </c>
      <c r="AF1977" s="147">
        <v>1.72376</v>
      </c>
      <c r="AG1977" s="149">
        <v>99.644300000000001</v>
      </c>
      <c r="AO1977" s="121"/>
      <c r="AT1977" s="111"/>
      <c r="AX1977" s="121"/>
    </row>
    <row r="1978" spans="1:50" s="110" customFormat="1" ht="20" customHeight="1">
      <c r="A1978" s="125" t="s">
        <v>237</v>
      </c>
      <c r="B1978" s="126" t="s">
        <v>60</v>
      </c>
      <c r="C1978" s="127">
        <v>10721</v>
      </c>
      <c r="D1978" s="163">
        <v>101126</v>
      </c>
      <c r="E1978" s="164" t="s">
        <v>1100</v>
      </c>
      <c r="F1978" s="164" t="s">
        <v>1100</v>
      </c>
      <c r="G1978" s="165">
        <v>31000</v>
      </c>
      <c r="H1978" s="165">
        <v>1</v>
      </c>
      <c r="I1978" s="164" t="s">
        <v>187</v>
      </c>
      <c r="J1978" s="164" t="s">
        <v>1101</v>
      </c>
      <c r="K1978" s="164" t="s">
        <v>1102</v>
      </c>
      <c r="L1978" s="165">
        <v>2</v>
      </c>
      <c r="M1978" s="165">
        <v>6</v>
      </c>
      <c r="N1978" s="164" t="s">
        <v>189</v>
      </c>
      <c r="O1978" s="165">
        <v>0</v>
      </c>
      <c r="P1978" s="165">
        <v>0</v>
      </c>
      <c r="Q1978" s="165">
        <v>17</v>
      </c>
      <c r="R1978" s="164" t="s">
        <v>190</v>
      </c>
      <c r="S1978" s="164" t="s">
        <v>191</v>
      </c>
      <c r="T1978" s="165">
        <v>135</v>
      </c>
      <c r="U1978" s="164" t="s">
        <v>432</v>
      </c>
      <c r="V1978" s="164" t="s">
        <v>433</v>
      </c>
      <c r="W1978" s="165">
        <v>2</v>
      </c>
      <c r="X1978" s="165">
        <v>2</v>
      </c>
      <c r="Y1978" s="164" t="s">
        <v>194</v>
      </c>
      <c r="Z1978" s="164" t="s">
        <v>195</v>
      </c>
      <c r="AA1978" s="164" t="s">
        <v>196</v>
      </c>
      <c r="AB1978" s="164" t="s">
        <v>187</v>
      </c>
      <c r="AC1978" s="164" t="s">
        <v>209</v>
      </c>
      <c r="AD1978" s="165">
        <v>1</v>
      </c>
      <c r="AE1978" s="164" t="s">
        <v>187</v>
      </c>
      <c r="AF1978" s="165">
        <v>3.062783</v>
      </c>
      <c r="AG1978" s="166">
        <v>101.586975</v>
      </c>
      <c r="AO1978" s="121"/>
      <c r="AT1978" s="111"/>
      <c r="AX1978" s="121"/>
    </row>
    <row r="1979" spans="1:50" s="110" customFormat="1" ht="20" customHeight="1">
      <c r="A1979" s="125" t="s">
        <v>370</v>
      </c>
      <c r="B1979" s="126" t="s">
        <v>58</v>
      </c>
      <c r="C1979" s="127">
        <v>11393</v>
      </c>
      <c r="D1979" s="163">
        <v>102242</v>
      </c>
      <c r="E1979" s="164" t="s">
        <v>669</v>
      </c>
      <c r="F1979" s="164" t="s">
        <v>669</v>
      </c>
      <c r="G1979" s="165">
        <v>30000</v>
      </c>
      <c r="H1979" s="165">
        <v>1</v>
      </c>
      <c r="I1979" s="164" t="s">
        <v>187</v>
      </c>
      <c r="J1979" s="164" t="s">
        <v>544</v>
      </c>
      <c r="K1979" s="164" t="s">
        <v>58</v>
      </c>
      <c r="L1979" s="165">
        <v>1</v>
      </c>
      <c r="M1979" s="165">
        <v>6</v>
      </c>
      <c r="N1979" s="164" t="s">
        <v>189</v>
      </c>
      <c r="O1979" s="165">
        <v>2.5</v>
      </c>
      <c r="P1979" s="165">
        <v>1.9</v>
      </c>
      <c r="Q1979" s="165">
        <v>17</v>
      </c>
      <c r="R1979" s="164" t="s">
        <v>190</v>
      </c>
      <c r="S1979" s="164" t="s">
        <v>191</v>
      </c>
      <c r="T1979" s="165">
        <v>155</v>
      </c>
      <c r="U1979" s="164" t="s">
        <v>192</v>
      </c>
      <c r="V1979" s="164" t="s">
        <v>193</v>
      </c>
      <c r="W1979" s="165">
        <v>2</v>
      </c>
      <c r="X1979" s="165">
        <v>2</v>
      </c>
      <c r="Y1979" s="164" t="s">
        <v>194</v>
      </c>
      <c r="Z1979" s="164" t="s">
        <v>195</v>
      </c>
      <c r="AA1979" s="164" t="s">
        <v>196</v>
      </c>
      <c r="AB1979" s="164" t="s">
        <v>187</v>
      </c>
      <c r="AC1979" s="164" t="s">
        <v>187</v>
      </c>
      <c r="AD1979" s="165">
        <v>1</v>
      </c>
      <c r="AE1979" s="164" t="s">
        <v>209</v>
      </c>
      <c r="AF1979" s="165">
        <v>4.8123450957495502</v>
      </c>
      <c r="AG1979" s="166">
        <v>114.695975212086</v>
      </c>
      <c r="AO1979" s="121"/>
      <c r="AT1979" s="111"/>
      <c r="AX1979" s="121"/>
    </row>
    <row r="1980" spans="1:50" s="110" customFormat="1" ht="20" customHeight="1">
      <c r="A1980" s="125" t="s">
        <v>370</v>
      </c>
      <c r="B1980" s="126" t="s">
        <v>58</v>
      </c>
      <c r="C1980" s="127">
        <v>10772</v>
      </c>
      <c r="D1980" s="163">
        <v>101219</v>
      </c>
      <c r="E1980" s="164" t="s">
        <v>454</v>
      </c>
      <c r="F1980" s="164" t="s">
        <v>454</v>
      </c>
      <c r="G1980" s="165">
        <v>1200</v>
      </c>
      <c r="H1980" s="165">
        <v>1</v>
      </c>
      <c r="I1980" s="164" t="s">
        <v>187</v>
      </c>
      <c r="J1980" s="164" t="s">
        <v>455</v>
      </c>
      <c r="K1980" s="164" t="s">
        <v>456</v>
      </c>
      <c r="L1980" s="165">
        <v>0</v>
      </c>
      <c r="M1980" s="165">
        <v>6</v>
      </c>
      <c r="N1980" s="164" t="s">
        <v>189</v>
      </c>
      <c r="O1980" s="165">
        <v>0.2</v>
      </c>
      <c r="P1980" s="165">
        <v>0.15</v>
      </c>
      <c r="Q1980" s="165">
        <v>17</v>
      </c>
      <c r="R1980" s="164" t="s">
        <v>190</v>
      </c>
      <c r="S1980" s="164" t="s">
        <v>191</v>
      </c>
      <c r="T1980" s="165">
        <v>155</v>
      </c>
      <c r="U1980" s="164" t="s">
        <v>192</v>
      </c>
      <c r="V1980" s="164" t="s">
        <v>193</v>
      </c>
      <c r="W1980" s="165">
        <v>2</v>
      </c>
      <c r="X1980" s="165">
        <v>2</v>
      </c>
      <c r="Y1980" s="164" t="s">
        <v>194</v>
      </c>
      <c r="Z1980" s="164" t="s">
        <v>195</v>
      </c>
      <c r="AA1980" s="164" t="s">
        <v>196</v>
      </c>
      <c r="AB1980" s="164" t="s">
        <v>187</v>
      </c>
      <c r="AC1980" s="164" t="s">
        <v>187</v>
      </c>
      <c r="AD1980" s="165">
        <v>1</v>
      </c>
      <c r="AE1980" s="164" t="s">
        <v>209</v>
      </c>
      <c r="AF1980" s="165">
        <v>4.4012399999999996</v>
      </c>
      <c r="AG1980" s="166">
        <v>114.46383</v>
      </c>
      <c r="AO1980" s="121"/>
      <c r="AT1980" s="111"/>
      <c r="AX1980" s="121"/>
    </row>
    <row r="1981" spans="1:50" s="110" customFormat="1" ht="20" customHeight="1">
      <c r="A1981" s="125" t="s">
        <v>370</v>
      </c>
      <c r="B1981" s="126" t="s">
        <v>58</v>
      </c>
      <c r="C1981" s="127">
        <v>13666</v>
      </c>
      <c r="D1981" s="163">
        <v>106531</v>
      </c>
      <c r="E1981" s="164" t="s">
        <v>1122</v>
      </c>
      <c r="F1981" s="164" t="s">
        <v>1122</v>
      </c>
      <c r="G1981" s="165">
        <v>500</v>
      </c>
      <c r="H1981" s="165">
        <v>1</v>
      </c>
      <c r="I1981" s="164" t="s">
        <v>187</v>
      </c>
      <c r="J1981" s="164" t="s">
        <v>1123</v>
      </c>
      <c r="K1981" s="164" t="s">
        <v>1124</v>
      </c>
      <c r="L1981" s="165">
        <v>3</v>
      </c>
      <c r="M1981" s="165">
        <v>6</v>
      </c>
      <c r="N1981" s="164" t="s">
        <v>189</v>
      </c>
      <c r="O1981" s="165">
        <v>4</v>
      </c>
      <c r="P1981" s="165">
        <v>2</v>
      </c>
      <c r="Q1981" s="165">
        <v>17</v>
      </c>
      <c r="R1981" s="164" t="s">
        <v>190</v>
      </c>
      <c r="S1981" s="164" t="s">
        <v>191</v>
      </c>
      <c r="T1981" s="165">
        <v>155</v>
      </c>
      <c r="U1981" s="164" t="s">
        <v>192</v>
      </c>
      <c r="V1981" s="164" t="s">
        <v>193</v>
      </c>
      <c r="W1981" s="165">
        <v>2</v>
      </c>
      <c r="X1981" s="165">
        <v>2</v>
      </c>
      <c r="Y1981" s="164" t="s">
        <v>194</v>
      </c>
      <c r="Z1981" s="164" t="s">
        <v>195</v>
      </c>
      <c r="AA1981" s="164" t="s">
        <v>196</v>
      </c>
      <c r="AB1981" s="164" t="s">
        <v>187</v>
      </c>
      <c r="AC1981" s="164" t="s">
        <v>209</v>
      </c>
      <c r="AD1981" s="165">
        <v>1</v>
      </c>
      <c r="AE1981" s="164" t="s">
        <v>209</v>
      </c>
      <c r="AF1981" s="165">
        <v>4.5815260000000002</v>
      </c>
      <c r="AG1981" s="166">
        <v>114.220688</v>
      </c>
      <c r="AO1981" s="121"/>
      <c r="AT1981" s="111"/>
      <c r="AX1981" s="121"/>
    </row>
    <row r="1982" spans="1:50" s="110" customFormat="1" ht="20" customHeight="1">
      <c r="A1982" s="125" t="s">
        <v>370</v>
      </c>
      <c r="B1982" s="126" t="s">
        <v>58</v>
      </c>
      <c r="C1982" s="127">
        <v>15662</v>
      </c>
      <c r="D1982" s="145">
        <v>110324</v>
      </c>
      <c r="E1982" s="146" t="s">
        <v>1477</v>
      </c>
      <c r="F1982" s="146" t="s">
        <v>1477</v>
      </c>
      <c r="G1982" s="147">
        <v>44000</v>
      </c>
      <c r="H1982" s="147">
        <v>4</v>
      </c>
      <c r="I1982" s="146" t="s">
        <v>209</v>
      </c>
      <c r="J1982" s="146" t="s">
        <v>1478</v>
      </c>
      <c r="K1982" s="146" t="s">
        <v>1479</v>
      </c>
      <c r="L1982" s="147">
        <v>3</v>
      </c>
      <c r="M1982" s="147">
        <v>6</v>
      </c>
      <c r="N1982" s="146" t="s">
        <v>189</v>
      </c>
      <c r="O1982" s="147">
        <v>8.5</v>
      </c>
      <c r="P1982" s="147">
        <v>8.423</v>
      </c>
      <c r="Q1982" s="147">
        <v>17</v>
      </c>
      <c r="R1982" s="146" t="s">
        <v>190</v>
      </c>
      <c r="S1982" s="146" t="s">
        <v>191</v>
      </c>
      <c r="T1982" s="147">
        <v>155</v>
      </c>
      <c r="U1982" s="146" t="s">
        <v>192</v>
      </c>
      <c r="V1982" s="146" t="s">
        <v>193</v>
      </c>
      <c r="W1982" s="147">
        <v>2</v>
      </c>
      <c r="X1982" s="147">
        <v>2</v>
      </c>
      <c r="Y1982" s="146" t="s">
        <v>194</v>
      </c>
      <c r="Z1982" s="146" t="s">
        <v>195</v>
      </c>
      <c r="AA1982" s="146" t="s">
        <v>196</v>
      </c>
      <c r="AB1982" s="146" t="s">
        <v>187</v>
      </c>
      <c r="AC1982" s="146" t="s">
        <v>187</v>
      </c>
      <c r="AD1982" s="148"/>
      <c r="AE1982" s="146" t="s">
        <v>209</v>
      </c>
      <c r="AF1982" s="147">
        <v>4.5784600003287297</v>
      </c>
      <c r="AG1982" s="149">
        <v>114.73114999957301</v>
      </c>
      <c r="AO1982" s="121"/>
      <c r="AT1982" s="111"/>
      <c r="AX1982" s="121"/>
    </row>
    <row r="1983" spans="1:50" s="110" customFormat="1" ht="20" customHeight="1">
      <c r="A1983" s="125" t="s">
        <v>370</v>
      </c>
      <c r="B1983" s="126" t="s">
        <v>58</v>
      </c>
      <c r="C1983" s="127">
        <v>15665</v>
      </c>
      <c r="D1983" s="145">
        <v>110327</v>
      </c>
      <c r="E1983" s="146" t="s">
        <v>1480</v>
      </c>
      <c r="F1983" s="146" t="s">
        <v>1480</v>
      </c>
      <c r="G1983" s="147">
        <v>20000</v>
      </c>
      <c r="H1983" s="147">
        <v>4</v>
      </c>
      <c r="I1983" s="146" t="s">
        <v>209</v>
      </c>
      <c r="J1983" s="146" t="s">
        <v>1481</v>
      </c>
      <c r="K1983" s="146" t="s">
        <v>1482</v>
      </c>
      <c r="L1983" s="147">
        <v>1</v>
      </c>
      <c r="M1983" s="147">
        <v>6</v>
      </c>
      <c r="N1983" s="146" t="s">
        <v>189</v>
      </c>
      <c r="O1983" s="147">
        <v>5</v>
      </c>
      <c r="P1983" s="147">
        <v>4</v>
      </c>
      <c r="Q1983" s="147">
        <v>17</v>
      </c>
      <c r="R1983" s="146" t="s">
        <v>190</v>
      </c>
      <c r="S1983" s="146" t="s">
        <v>191</v>
      </c>
      <c r="T1983" s="147">
        <v>155</v>
      </c>
      <c r="U1983" s="146" t="s">
        <v>192</v>
      </c>
      <c r="V1983" s="146" t="s">
        <v>193</v>
      </c>
      <c r="W1983" s="147">
        <v>1</v>
      </c>
      <c r="X1983" s="147">
        <v>2</v>
      </c>
      <c r="Y1983" s="146" t="s">
        <v>194</v>
      </c>
      <c r="Z1983" s="146" t="s">
        <v>195</v>
      </c>
      <c r="AA1983" s="146" t="s">
        <v>196</v>
      </c>
      <c r="AB1983" s="146" t="s">
        <v>187</v>
      </c>
      <c r="AC1983" s="146" t="s">
        <v>187</v>
      </c>
      <c r="AD1983" s="148"/>
      <c r="AE1983" s="146" t="s">
        <v>209</v>
      </c>
      <c r="AF1983" s="147">
        <v>4.7304300000000001</v>
      </c>
      <c r="AG1983" s="149">
        <v>114.65553</v>
      </c>
      <c r="AO1983" s="121"/>
      <c r="AT1983" s="111"/>
      <c r="AX1983" s="121"/>
    </row>
    <row r="1984" spans="1:50" s="110" customFormat="1" ht="20" customHeight="1">
      <c r="A1984" s="125" t="s">
        <v>185</v>
      </c>
      <c r="B1984" s="126" t="s">
        <v>59</v>
      </c>
      <c r="C1984" s="127">
        <v>14723</v>
      </c>
      <c r="D1984" s="163">
        <v>108641</v>
      </c>
      <c r="E1984" s="164" t="s">
        <v>1331</v>
      </c>
      <c r="F1984" s="164" t="s">
        <v>1331</v>
      </c>
      <c r="G1984" s="165">
        <v>112000</v>
      </c>
      <c r="H1984" s="165">
        <v>1</v>
      </c>
      <c r="I1984" s="164" t="s">
        <v>187</v>
      </c>
      <c r="J1984" s="164" t="s">
        <v>1332</v>
      </c>
      <c r="K1984" s="164" t="s">
        <v>1333</v>
      </c>
      <c r="L1984" s="165">
        <v>2</v>
      </c>
      <c r="M1984" s="165">
        <v>6</v>
      </c>
      <c r="N1984" s="164" t="s">
        <v>189</v>
      </c>
      <c r="O1984" s="165">
        <v>5</v>
      </c>
      <c r="P1984" s="165">
        <v>3.0000000000000001E-3</v>
      </c>
      <c r="Q1984" s="165">
        <v>17</v>
      </c>
      <c r="R1984" s="164" t="s">
        <v>190</v>
      </c>
      <c r="S1984" s="164" t="s">
        <v>191</v>
      </c>
      <c r="T1984" s="165">
        <v>155</v>
      </c>
      <c r="U1984" s="164" t="s">
        <v>192</v>
      </c>
      <c r="V1984" s="164" t="s">
        <v>193</v>
      </c>
      <c r="W1984" s="165">
        <v>1</v>
      </c>
      <c r="X1984" s="165">
        <v>2</v>
      </c>
      <c r="Y1984" s="164" t="s">
        <v>194</v>
      </c>
      <c r="Z1984" s="164" t="s">
        <v>195</v>
      </c>
      <c r="AA1984" s="164" t="s">
        <v>196</v>
      </c>
      <c r="AB1984" s="164" t="s">
        <v>187</v>
      </c>
      <c r="AC1984" s="164" t="s">
        <v>187</v>
      </c>
      <c r="AD1984" s="165">
        <v>2</v>
      </c>
      <c r="AE1984" s="164" t="s">
        <v>209</v>
      </c>
      <c r="AF1984" s="165">
        <v>-0.11982</v>
      </c>
      <c r="AG1984" s="166">
        <v>110.22329999999999</v>
      </c>
      <c r="AO1984" s="121"/>
      <c r="AT1984" s="111"/>
      <c r="AX1984" s="121"/>
    </row>
    <row r="1985" spans="1:50" s="110" customFormat="1" ht="20" customHeight="1">
      <c r="A1985" s="125" t="s">
        <v>185</v>
      </c>
      <c r="B1985" s="126" t="s">
        <v>59</v>
      </c>
      <c r="C1985" s="127">
        <v>11623</v>
      </c>
      <c r="D1985" s="163">
        <v>102737</v>
      </c>
      <c r="E1985" s="164" t="s">
        <v>663</v>
      </c>
      <c r="F1985" s="164" t="s">
        <v>663</v>
      </c>
      <c r="G1985" s="165">
        <v>20000</v>
      </c>
      <c r="H1985" s="165">
        <v>1</v>
      </c>
      <c r="I1985" s="164" t="s">
        <v>187</v>
      </c>
      <c r="J1985" s="164" t="s">
        <v>664</v>
      </c>
      <c r="K1985" s="164" t="s">
        <v>663</v>
      </c>
      <c r="L1985" s="165">
        <v>1</v>
      </c>
      <c r="M1985" s="165">
        <v>6</v>
      </c>
      <c r="N1985" s="164" t="s">
        <v>189</v>
      </c>
      <c r="O1985" s="165">
        <v>0</v>
      </c>
      <c r="P1985" s="165">
        <v>0</v>
      </c>
      <c r="Q1985" s="165">
        <v>17</v>
      </c>
      <c r="R1985" s="164" t="s">
        <v>190</v>
      </c>
      <c r="S1985" s="164" t="s">
        <v>191</v>
      </c>
      <c r="T1985" s="165">
        <v>155</v>
      </c>
      <c r="U1985" s="164" t="s">
        <v>192</v>
      </c>
      <c r="V1985" s="164" t="s">
        <v>193</v>
      </c>
      <c r="W1985" s="165">
        <v>2</v>
      </c>
      <c r="X1985" s="165">
        <v>2</v>
      </c>
      <c r="Y1985" s="164" t="s">
        <v>194</v>
      </c>
      <c r="Z1985" s="164" t="s">
        <v>195</v>
      </c>
      <c r="AA1985" s="164" t="s">
        <v>196</v>
      </c>
      <c r="AB1985" s="164" t="s">
        <v>187</v>
      </c>
      <c r="AC1985" s="164" t="s">
        <v>187</v>
      </c>
      <c r="AD1985" s="165">
        <v>1</v>
      </c>
      <c r="AE1985" s="164" t="s">
        <v>187</v>
      </c>
      <c r="AF1985" s="165">
        <v>-0.16955000000000001</v>
      </c>
      <c r="AG1985" s="166">
        <v>103.44726</v>
      </c>
      <c r="AO1985" s="121"/>
      <c r="AT1985" s="111"/>
      <c r="AX1985" s="121"/>
    </row>
    <row r="1986" spans="1:50" s="110" customFormat="1" ht="20" customHeight="1">
      <c r="A1986" s="125" t="s">
        <v>185</v>
      </c>
      <c r="B1986" s="126" t="s">
        <v>59</v>
      </c>
      <c r="C1986" s="127">
        <v>19169</v>
      </c>
      <c r="D1986" s="157">
        <v>115257</v>
      </c>
      <c r="E1986" s="158" t="s">
        <v>1033</v>
      </c>
      <c r="F1986" s="158" t="s">
        <v>1033</v>
      </c>
      <c r="G1986" s="159">
        <v>12000</v>
      </c>
      <c r="H1986" s="159">
        <v>2</v>
      </c>
      <c r="I1986" s="158" t="s">
        <v>209</v>
      </c>
      <c r="J1986" s="158" t="s">
        <v>1034</v>
      </c>
      <c r="K1986" s="158" t="s">
        <v>1033</v>
      </c>
      <c r="L1986" s="159">
        <v>1</v>
      </c>
      <c r="M1986" s="159">
        <v>6</v>
      </c>
      <c r="N1986" s="158" t="s">
        <v>189</v>
      </c>
      <c r="O1986" s="159">
        <v>15</v>
      </c>
      <c r="P1986" s="159">
        <v>0</v>
      </c>
      <c r="Q1986" s="159">
        <v>17</v>
      </c>
      <c r="R1986" s="158" t="s">
        <v>190</v>
      </c>
      <c r="S1986" s="158" t="s">
        <v>191</v>
      </c>
      <c r="T1986" s="159">
        <v>155</v>
      </c>
      <c r="U1986" s="158" t="s">
        <v>192</v>
      </c>
      <c r="V1986" s="158" t="s">
        <v>193</v>
      </c>
      <c r="W1986" s="159">
        <v>1</v>
      </c>
      <c r="X1986" s="159">
        <v>2</v>
      </c>
      <c r="Y1986" s="158" t="s">
        <v>194</v>
      </c>
      <c r="Z1986" s="158" t="s">
        <v>195</v>
      </c>
      <c r="AA1986" s="158" t="s">
        <v>196</v>
      </c>
      <c r="AB1986" s="158" t="s">
        <v>187</v>
      </c>
      <c r="AC1986" s="158" t="s">
        <v>187</v>
      </c>
      <c r="AD1986" s="160"/>
      <c r="AE1986" s="158" t="s">
        <v>209</v>
      </c>
      <c r="AF1986" s="159">
        <v>0.56608999999999998</v>
      </c>
      <c r="AG1986" s="161">
        <v>128.46512999999999</v>
      </c>
      <c r="AO1986" s="121"/>
      <c r="AT1986" s="111"/>
      <c r="AX1986" s="121"/>
    </row>
    <row r="1987" spans="1:50" s="110" customFormat="1" ht="20" customHeight="1">
      <c r="A1987" s="125" t="s">
        <v>237</v>
      </c>
      <c r="B1987" s="126" t="s">
        <v>60</v>
      </c>
      <c r="C1987" s="127">
        <v>10876</v>
      </c>
      <c r="D1987" s="163">
        <v>101489</v>
      </c>
      <c r="E1987" s="164" t="s">
        <v>511</v>
      </c>
      <c r="F1987" s="164" t="s">
        <v>511</v>
      </c>
      <c r="G1987" s="165">
        <v>72000</v>
      </c>
      <c r="H1987" s="165">
        <v>1</v>
      </c>
      <c r="I1987" s="164" t="s">
        <v>187</v>
      </c>
      <c r="J1987" s="164" t="s">
        <v>512</v>
      </c>
      <c r="K1987" s="164" t="s">
        <v>511</v>
      </c>
      <c r="L1987" s="165">
        <v>3</v>
      </c>
      <c r="M1987" s="165">
        <v>6</v>
      </c>
      <c r="N1987" s="164" t="s">
        <v>189</v>
      </c>
      <c r="O1987" s="165">
        <v>0</v>
      </c>
      <c r="P1987" s="165">
        <v>0</v>
      </c>
      <c r="Q1987" s="165">
        <v>17</v>
      </c>
      <c r="R1987" s="164" t="s">
        <v>190</v>
      </c>
      <c r="S1987" s="164" t="s">
        <v>191</v>
      </c>
      <c r="T1987" s="165">
        <v>155</v>
      </c>
      <c r="U1987" s="164" t="s">
        <v>192</v>
      </c>
      <c r="V1987" s="164" t="s">
        <v>193</v>
      </c>
      <c r="W1987" s="165">
        <v>2</v>
      </c>
      <c r="X1987" s="165">
        <v>2</v>
      </c>
      <c r="Y1987" s="164" t="s">
        <v>194</v>
      </c>
      <c r="Z1987" s="164" t="s">
        <v>195</v>
      </c>
      <c r="AA1987" s="164" t="s">
        <v>196</v>
      </c>
      <c r="AB1987" s="164" t="s">
        <v>187</v>
      </c>
      <c r="AC1987" s="164" t="s">
        <v>187</v>
      </c>
      <c r="AD1987" s="165">
        <v>1</v>
      </c>
      <c r="AE1987" s="164" t="s">
        <v>187</v>
      </c>
      <c r="AF1987" s="165">
        <v>5.3199800000000002</v>
      </c>
      <c r="AG1987" s="166">
        <v>115.55119999999999</v>
      </c>
      <c r="AO1987" s="121"/>
      <c r="AT1987" s="111"/>
      <c r="AX1987" s="121"/>
    </row>
    <row r="1988" spans="1:50" s="110" customFormat="1" ht="20" customHeight="1">
      <c r="A1988" s="125" t="s">
        <v>237</v>
      </c>
      <c r="B1988" s="126" t="s">
        <v>60</v>
      </c>
      <c r="C1988" s="127">
        <v>11623</v>
      </c>
      <c r="D1988" s="163">
        <v>102737</v>
      </c>
      <c r="E1988" s="164" t="s">
        <v>663</v>
      </c>
      <c r="F1988" s="164" t="s">
        <v>665</v>
      </c>
      <c r="G1988" s="165">
        <v>4900</v>
      </c>
      <c r="H1988" s="165">
        <v>1</v>
      </c>
      <c r="I1988" s="164" t="s">
        <v>187</v>
      </c>
      <c r="J1988" s="164" t="s">
        <v>664</v>
      </c>
      <c r="K1988" s="164" t="s">
        <v>663</v>
      </c>
      <c r="L1988" s="165">
        <v>1</v>
      </c>
      <c r="M1988" s="165">
        <v>6</v>
      </c>
      <c r="N1988" s="164" t="s">
        <v>189</v>
      </c>
      <c r="O1988" s="165">
        <v>0</v>
      </c>
      <c r="P1988" s="165">
        <v>0</v>
      </c>
      <c r="Q1988" s="165">
        <v>17</v>
      </c>
      <c r="R1988" s="164" t="s">
        <v>190</v>
      </c>
      <c r="S1988" s="164" t="s">
        <v>191</v>
      </c>
      <c r="T1988" s="165">
        <v>155</v>
      </c>
      <c r="U1988" s="164" t="s">
        <v>192</v>
      </c>
      <c r="V1988" s="164" t="s">
        <v>193</v>
      </c>
      <c r="W1988" s="165">
        <v>2</v>
      </c>
      <c r="X1988" s="165">
        <v>2</v>
      </c>
      <c r="Y1988" s="164" t="s">
        <v>194</v>
      </c>
      <c r="Z1988" s="164" t="s">
        <v>195</v>
      </c>
      <c r="AA1988" s="164" t="s">
        <v>196</v>
      </c>
      <c r="AB1988" s="164" t="s">
        <v>187</v>
      </c>
      <c r="AC1988" s="164" t="s">
        <v>187</v>
      </c>
      <c r="AD1988" s="165">
        <v>1</v>
      </c>
      <c r="AE1988" s="164" t="s">
        <v>187</v>
      </c>
      <c r="AF1988" s="165">
        <v>1.7501100000000001</v>
      </c>
      <c r="AG1988" s="166">
        <v>103.12090000000001</v>
      </c>
      <c r="AO1988" s="121"/>
      <c r="AT1988" s="111"/>
      <c r="AX1988" s="121"/>
    </row>
    <row r="1989" spans="1:50" s="110" customFormat="1" ht="20" customHeight="1">
      <c r="A1989" s="125" t="s">
        <v>237</v>
      </c>
      <c r="B1989" s="126" t="s">
        <v>60</v>
      </c>
      <c r="C1989" s="127">
        <v>13244</v>
      </c>
      <c r="D1989" s="163">
        <v>107101</v>
      </c>
      <c r="E1989" s="164" t="s">
        <v>1157</v>
      </c>
      <c r="F1989" s="164" t="s">
        <v>1157</v>
      </c>
      <c r="G1989" s="165">
        <v>4300</v>
      </c>
      <c r="H1989" s="165">
        <v>1</v>
      </c>
      <c r="I1989" s="164" t="s">
        <v>187</v>
      </c>
      <c r="J1989" s="164" t="s">
        <v>1158</v>
      </c>
      <c r="K1989" s="164" t="s">
        <v>1157</v>
      </c>
      <c r="L1989" s="165">
        <v>1</v>
      </c>
      <c r="M1989" s="165">
        <v>6</v>
      </c>
      <c r="N1989" s="164" t="s">
        <v>189</v>
      </c>
      <c r="O1989" s="165">
        <v>4</v>
      </c>
      <c r="P1989" s="165">
        <v>0.2</v>
      </c>
      <c r="Q1989" s="165">
        <v>17</v>
      </c>
      <c r="R1989" s="164" t="s">
        <v>190</v>
      </c>
      <c r="S1989" s="164" t="s">
        <v>191</v>
      </c>
      <c r="T1989" s="165">
        <v>155</v>
      </c>
      <c r="U1989" s="164" t="s">
        <v>192</v>
      </c>
      <c r="V1989" s="164" t="s">
        <v>193</v>
      </c>
      <c r="W1989" s="165">
        <v>1</v>
      </c>
      <c r="X1989" s="165">
        <v>2</v>
      </c>
      <c r="Y1989" s="164" t="s">
        <v>194</v>
      </c>
      <c r="Z1989" s="164" t="s">
        <v>195</v>
      </c>
      <c r="AA1989" s="164" t="s">
        <v>196</v>
      </c>
      <c r="AB1989" s="164" t="s">
        <v>187</v>
      </c>
      <c r="AC1989" s="164" t="s">
        <v>187</v>
      </c>
      <c r="AD1989" s="165">
        <v>1</v>
      </c>
      <c r="AE1989" s="164" t="s">
        <v>209</v>
      </c>
      <c r="AF1989" s="165">
        <v>4.4154600000000004</v>
      </c>
      <c r="AG1989" s="166">
        <v>114.02252</v>
      </c>
      <c r="AO1989" s="121"/>
      <c r="AT1989" s="111"/>
      <c r="AX1989" s="121"/>
    </row>
    <row r="1990" spans="1:50" s="110" customFormat="1" ht="20" customHeight="1">
      <c r="A1990" s="125" t="s">
        <v>237</v>
      </c>
      <c r="B1990" s="126" t="s">
        <v>60</v>
      </c>
      <c r="C1990" s="127">
        <v>10120</v>
      </c>
      <c r="D1990" s="163">
        <v>100005</v>
      </c>
      <c r="E1990" s="164" t="s">
        <v>186</v>
      </c>
      <c r="F1990" s="164" t="s">
        <v>186</v>
      </c>
      <c r="G1990" s="165">
        <v>1400</v>
      </c>
      <c r="H1990" s="165">
        <v>1</v>
      </c>
      <c r="I1990" s="164" t="s">
        <v>187</v>
      </c>
      <c r="J1990" s="164" t="s">
        <v>188</v>
      </c>
      <c r="K1990" s="164" t="s">
        <v>186</v>
      </c>
      <c r="L1990" s="165">
        <v>0</v>
      </c>
      <c r="M1990" s="165">
        <v>6</v>
      </c>
      <c r="N1990" s="164" t="s">
        <v>189</v>
      </c>
      <c r="O1990" s="165">
        <v>0</v>
      </c>
      <c r="P1990" s="165">
        <v>0</v>
      </c>
      <c r="Q1990" s="165">
        <v>17</v>
      </c>
      <c r="R1990" s="164" t="s">
        <v>190</v>
      </c>
      <c r="S1990" s="164" t="s">
        <v>191</v>
      </c>
      <c r="T1990" s="165">
        <v>155</v>
      </c>
      <c r="U1990" s="164" t="s">
        <v>192</v>
      </c>
      <c r="V1990" s="164" t="s">
        <v>193</v>
      </c>
      <c r="W1990" s="165">
        <v>1</v>
      </c>
      <c r="X1990" s="165">
        <v>2</v>
      </c>
      <c r="Y1990" s="164" t="s">
        <v>194</v>
      </c>
      <c r="Z1990" s="164" t="s">
        <v>195</v>
      </c>
      <c r="AA1990" s="164" t="s">
        <v>196</v>
      </c>
      <c r="AB1990" s="164" t="s">
        <v>187</v>
      </c>
      <c r="AC1990" s="164" t="s">
        <v>187</v>
      </c>
      <c r="AD1990" s="165">
        <v>1</v>
      </c>
      <c r="AE1990" s="164" t="s">
        <v>187</v>
      </c>
      <c r="AF1990" s="165">
        <v>5.6835300000000002</v>
      </c>
      <c r="AG1990" s="166">
        <v>118.3747</v>
      </c>
      <c r="AO1990" s="121"/>
      <c r="AT1990" s="111"/>
      <c r="AX1990" s="121"/>
    </row>
    <row r="1991" spans="1:50" s="110" customFormat="1" ht="20" customHeight="1">
      <c r="A1991" s="125" t="s">
        <v>237</v>
      </c>
      <c r="B1991" s="126" t="s">
        <v>60</v>
      </c>
      <c r="C1991" s="127">
        <v>14939</v>
      </c>
      <c r="D1991" s="163">
        <v>108989</v>
      </c>
      <c r="E1991" s="164" t="s">
        <v>1369</v>
      </c>
      <c r="F1991" s="164" t="s">
        <v>1369</v>
      </c>
      <c r="G1991" s="165">
        <v>1100</v>
      </c>
      <c r="H1991" s="165">
        <v>1</v>
      </c>
      <c r="I1991" s="164" t="s">
        <v>187</v>
      </c>
      <c r="J1991" s="164" t="s">
        <v>1370</v>
      </c>
      <c r="K1991" s="164" t="s">
        <v>1371</v>
      </c>
      <c r="L1991" s="165">
        <v>0</v>
      </c>
      <c r="M1991" s="165">
        <v>6</v>
      </c>
      <c r="N1991" s="164" t="s">
        <v>189</v>
      </c>
      <c r="O1991" s="165">
        <v>3</v>
      </c>
      <c r="P1991" s="165">
        <v>1</v>
      </c>
      <c r="Q1991" s="165">
        <v>17</v>
      </c>
      <c r="R1991" s="164" t="s">
        <v>190</v>
      </c>
      <c r="S1991" s="164" t="s">
        <v>191</v>
      </c>
      <c r="T1991" s="165">
        <v>155</v>
      </c>
      <c r="U1991" s="164" t="s">
        <v>192</v>
      </c>
      <c r="V1991" s="164" t="s">
        <v>193</v>
      </c>
      <c r="W1991" s="165">
        <v>1</v>
      </c>
      <c r="X1991" s="165">
        <v>2</v>
      </c>
      <c r="Y1991" s="164" t="s">
        <v>194</v>
      </c>
      <c r="Z1991" s="164" t="s">
        <v>195</v>
      </c>
      <c r="AA1991" s="164" t="s">
        <v>196</v>
      </c>
      <c r="AB1991" s="164" t="s">
        <v>187</v>
      </c>
      <c r="AC1991" s="164" t="s">
        <v>187</v>
      </c>
      <c r="AD1991" s="165">
        <v>1</v>
      </c>
      <c r="AE1991" s="164" t="s">
        <v>209</v>
      </c>
      <c r="AF1991" s="165">
        <v>2.2747299999999999</v>
      </c>
      <c r="AG1991" s="166">
        <v>111.72708</v>
      </c>
      <c r="AO1991" s="121"/>
      <c r="AT1991" s="111"/>
      <c r="AX1991" s="121"/>
    </row>
    <row r="1992" spans="1:50" s="110" customFormat="1" ht="20" customHeight="1">
      <c r="A1992" s="125" t="s">
        <v>237</v>
      </c>
      <c r="B1992" s="126" t="s">
        <v>60</v>
      </c>
      <c r="C1992" s="127">
        <v>10772</v>
      </c>
      <c r="D1992" s="163">
        <v>101219</v>
      </c>
      <c r="E1992" s="164" t="s">
        <v>454</v>
      </c>
      <c r="F1992" s="164" t="s">
        <v>454</v>
      </c>
      <c r="G1992" s="165">
        <v>500</v>
      </c>
      <c r="H1992" s="165">
        <v>1</v>
      </c>
      <c r="I1992" s="164" t="s">
        <v>187</v>
      </c>
      <c r="J1992" s="164" t="s">
        <v>455</v>
      </c>
      <c r="K1992" s="164" t="s">
        <v>456</v>
      </c>
      <c r="L1992" s="165">
        <v>0</v>
      </c>
      <c r="M1992" s="165">
        <v>6</v>
      </c>
      <c r="N1992" s="164" t="s">
        <v>189</v>
      </c>
      <c r="O1992" s="165">
        <v>0</v>
      </c>
      <c r="P1992" s="165">
        <v>0</v>
      </c>
      <c r="Q1992" s="165">
        <v>17</v>
      </c>
      <c r="R1992" s="164" t="s">
        <v>190</v>
      </c>
      <c r="S1992" s="164" t="s">
        <v>191</v>
      </c>
      <c r="T1992" s="165">
        <v>155</v>
      </c>
      <c r="U1992" s="164" t="s">
        <v>192</v>
      </c>
      <c r="V1992" s="164" t="s">
        <v>193</v>
      </c>
      <c r="W1992" s="165">
        <v>2</v>
      </c>
      <c r="X1992" s="165">
        <v>2</v>
      </c>
      <c r="Y1992" s="164" t="s">
        <v>194</v>
      </c>
      <c r="Z1992" s="164" t="s">
        <v>195</v>
      </c>
      <c r="AA1992" s="164" t="s">
        <v>196</v>
      </c>
      <c r="AB1992" s="164" t="s">
        <v>187</v>
      </c>
      <c r="AC1992" s="164" t="s">
        <v>209</v>
      </c>
      <c r="AD1992" s="165">
        <v>1</v>
      </c>
      <c r="AE1992" s="164" t="s">
        <v>187</v>
      </c>
      <c r="AF1992" s="165">
        <v>4.2179200000000003</v>
      </c>
      <c r="AG1992" s="166">
        <v>114.42263</v>
      </c>
      <c r="AO1992" s="121"/>
      <c r="AT1992" s="111"/>
      <c r="AX1992" s="121"/>
    </row>
    <row r="1993" spans="1:50" s="110" customFormat="1" ht="20" customHeight="1">
      <c r="A1993" s="125" t="s">
        <v>237</v>
      </c>
      <c r="B1993" s="126" t="s">
        <v>60</v>
      </c>
      <c r="C1993" s="127">
        <v>14354</v>
      </c>
      <c r="D1993" s="157">
        <v>107964</v>
      </c>
      <c r="E1993" s="158" t="s">
        <v>1147</v>
      </c>
      <c r="F1993" s="158" t="s">
        <v>1147</v>
      </c>
      <c r="G1993" s="159">
        <v>4700</v>
      </c>
      <c r="H1993" s="159">
        <v>2</v>
      </c>
      <c r="I1993" s="158" t="s">
        <v>209</v>
      </c>
      <c r="J1993" s="158" t="s">
        <v>1148</v>
      </c>
      <c r="K1993" s="158" t="s">
        <v>1147</v>
      </c>
      <c r="L1993" s="159">
        <v>2</v>
      </c>
      <c r="M1993" s="159">
        <v>6</v>
      </c>
      <c r="N1993" s="158" t="s">
        <v>189</v>
      </c>
      <c r="O1993" s="159">
        <v>8</v>
      </c>
      <c r="P1993" s="159">
        <v>0.6</v>
      </c>
      <c r="Q1993" s="159">
        <v>17</v>
      </c>
      <c r="R1993" s="158" t="s">
        <v>190</v>
      </c>
      <c r="S1993" s="158" t="s">
        <v>191</v>
      </c>
      <c r="T1993" s="159">
        <v>155</v>
      </c>
      <c r="U1993" s="158" t="s">
        <v>192</v>
      </c>
      <c r="V1993" s="158" t="s">
        <v>193</v>
      </c>
      <c r="W1993" s="159">
        <v>1</v>
      </c>
      <c r="X1993" s="159">
        <v>2</v>
      </c>
      <c r="Y1993" s="158" t="s">
        <v>194</v>
      </c>
      <c r="Z1993" s="158" t="s">
        <v>195</v>
      </c>
      <c r="AA1993" s="158" t="s">
        <v>196</v>
      </c>
      <c r="AB1993" s="158" t="s">
        <v>187</v>
      </c>
      <c r="AC1993" s="158" t="s">
        <v>187</v>
      </c>
      <c r="AD1993" s="160"/>
      <c r="AE1993" s="158" t="s">
        <v>209</v>
      </c>
      <c r="AF1993" s="159">
        <v>5.1546835798832804</v>
      </c>
      <c r="AG1993" s="161">
        <v>116.339218887342</v>
      </c>
      <c r="AO1993" s="121"/>
      <c r="AT1993" s="111"/>
      <c r="AX1993" s="121"/>
    </row>
    <row r="1994" spans="1:50" s="110" customFormat="1" ht="20" customHeight="1">
      <c r="A1994" s="125" t="s">
        <v>237</v>
      </c>
      <c r="B1994" s="126" t="s">
        <v>60</v>
      </c>
      <c r="C1994" s="127">
        <v>14936</v>
      </c>
      <c r="D1994" s="157">
        <v>108984</v>
      </c>
      <c r="E1994" s="158" t="s">
        <v>908</v>
      </c>
      <c r="F1994" s="158" t="s">
        <v>908</v>
      </c>
      <c r="G1994" s="159">
        <v>4600</v>
      </c>
      <c r="H1994" s="159">
        <v>2</v>
      </c>
      <c r="I1994" s="158" t="s">
        <v>209</v>
      </c>
      <c r="J1994" s="158" t="s">
        <v>909</v>
      </c>
      <c r="K1994" s="158" t="s">
        <v>910</v>
      </c>
      <c r="L1994" s="159">
        <v>1</v>
      </c>
      <c r="M1994" s="159">
        <v>6</v>
      </c>
      <c r="N1994" s="158" t="s">
        <v>189</v>
      </c>
      <c r="O1994" s="159">
        <v>10</v>
      </c>
      <c r="P1994" s="159">
        <v>2</v>
      </c>
      <c r="Q1994" s="159">
        <v>17</v>
      </c>
      <c r="R1994" s="158" t="s">
        <v>190</v>
      </c>
      <c r="S1994" s="158" t="s">
        <v>191</v>
      </c>
      <c r="T1994" s="159">
        <v>155</v>
      </c>
      <c r="U1994" s="158" t="s">
        <v>192</v>
      </c>
      <c r="V1994" s="158" t="s">
        <v>193</v>
      </c>
      <c r="W1994" s="159">
        <v>1</v>
      </c>
      <c r="X1994" s="159">
        <v>2</v>
      </c>
      <c r="Y1994" s="158" t="s">
        <v>194</v>
      </c>
      <c r="Z1994" s="158" t="s">
        <v>195</v>
      </c>
      <c r="AA1994" s="158" t="s">
        <v>196</v>
      </c>
      <c r="AB1994" s="158" t="s">
        <v>187</v>
      </c>
      <c r="AC1994" s="158" t="s">
        <v>187</v>
      </c>
      <c r="AD1994" s="160"/>
      <c r="AE1994" s="158" t="s">
        <v>209</v>
      </c>
      <c r="AF1994" s="159">
        <v>3.3817699999999999</v>
      </c>
      <c r="AG1994" s="161">
        <v>114.24415999999999</v>
      </c>
      <c r="AO1994" s="121"/>
      <c r="AT1994" s="111"/>
      <c r="AX1994" s="121"/>
    </row>
    <row r="1995" spans="1:50" s="110" customFormat="1" ht="20" customHeight="1">
      <c r="A1995" s="125" t="s">
        <v>237</v>
      </c>
      <c r="B1995" s="126" t="s">
        <v>60</v>
      </c>
      <c r="C1995" s="127">
        <v>13666</v>
      </c>
      <c r="D1995" s="145">
        <v>106531</v>
      </c>
      <c r="E1995" s="146" t="s">
        <v>1122</v>
      </c>
      <c r="F1995" s="146" t="s">
        <v>1122</v>
      </c>
      <c r="G1995" s="147">
        <v>137000</v>
      </c>
      <c r="H1995" s="147">
        <v>4</v>
      </c>
      <c r="I1995" s="146" t="s">
        <v>209</v>
      </c>
      <c r="J1995" s="146" t="s">
        <v>1123</v>
      </c>
      <c r="K1995" s="146" t="s">
        <v>1124</v>
      </c>
      <c r="L1995" s="147">
        <v>3</v>
      </c>
      <c r="M1995" s="147">
        <v>6</v>
      </c>
      <c r="N1995" s="146" t="s">
        <v>189</v>
      </c>
      <c r="O1995" s="147">
        <v>5</v>
      </c>
      <c r="P1995" s="147">
        <v>2.5</v>
      </c>
      <c r="Q1995" s="147">
        <v>17</v>
      </c>
      <c r="R1995" s="146" t="s">
        <v>190</v>
      </c>
      <c r="S1995" s="146" t="s">
        <v>191</v>
      </c>
      <c r="T1995" s="147">
        <v>155</v>
      </c>
      <c r="U1995" s="146" t="s">
        <v>192</v>
      </c>
      <c r="V1995" s="146" t="s">
        <v>193</v>
      </c>
      <c r="W1995" s="147">
        <v>2</v>
      </c>
      <c r="X1995" s="147">
        <v>2</v>
      </c>
      <c r="Y1995" s="146" t="s">
        <v>194</v>
      </c>
      <c r="Z1995" s="146" t="s">
        <v>195</v>
      </c>
      <c r="AA1995" s="146" t="s">
        <v>196</v>
      </c>
      <c r="AB1995" s="146" t="s">
        <v>187</v>
      </c>
      <c r="AC1995" s="146" t="s">
        <v>187</v>
      </c>
      <c r="AD1995" s="148"/>
      <c r="AE1995" s="146" t="s">
        <v>209</v>
      </c>
      <c r="AF1995" s="147">
        <v>2.6244299999999998</v>
      </c>
      <c r="AG1995" s="149">
        <v>111.33293999999999</v>
      </c>
      <c r="AO1995" s="121"/>
      <c r="AT1995" s="111"/>
      <c r="AX1995" s="121"/>
    </row>
    <row r="1996" spans="1:50" s="110" customFormat="1" ht="20" customHeight="1">
      <c r="A1996" s="125" t="s">
        <v>237</v>
      </c>
      <c r="B1996" s="126" t="s">
        <v>60</v>
      </c>
      <c r="C1996" s="127">
        <v>11509</v>
      </c>
      <c r="D1996" s="145">
        <v>102465</v>
      </c>
      <c r="E1996" s="146" t="s">
        <v>608</v>
      </c>
      <c r="F1996" s="146" t="s">
        <v>608</v>
      </c>
      <c r="G1996" s="147">
        <v>20000</v>
      </c>
      <c r="H1996" s="147">
        <v>4</v>
      </c>
      <c r="I1996" s="146" t="s">
        <v>209</v>
      </c>
      <c r="J1996" s="146" t="s">
        <v>609</v>
      </c>
      <c r="K1996" s="146" t="s">
        <v>610</v>
      </c>
      <c r="L1996" s="147">
        <v>1</v>
      </c>
      <c r="M1996" s="147">
        <v>6</v>
      </c>
      <c r="N1996" s="146" t="s">
        <v>189</v>
      </c>
      <c r="O1996" s="147">
        <v>8</v>
      </c>
      <c r="P1996" s="147">
        <v>5.9210000000000003</v>
      </c>
      <c r="Q1996" s="147">
        <v>17</v>
      </c>
      <c r="R1996" s="146" t="s">
        <v>190</v>
      </c>
      <c r="S1996" s="146" t="s">
        <v>191</v>
      </c>
      <c r="T1996" s="147">
        <v>155</v>
      </c>
      <c r="U1996" s="146" t="s">
        <v>192</v>
      </c>
      <c r="V1996" s="146" t="s">
        <v>193</v>
      </c>
      <c r="W1996" s="147">
        <v>1</v>
      </c>
      <c r="X1996" s="147">
        <v>2</v>
      </c>
      <c r="Y1996" s="146" t="s">
        <v>194</v>
      </c>
      <c r="Z1996" s="146" t="s">
        <v>195</v>
      </c>
      <c r="AA1996" s="146" t="s">
        <v>196</v>
      </c>
      <c r="AB1996" s="146" t="s">
        <v>187</v>
      </c>
      <c r="AC1996" s="146" t="s">
        <v>187</v>
      </c>
      <c r="AD1996" s="148"/>
      <c r="AE1996" s="146" t="s">
        <v>209</v>
      </c>
      <c r="AF1996" s="147">
        <v>2.5525899999999999</v>
      </c>
      <c r="AG1996" s="149">
        <v>111.52424999999999</v>
      </c>
      <c r="AO1996" s="121"/>
      <c r="AT1996" s="111"/>
      <c r="AX1996" s="121"/>
    </row>
    <row r="1997" spans="1:50" s="110" customFormat="1" ht="20" customHeight="1">
      <c r="A1997" s="125" t="s">
        <v>237</v>
      </c>
      <c r="B1997" s="126" t="s">
        <v>60</v>
      </c>
      <c r="C1997" s="127">
        <v>15228</v>
      </c>
      <c r="D1997" s="145">
        <v>109779</v>
      </c>
      <c r="E1997" s="146" t="s">
        <v>1411</v>
      </c>
      <c r="F1997" s="146" t="s">
        <v>1412</v>
      </c>
      <c r="G1997" s="147">
        <v>14000</v>
      </c>
      <c r="H1997" s="147">
        <v>4</v>
      </c>
      <c r="I1997" s="146" t="s">
        <v>209</v>
      </c>
      <c r="J1997" s="146" t="s">
        <v>1413</v>
      </c>
      <c r="K1997" s="146" t="s">
        <v>1414</v>
      </c>
      <c r="L1997" s="147">
        <v>4</v>
      </c>
      <c r="M1997" s="147">
        <v>6</v>
      </c>
      <c r="N1997" s="146" t="s">
        <v>189</v>
      </c>
      <c r="O1997" s="147">
        <v>20</v>
      </c>
      <c r="P1997" s="147">
        <v>5.9</v>
      </c>
      <c r="Q1997" s="147">
        <v>17</v>
      </c>
      <c r="R1997" s="146" t="s">
        <v>190</v>
      </c>
      <c r="S1997" s="146" t="s">
        <v>191</v>
      </c>
      <c r="T1997" s="147">
        <v>155</v>
      </c>
      <c r="U1997" s="146" t="s">
        <v>192</v>
      </c>
      <c r="V1997" s="146" t="s">
        <v>193</v>
      </c>
      <c r="W1997" s="147">
        <v>1</v>
      </c>
      <c r="X1997" s="147">
        <v>2</v>
      </c>
      <c r="Y1997" s="146" t="s">
        <v>194</v>
      </c>
      <c r="Z1997" s="146" t="s">
        <v>195</v>
      </c>
      <c r="AA1997" s="146" t="s">
        <v>196</v>
      </c>
      <c r="AB1997" s="146" t="s">
        <v>187</v>
      </c>
      <c r="AC1997" s="146" t="s">
        <v>187</v>
      </c>
      <c r="AD1997" s="148"/>
      <c r="AE1997" s="146" t="s">
        <v>209</v>
      </c>
      <c r="AF1997" s="147">
        <v>6.3412899999999999</v>
      </c>
      <c r="AG1997" s="149">
        <v>117.30544</v>
      </c>
      <c r="AO1997" s="121"/>
      <c r="AT1997" s="111"/>
      <c r="AX1997" s="121"/>
    </row>
    <row r="1998" spans="1:50" s="110" customFormat="1" ht="20" customHeight="1">
      <c r="A1998" s="125" t="s">
        <v>231</v>
      </c>
      <c r="B1998" s="126" t="s">
        <v>66</v>
      </c>
      <c r="C1998" s="127">
        <v>10959</v>
      </c>
      <c r="D1998" s="163">
        <v>101653</v>
      </c>
      <c r="E1998" s="164" t="s">
        <v>536</v>
      </c>
      <c r="F1998" s="164" t="s">
        <v>536</v>
      </c>
      <c r="G1998" s="165">
        <v>2670000</v>
      </c>
      <c r="H1998" s="165">
        <v>1</v>
      </c>
      <c r="I1998" s="164" t="s">
        <v>187</v>
      </c>
      <c r="J1998" s="164" t="s">
        <v>537</v>
      </c>
      <c r="K1998" s="164" t="s">
        <v>536</v>
      </c>
      <c r="L1998" s="165">
        <v>4</v>
      </c>
      <c r="M1998" s="165">
        <v>6</v>
      </c>
      <c r="N1998" s="164" t="s">
        <v>189</v>
      </c>
      <c r="O1998" s="165">
        <v>0</v>
      </c>
      <c r="P1998" s="165">
        <v>0</v>
      </c>
      <c r="Q1998" s="165">
        <v>21</v>
      </c>
      <c r="R1998" s="164" t="s">
        <v>200</v>
      </c>
      <c r="S1998" s="164" t="s">
        <v>201</v>
      </c>
      <c r="T1998" s="165">
        <v>456</v>
      </c>
      <c r="U1998" s="164" t="s">
        <v>200</v>
      </c>
      <c r="V1998" s="164" t="s">
        <v>536</v>
      </c>
      <c r="W1998" s="165">
        <v>4</v>
      </c>
      <c r="X1998" s="165">
        <v>4</v>
      </c>
      <c r="Y1998" s="164" t="s">
        <v>203</v>
      </c>
      <c r="Z1998" s="164" t="s">
        <v>195</v>
      </c>
      <c r="AA1998" s="164" t="s">
        <v>196</v>
      </c>
      <c r="AB1998" s="164" t="s">
        <v>187</v>
      </c>
      <c r="AC1998" s="164" t="s">
        <v>187</v>
      </c>
      <c r="AD1998" s="165">
        <v>53</v>
      </c>
      <c r="AE1998" s="164" t="s">
        <v>187</v>
      </c>
      <c r="AF1998" s="165">
        <v>28.4334599997791</v>
      </c>
      <c r="AG1998" s="166">
        <v>65.580549999982495</v>
      </c>
      <c r="AO1998" s="121"/>
      <c r="AT1998" s="111"/>
      <c r="AX1998" s="121"/>
    </row>
    <row r="1999" spans="1:50" s="110" customFormat="1" ht="20" customHeight="1">
      <c r="A1999" s="125" t="s">
        <v>231</v>
      </c>
      <c r="B1999" s="126" t="s">
        <v>66</v>
      </c>
      <c r="C1999" s="127">
        <v>20026</v>
      </c>
      <c r="D1999" s="163">
        <v>115775</v>
      </c>
      <c r="E1999" s="164" t="s">
        <v>539</v>
      </c>
      <c r="F1999" s="164" t="s">
        <v>539</v>
      </c>
      <c r="G1999" s="165">
        <v>942000</v>
      </c>
      <c r="H1999" s="165">
        <v>1</v>
      </c>
      <c r="I1999" s="164" t="s">
        <v>187</v>
      </c>
      <c r="J1999" s="164" t="s">
        <v>537</v>
      </c>
      <c r="K1999" s="164" t="s">
        <v>536</v>
      </c>
      <c r="L1999" s="165">
        <v>4</v>
      </c>
      <c r="M1999" s="165">
        <v>6</v>
      </c>
      <c r="N1999" s="164" t="s">
        <v>189</v>
      </c>
      <c r="O1999" s="165">
        <v>0</v>
      </c>
      <c r="P1999" s="165">
        <v>0</v>
      </c>
      <c r="Q1999" s="165">
        <v>21</v>
      </c>
      <c r="R1999" s="164" t="s">
        <v>200</v>
      </c>
      <c r="S1999" s="164" t="s">
        <v>201</v>
      </c>
      <c r="T1999" s="165">
        <v>456</v>
      </c>
      <c r="U1999" s="164" t="s">
        <v>200</v>
      </c>
      <c r="V1999" s="164" t="s">
        <v>536</v>
      </c>
      <c r="W1999" s="165">
        <v>1</v>
      </c>
      <c r="X1999" s="165">
        <v>4</v>
      </c>
      <c r="Y1999" s="164" t="s">
        <v>203</v>
      </c>
      <c r="Z1999" s="164" t="s">
        <v>195</v>
      </c>
      <c r="AA1999" s="164" t="s">
        <v>196</v>
      </c>
      <c r="AB1999" s="164" t="s">
        <v>187</v>
      </c>
      <c r="AC1999" s="164" t="s">
        <v>187</v>
      </c>
      <c r="AD1999" s="165">
        <v>19</v>
      </c>
      <c r="AE1999" s="164" t="s">
        <v>187</v>
      </c>
      <c r="AF1999" s="165">
        <v>27.506609153893901</v>
      </c>
      <c r="AG1999" s="166">
        <v>66.668662394987606</v>
      </c>
      <c r="AO1999" s="121"/>
      <c r="AT1999" s="111"/>
      <c r="AX1999" s="121"/>
    </row>
    <row r="2000" spans="1:50" s="110" customFormat="1" ht="20" customHeight="1">
      <c r="A2000" s="125" t="s">
        <v>231</v>
      </c>
      <c r="B2000" s="126" t="s">
        <v>66</v>
      </c>
      <c r="C2000" s="127">
        <v>20030</v>
      </c>
      <c r="D2000" s="163">
        <v>115778</v>
      </c>
      <c r="E2000" s="164" t="s">
        <v>541</v>
      </c>
      <c r="F2000" s="164" t="s">
        <v>541</v>
      </c>
      <c r="G2000" s="165">
        <v>447000</v>
      </c>
      <c r="H2000" s="165">
        <v>1</v>
      </c>
      <c r="I2000" s="164" t="s">
        <v>187</v>
      </c>
      <c r="J2000" s="164" t="s">
        <v>537</v>
      </c>
      <c r="K2000" s="164" t="s">
        <v>536</v>
      </c>
      <c r="L2000" s="165">
        <v>4</v>
      </c>
      <c r="M2000" s="165">
        <v>6</v>
      </c>
      <c r="N2000" s="164" t="s">
        <v>189</v>
      </c>
      <c r="O2000" s="165">
        <v>0</v>
      </c>
      <c r="P2000" s="165">
        <v>0</v>
      </c>
      <c r="Q2000" s="165">
        <v>21</v>
      </c>
      <c r="R2000" s="164" t="s">
        <v>200</v>
      </c>
      <c r="S2000" s="164" t="s">
        <v>201</v>
      </c>
      <c r="T2000" s="165">
        <v>456</v>
      </c>
      <c r="U2000" s="164" t="s">
        <v>200</v>
      </c>
      <c r="V2000" s="164" t="s">
        <v>536</v>
      </c>
      <c r="W2000" s="165">
        <v>1</v>
      </c>
      <c r="X2000" s="165">
        <v>4</v>
      </c>
      <c r="Y2000" s="164" t="s">
        <v>203</v>
      </c>
      <c r="Z2000" s="164" t="s">
        <v>195</v>
      </c>
      <c r="AA2000" s="164" t="s">
        <v>196</v>
      </c>
      <c r="AB2000" s="164" t="s">
        <v>187</v>
      </c>
      <c r="AC2000" s="164" t="s">
        <v>187</v>
      </c>
      <c r="AD2000" s="165">
        <v>9</v>
      </c>
      <c r="AE2000" s="164" t="s">
        <v>187</v>
      </c>
      <c r="AF2000" s="165">
        <v>27.505499779146199</v>
      </c>
      <c r="AG2000" s="166">
        <v>66.671151395131602</v>
      </c>
      <c r="AO2000" s="121"/>
      <c r="AT2000" s="111"/>
      <c r="AX2000" s="121"/>
    </row>
    <row r="2001" spans="1:50" s="110" customFormat="1" ht="20" customHeight="1">
      <c r="A2001" s="125" t="s">
        <v>231</v>
      </c>
      <c r="B2001" s="126" t="s">
        <v>66</v>
      </c>
      <c r="C2001" s="127">
        <v>20028</v>
      </c>
      <c r="D2001" s="163">
        <v>115776</v>
      </c>
      <c r="E2001" s="164" t="s">
        <v>540</v>
      </c>
      <c r="F2001" s="164" t="s">
        <v>540</v>
      </c>
      <c r="G2001" s="165">
        <v>314000</v>
      </c>
      <c r="H2001" s="165">
        <v>1</v>
      </c>
      <c r="I2001" s="164" t="s">
        <v>187</v>
      </c>
      <c r="J2001" s="164" t="s">
        <v>537</v>
      </c>
      <c r="K2001" s="164" t="s">
        <v>536</v>
      </c>
      <c r="L2001" s="165">
        <v>4</v>
      </c>
      <c r="M2001" s="165">
        <v>6</v>
      </c>
      <c r="N2001" s="164" t="s">
        <v>189</v>
      </c>
      <c r="O2001" s="165">
        <v>0</v>
      </c>
      <c r="P2001" s="165">
        <v>0</v>
      </c>
      <c r="Q2001" s="165">
        <v>21</v>
      </c>
      <c r="R2001" s="164" t="s">
        <v>200</v>
      </c>
      <c r="S2001" s="164" t="s">
        <v>201</v>
      </c>
      <c r="T2001" s="165">
        <v>456</v>
      </c>
      <c r="U2001" s="164" t="s">
        <v>200</v>
      </c>
      <c r="V2001" s="164" t="s">
        <v>536</v>
      </c>
      <c r="W2001" s="165">
        <v>1</v>
      </c>
      <c r="X2001" s="165">
        <v>4</v>
      </c>
      <c r="Y2001" s="164" t="s">
        <v>203</v>
      </c>
      <c r="Z2001" s="164" t="s">
        <v>195</v>
      </c>
      <c r="AA2001" s="164" t="s">
        <v>196</v>
      </c>
      <c r="AB2001" s="164" t="s">
        <v>187</v>
      </c>
      <c r="AC2001" s="164" t="s">
        <v>187</v>
      </c>
      <c r="AD2001" s="165">
        <v>6</v>
      </c>
      <c r="AE2001" s="164" t="s">
        <v>187</v>
      </c>
      <c r="AF2001" s="165">
        <v>27.5009564058801</v>
      </c>
      <c r="AG2001" s="166">
        <v>66.668067571832097</v>
      </c>
      <c r="AO2001" s="121"/>
      <c r="AT2001" s="111"/>
      <c r="AX2001" s="121"/>
    </row>
    <row r="2002" spans="1:50" s="110" customFormat="1" ht="20" customHeight="1">
      <c r="A2002" s="125" t="s">
        <v>231</v>
      </c>
      <c r="B2002" s="126" t="s">
        <v>66</v>
      </c>
      <c r="C2002" s="127">
        <v>21706</v>
      </c>
      <c r="D2002" s="167"/>
      <c r="E2002" s="164" t="s">
        <v>538</v>
      </c>
      <c r="F2002" s="164" t="s">
        <v>538</v>
      </c>
      <c r="G2002" s="165">
        <v>40000</v>
      </c>
      <c r="H2002" s="165">
        <v>1</v>
      </c>
      <c r="I2002" s="164" t="s">
        <v>187</v>
      </c>
      <c r="J2002" s="164" t="s">
        <v>537</v>
      </c>
      <c r="K2002" s="164" t="s">
        <v>536</v>
      </c>
      <c r="L2002" s="165">
        <v>4</v>
      </c>
      <c r="M2002" s="165">
        <v>6</v>
      </c>
      <c r="N2002" s="164" t="s">
        <v>189</v>
      </c>
      <c r="O2002" s="165">
        <v>0</v>
      </c>
      <c r="P2002" s="165">
        <v>0</v>
      </c>
      <c r="Q2002" s="165">
        <v>21</v>
      </c>
      <c r="R2002" s="164" t="s">
        <v>200</v>
      </c>
      <c r="S2002" s="164" t="s">
        <v>201</v>
      </c>
      <c r="T2002" s="165">
        <v>456</v>
      </c>
      <c r="U2002" s="164" t="s">
        <v>200</v>
      </c>
      <c r="V2002" s="164" t="s">
        <v>536</v>
      </c>
      <c r="W2002" s="165">
        <v>1</v>
      </c>
      <c r="X2002" s="165">
        <v>4</v>
      </c>
      <c r="Y2002" s="164" t="s">
        <v>203</v>
      </c>
      <c r="Z2002" s="164" t="s">
        <v>195</v>
      </c>
      <c r="AA2002" s="164" t="s">
        <v>196</v>
      </c>
      <c r="AB2002" s="164" t="s">
        <v>187</v>
      </c>
      <c r="AC2002" s="164" t="s">
        <v>187</v>
      </c>
      <c r="AD2002" s="165">
        <v>1</v>
      </c>
      <c r="AE2002" s="164" t="s">
        <v>187</v>
      </c>
      <c r="AF2002" s="165">
        <v>28.250564000000001</v>
      </c>
      <c r="AG2002" s="166">
        <v>69.188789999999997</v>
      </c>
      <c r="AO2002" s="121"/>
      <c r="AT2002" s="111"/>
      <c r="AX2002" s="121"/>
    </row>
    <row r="2003" spans="1:50" s="110" customFormat="1" ht="20" customHeight="1">
      <c r="A2003" s="125" t="s">
        <v>185</v>
      </c>
      <c r="B2003" s="126" t="s">
        <v>59</v>
      </c>
      <c r="C2003" s="127">
        <v>10985</v>
      </c>
      <c r="D2003" s="163">
        <v>101703</v>
      </c>
      <c r="E2003" s="164" t="s">
        <v>549</v>
      </c>
      <c r="F2003" s="164" t="s">
        <v>551</v>
      </c>
      <c r="G2003" s="165">
        <v>5606000</v>
      </c>
      <c r="H2003" s="165">
        <v>1</v>
      </c>
      <c r="I2003" s="164" t="s">
        <v>187</v>
      </c>
      <c r="J2003" s="164" t="s">
        <v>550</v>
      </c>
      <c r="K2003" s="164" t="s">
        <v>551</v>
      </c>
      <c r="L2003" s="165">
        <v>5</v>
      </c>
      <c r="M2003" s="165">
        <v>6</v>
      </c>
      <c r="N2003" s="164" t="s">
        <v>189</v>
      </c>
      <c r="O2003" s="165">
        <v>0.55000000000000004</v>
      </c>
      <c r="P2003" s="165">
        <v>5.0000000000000001E-3</v>
      </c>
      <c r="Q2003" s="165">
        <v>17</v>
      </c>
      <c r="R2003" s="164" t="s">
        <v>190</v>
      </c>
      <c r="S2003" s="164" t="s">
        <v>191</v>
      </c>
      <c r="T2003" s="165">
        <v>152</v>
      </c>
      <c r="U2003" s="164" t="s">
        <v>246</v>
      </c>
      <c r="V2003" s="164" t="s">
        <v>247</v>
      </c>
      <c r="W2003" s="165">
        <v>3</v>
      </c>
      <c r="X2003" s="165">
        <v>2</v>
      </c>
      <c r="Y2003" s="164" t="s">
        <v>194</v>
      </c>
      <c r="Z2003" s="164" t="s">
        <v>195</v>
      </c>
      <c r="AA2003" s="164" t="s">
        <v>196</v>
      </c>
      <c r="AB2003" s="164" t="s">
        <v>187</v>
      </c>
      <c r="AC2003" s="164" t="s">
        <v>187</v>
      </c>
      <c r="AD2003" s="165">
        <v>112</v>
      </c>
      <c r="AE2003" s="164" t="s">
        <v>209</v>
      </c>
      <c r="AF2003" s="165">
        <v>-3.9955099999999999</v>
      </c>
      <c r="AG2003" s="166">
        <v>120.20591</v>
      </c>
      <c r="AO2003" s="121"/>
      <c r="AT2003" s="111"/>
      <c r="AX2003" s="121"/>
    </row>
    <row r="2004" spans="1:50" s="110" customFormat="1" ht="20" customHeight="1">
      <c r="A2004" s="125" t="s">
        <v>185</v>
      </c>
      <c r="B2004" s="126" t="s">
        <v>59</v>
      </c>
      <c r="C2004" s="127">
        <v>13235</v>
      </c>
      <c r="D2004" s="163">
        <v>106085</v>
      </c>
      <c r="E2004" s="164" t="s">
        <v>1049</v>
      </c>
      <c r="F2004" s="164" t="s">
        <v>1049</v>
      </c>
      <c r="G2004" s="165">
        <v>2395000</v>
      </c>
      <c r="H2004" s="165">
        <v>1</v>
      </c>
      <c r="I2004" s="164" t="s">
        <v>187</v>
      </c>
      <c r="J2004" s="164" t="s">
        <v>1050</v>
      </c>
      <c r="K2004" s="164" t="s">
        <v>1051</v>
      </c>
      <c r="L2004" s="165">
        <v>5</v>
      </c>
      <c r="M2004" s="165">
        <v>6</v>
      </c>
      <c r="N2004" s="164" t="s">
        <v>189</v>
      </c>
      <c r="O2004" s="165">
        <v>1</v>
      </c>
      <c r="P2004" s="165">
        <v>1.9E-2</v>
      </c>
      <c r="Q2004" s="165">
        <v>17</v>
      </c>
      <c r="R2004" s="164" t="s">
        <v>190</v>
      </c>
      <c r="S2004" s="164" t="s">
        <v>191</v>
      </c>
      <c r="T2004" s="165">
        <v>152</v>
      </c>
      <c r="U2004" s="164" t="s">
        <v>246</v>
      </c>
      <c r="V2004" s="164" t="s">
        <v>247</v>
      </c>
      <c r="W2004" s="165">
        <v>1</v>
      </c>
      <c r="X2004" s="165">
        <v>2</v>
      </c>
      <c r="Y2004" s="164" t="s">
        <v>194</v>
      </c>
      <c r="Z2004" s="164" t="s">
        <v>195</v>
      </c>
      <c r="AA2004" s="164" t="s">
        <v>196</v>
      </c>
      <c r="AB2004" s="164" t="s">
        <v>187</v>
      </c>
      <c r="AC2004" s="164" t="s">
        <v>187</v>
      </c>
      <c r="AD2004" s="165">
        <v>48</v>
      </c>
      <c r="AE2004" s="164" t="s">
        <v>209</v>
      </c>
      <c r="AF2004" s="165">
        <v>-5.3064099999999996</v>
      </c>
      <c r="AG2004" s="166">
        <v>119.68807</v>
      </c>
      <c r="AO2004" s="121"/>
      <c r="AT2004" s="111"/>
      <c r="AX2004" s="121"/>
    </row>
    <row r="2005" spans="1:50" s="110" customFormat="1" ht="20" customHeight="1">
      <c r="A2005" s="125" t="s">
        <v>185</v>
      </c>
      <c r="B2005" s="126" t="s">
        <v>59</v>
      </c>
      <c r="C2005" s="127">
        <v>13488</v>
      </c>
      <c r="D2005" s="163">
        <v>106229</v>
      </c>
      <c r="E2005" s="164" t="s">
        <v>245</v>
      </c>
      <c r="F2005" s="164" t="s">
        <v>245</v>
      </c>
      <c r="G2005" s="165">
        <v>535000</v>
      </c>
      <c r="H2005" s="165">
        <v>1</v>
      </c>
      <c r="I2005" s="164" t="s">
        <v>187</v>
      </c>
      <c r="J2005" s="164" t="s">
        <v>244</v>
      </c>
      <c r="K2005" s="164" t="s">
        <v>245</v>
      </c>
      <c r="L2005" s="165">
        <v>3</v>
      </c>
      <c r="M2005" s="165">
        <v>6</v>
      </c>
      <c r="N2005" s="164" t="s">
        <v>189</v>
      </c>
      <c r="O2005" s="165">
        <v>7.0000000000000007E-2</v>
      </c>
      <c r="P2005" s="165">
        <v>1E-3</v>
      </c>
      <c r="Q2005" s="165">
        <v>17</v>
      </c>
      <c r="R2005" s="164" t="s">
        <v>190</v>
      </c>
      <c r="S2005" s="164" t="s">
        <v>191</v>
      </c>
      <c r="T2005" s="165">
        <v>152</v>
      </c>
      <c r="U2005" s="164" t="s">
        <v>246</v>
      </c>
      <c r="V2005" s="164" t="s">
        <v>247</v>
      </c>
      <c r="W2005" s="165">
        <v>1</v>
      </c>
      <c r="X2005" s="165">
        <v>2</v>
      </c>
      <c r="Y2005" s="164" t="s">
        <v>194</v>
      </c>
      <c r="Z2005" s="164" t="s">
        <v>195</v>
      </c>
      <c r="AA2005" s="164" t="s">
        <v>196</v>
      </c>
      <c r="AB2005" s="164" t="s">
        <v>187</v>
      </c>
      <c r="AC2005" s="164" t="s">
        <v>187</v>
      </c>
      <c r="AD2005" s="165">
        <v>11</v>
      </c>
      <c r="AE2005" s="164" t="s">
        <v>187</v>
      </c>
      <c r="AF2005" s="165">
        <v>-3.04955</v>
      </c>
      <c r="AG2005" s="166">
        <v>118.86742</v>
      </c>
      <c r="AO2005" s="121"/>
      <c r="AT2005" s="111"/>
      <c r="AX2005" s="121"/>
    </row>
    <row r="2006" spans="1:50" s="110" customFormat="1" ht="20" customHeight="1">
      <c r="A2006" s="125" t="s">
        <v>185</v>
      </c>
      <c r="B2006" s="126" t="s">
        <v>59</v>
      </c>
      <c r="C2006" s="127">
        <v>20296</v>
      </c>
      <c r="D2006" s="163">
        <v>105940</v>
      </c>
      <c r="E2006" s="164" t="s">
        <v>1030</v>
      </c>
      <c r="F2006" s="164" t="s">
        <v>1030</v>
      </c>
      <c r="G2006" s="165">
        <v>357000</v>
      </c>
      <c r="H2006" s="165">
        <v>1</v>
      </c>
      <c r="I2006" s="164" t="s">
        <v>187</v>
      </c>
      <c r="J2006" s="164" t="s">
        <v>1031</v>
      </c>
      <c r="K2006" s="164" t="s">
        <v>1032</v>
      </c>
      <c r="L2006" s="165">
        <v>3</v>
      </c>
      <c r="M2006" s="165">
        <v>6</v>
      </c>
      <c r="N2006" s="164" t="s">
        <v>189</v>
      </c>
      <c r="O2006" s="165">
        <v>0.4</v>
      </c>
      <c r="P2006" s="165">
        <v>3.7999999999999999E-2</v>
      </c>
      <c r="Q2006" s="165">
        <v>17</v>
      </c>
      <c r="R2006" s="164" t="s">
        <v>190</v>
      </c>
      <c r="S2006" s="164" t="s">
        <v>191</v>
      </c>
      <c r="T2006" s="165">
        <v>152</v>
      </c>
      <c r="U2006" s="164" t="s">
        <v>246</v>
      </c>
      <c r="V2006" s="164" t="s">
        <v>247</v>
      </c>
      <c r="W2006" s="165">
        <v>1</v>
      </c>
      <c r="X2006" s="165">
        <v>2</v>
      </c>
      <c r="Y2006" s="164" t="s">
        <v>194</v>
      </c>
      <c r="Z2006" s="164" t="s">
        <v>195</v>
      </c>
      <c r="AA2006" s="164" t="s">
        <v>196</v>
      </c>
      <c r="AB2006" s="164" t="s">
        <v>187</v>
      </c>
      <c r="AC2006" s="164" t="s">
        <v>187</v>
      </c>
      <c r="AD2006" s="165">
        <v>7</v>
      </c>
      <c r="AE2006" s="164" t="s">
        <v>209</v>
      </c>
      <c r="AF2006" s="165">
        <v>-2.5779977976493198</v>
      </c>
      <c r="AG2006" s="166">
        <v>120.148155117816</v>
      </c>
      <c r="AO2006" s="121"/>
      <c r="AT2006" s="111"/>
      <c r="AX2006" s="121"/>
    </row>
    <row r="2007" spans="1:50" s="110" customFormat="1" ht="20" customHeight="1">
      <c r="A2007" s="125" t="s">
        <v>185</v>
      </c>
      <c r="B2007" s="126" t="s">
        <v>59</v>
      </c>
      <c r="C2007" s="127">
        <v>12780</v>
      </c>
      <c r="D2007" s="163">
        <v>105187</v>
      </c>
      <c r="E2007" s="164" t="s">
        <v>590</v>
      </c>
      <c r="F2007" s="164" t="s">
        <v>590</v>
      </c>
      <c r="G2007" s="165">
        <v>226000</v>
      </c>
      <c r="H2007" s="165">
        <v>1</v>
      </c>
      <c r="I2007" s="164" t="s">
        <v>187</v>
      </c>
      <c r="J2007" s="164" t="s">
        <v>591</v>
      </c>
      <c r="K2007" s="164" t="s">
        <v>592</v>
      </c>
      <c r="L2007" s="165">
        <v>4</v>
      </c>
      <c r="M2007" s="165">
        <v>6</v>
      </c>
      <c r="N2007" s="164" t="s">
        <v>189</v>
      </c>
      <c r="O2007" s="165">
        <v>0.5</v>
      </c>
      <c r="P2007" s="165">
        <v>0.20200000000000001</v>
      </c>
      <c r="Q2007" s="165">
        <v>17</v>
      </c>
      <c r="R2007" s="164" t="s">
        <v>190</v>
      </c>
      <c r="S2007" s="164" t="s">
        <v>191</v>
      </c>
      <c r="T2007" s="165">
        <v>152</v>
      </c>
      <c r="U2007" s="164" t="s">
        <v>246</v>
      </c>
      <c r="V2007" s="164" t="s">
        <v>247</v>
      </c>
      <c r="W2007" s="165">
        <v>1</v>
      </c>
      <c r="X2007" s="165">
        <v>2</v>
      </c>
      <c r="Y2007" s="164" t="s">
        <v>194</v>
      </c>
      <c r="Z2007" s="164" t="s">
        <v>195</v>
      </c>
      <c r="AA2007" s="164" t="s">
        <v>196</v>
      </c>
      <c r="AB2007" s="164" t="s">
        <v>187</v>
      </c>
      <c r="AC2007" s="164" t="s">
        <v>187</v>
      </c>
      <c r="AD2007" s="165">
        <v>5</v>
      </c>
      <c r="AE2007" s="164" t="s">
        <v>209</v>
      </c>
      <c r="AF2007" s="165">
        <v>-5.4451099999999997</v>
      </c>
      <c r="AG2007" s="166">
        <v>120.33459000000001</v>
      </c>
      <c r="AO2007" s="121"/>
      <c r="AT2007" s="111"/>
      <c r="AX2007" s="121"/>
    </row>
    <row r="2008" spans="1:50" s="110" customFormat="1" ht="20" customHeight="1">
      <c r="A2008" s="125" t="s">
        <v>185</v>
      </c>
      <c r="B2008" s="126" t="s">
        <v>59</v>
      </c>
      <c r="C2008" s="127">
        <v>12781</v>
      </c>
      <c r="D2008" s="163">
        <v>105189</v>
      </c>
      <c r="E2008" s="164" t="s">
        <v>731</v>
      </c>
      <c r="F2008" s="164" t="s">
        <v>731</v>
      </c>
      <c r="G2008" s="165">
        <v>170000</v>
      </c>
      <c r="H2008" s="165">
        <v>1</v>
      </c>
      <c r="I2008" s="164" t="s">
        <v>187</v>
      </c>
      <c r="J2008" s="164" t="s">
        <v>732</v>
      </c>
      <c r="K2008" s="164" t="s">
        <v>733</v>
      </c>
      <c r="L2008" s="165">
        <v>1</v>
      </c>
      <c r="M2008" s="165">
        <v>6</v>
      </c>
      <c r="N2008" s="164" t="s">
        <v>189</v>
      </c>
      <c r="O2008" s="165">
        <v>5</v>
      </c>
      <c r="P2008" s="165">
        <v>5.3999999999999999E-2</v>
      </c>
      <c r="Q2008" s="165">
        <v>17</v>
      </c>
      <c r="R2008" s="164" t="s">
        <v>190</v>
      </c>
      <c r="S2008" s="164" t="s">
        <v>191</v>
      </c>
      <c r="T2008" s="165">
        <v>152</v>
      </c>
      <c r="U2008" s="164" t="s">
        <v>246</v>
      </c>
      <c r="V2008" s="164" t="s">
        <v>247</v>
      </c>
      <c r="W2008" s="165">
        <v>1</v>
      </c>
      <c r="X2008" s="165">
        <v>2</v>
      </c>
      <c r="Y2008" s="164" t="s">
        <v>194</v>
      </c>
      <c r="Z2008" s="164" t="s">
        <v>195</v>
      </c>
      <c r="AA2008" s="164" t="s">
        <v>196</v>
      </c>
      <c r="AB2008" s="164" t="s">
        <v>187</v>
      </c>
      <c r="AC2008" s="164" t="s">
        <v>187</v>
      </c>
      <c r="AD2008" s="165">
        <v>3</v>
      </c>
      <c r="AE2008" s="164" t="s">
        <v>209</v>
      </c>
      <c r="AF2008" s="165">
        <v>-5.2385900000000003</v>
      </c>
      <c r="AG2008" s="166">
        <v>119.86042</v>
      </c>
      <c r="AO2008" s="121"/>
      <c r="AT2008" s="111"/>
      <c r="AX2008" s="121"/>
    </row>
    <row r="2009" spans="1:50" s="110" customFormat="1" ht="20" customHeight="1">
      <c r="A2009" s="125" t="s">
        <v>185</v>
      </c>
      <c r="B2009" s="126" t="s">
        <v>59</v>
      </c>
      <c r="C2009" s="127">
        <v>11646</v>
      </c>
      <c r="D2009" s="163">
        <v>102773</v>
      </c>
      <c r="E2009" s="164" t="s">
        <v>666</v>
      </c>
      <c r="F2009" s="164" t="s">
        <v>666</v>
      </c>
      <c r="G2009" s="165">
        <v>143000</v>
      </c>
      <c r="H2009" s="165">
        <v>1</v>
      </c>
      <c r="I2009" s="164" t="s">
        <v>187</v>
      </c>
      <c r="J2009" s="164" t="s">
        <v>667</v>
      </c>
      <c r="K2009" s="164" t="s">
        <v>666</v>
      </c>
      <c r="L2009" s="165">
        <v>4</v>
      </c>
      <c r="M2009" s="165">
        <v>6</v>
      </c>
      <c r="N2009" s="164" t="s">
        <v>189</v>
      </c>
      <c r="O2009" s="165">
        <v>2</v>
      </c>
      <c r="P2009" s="165">
        <v>3.2000000000000001E-2</v>
      </c>
      <c r="Q2009" s="165">
        <v>17</v>
      </c>
      <c r="R2009" s="164" t="s">
        <v>190</v>
      </c>
      <c r="S2009" s="164" t="s">
        <v>191</v>
      </c>
      <c r="T2009" s="165">
        <v>152</v>
      </c>
      <c r="U2009" s="164" t="s">
        <v>246</v>
      </c>
      <c r="V2009" s="164" t="s">
        <v>247</v>
      </c>
      <c r="W2009" s="165">
        <v>1</v>
      </c>
      <c r="X2009" s="165">
        <v>2</v>
      </c>
      <c r="Y2009" s="164" t="s">
        <v>194</v>
      </c>
      <c r="Z2009" s="164" t="s">
        <v>195</v>
      </c>
      <c r="AA2009" s="164" t="s">
        <v>196</v>
      </c>
      <c r="AB2009" s="164" t="s">
        <v>187</v>
      </c>
      <c r="AC2009" s="164" t="s">
        <v>187</v>
      </c>
      <c r="AD2009" s="165">
        <v>3</v>
      </c>
      <c r="AE2009" s="164" t="s">
        <v>209</v>
      </c>
      <c r="AF2009" s="165">
        <v>-3.3677000000000001</v>
      </c>
      <c r="AG2009" s="166">
        <v>119.87582</v>
      </c>
      <c r="AO2009" s="121"/>
      <c r="AT2009" s="111"/>
      <c r="AX2009" s="121"/>
    </row>
    <row r="2010" spans="1:50" s="110" customFormat="1" ht="20" customHeight="1">
      <c r="A2010" s="125" t="s">
        <v>185</v>
      </c>
      <c r="B2010" s="126" t="s">
        <v>59</v>
      </c>
      <c r="C2010" s="127">
        <v>14831</v>
      </c>
      <c r="D2010" s="163">
        <v>108810</v>
      </c>
      <c r="E2010" s="164" t="s">
        <v>1358</v>
      </c>
      <c r="F2010" s="164" t="s">
        <v>1358</v>
      </c>
      <c r="G2010" s="165">
        <v>130000</v>
      </c>
      <c r="H2010" s="165">
        <v>1</v>
      </c>
      <c r="I2010" s="164" t="s">
        <v>187</v>
      </c>
      <c r="J2010" s="164" t="s">
        <v>1359</v>
      </c>
      <c r="K2010" s="164" t="s">
        <v>1358</v>
      </c>
      <c r="L2010" s="165">
        <v>4</v>
      </c>
      <c r="M2010" s="165">
        <v>6</v>
      </c>
      <c r="N2010" s="164" t="s">
        <v>189</v>
      </c>
      <c r="O2010" s="165">
        <v>5</v>
      </c>
      <c r="P2010" s="165">
        <v>0.21099999999999999</v>
      </c>
      <c r="Q2010" s="165">
        <v>17</v>
      </c>
      <c r="R2010" s="164" t="s">
        <v>190</v>
      </c>
      <c r="S2010" s="164" t="s">
        <v>191</v>
      </c>
      <c r="T2010" s="165">
        <v>152</v>
      </c>
      <c r="U2010" s="164" t="s">
        <v>246</v>
      </c>
      <c r="V2010" s="164" t="s">
        <v>247</v>
      </c>
      <c r="W2010" s="165">
        <v>1</v>
      </c>
      <c r="X2010" s="165">
        <v>2</v>
      </c>
      <c r="Y2010" s="164" t="s">
        <v>194</v>
      </c>
      <c r="Z2010" s="164" t="s">
        <v>195</v>
      </c>
      <c r="AA2010" s="164" t="s">
        <v>196</v>
      </c>
      <c r="AB2010" s="164" t="s">
        <v>187</v>
      </c>
      <c r="AC2010" s="164" t="s">
        <v>187</v>
      </c>
      <c r="AD2010" s="165">
        <v>3</v>
      </c>
      <c r="AE2010" s="164" t="s">
        <v>209</v>
      </c>
      <c r="AF2010" s="165">
        <v>-6.0588499999999996</v>
      </c>
      <c r="AG2010" s="166">
        <v>120.50857000000001</v>
      </c>
      <c r="AO2010" s="121"/>
      <c r="AT2010" s="111"/>
      <c r="AX2010" s="121"/>
    </row>
    <row r="2011" spans="1:50" s="110" customFormat="1" ht="20" customHeight="1">
      <c r="A2011" s="125" t="s">
        <v>185</v>
      </c>
      <c r="B2011" s="126" t="s">
        <v>59</v>
      </c>
      <c r="C2011" s="127">
        <v>11143</v>
      </c>
      <c r="D2011" s="163">
        <v>102930</v>
      </c>
      <c r="E2011" s="164" t="s">
        <v>676</v>
      </c>
      <c r="F2011" s="164" t="s">
        <v>676</v>
      </c>
      <c r="G2011" s="165">
        <v>79000</v>
      </c>
      <c r="H2011" s="165">
        <v>1</v>
      </c>
      <c r="I2011" s="164" t="s">
        <v>187</v>
      </c>
      <c r="J2011" s="164" t="s">
        <v>677</v>
      </c>
      <c r="K2011" s="164" t="s">
        <v>676</v>
      </c>
      <c r="L2011" s="165">
        <v>1</v>
      </c>
      <c r="M2011" s="165">
        <v>6</v>
      </c>
      <c r="N2011" s="164" t="s">
        <v>189</v>
      </c>
      <c r="O2011" s="165">
        <v>0</v>
      </c>
      <c r="P2011" s="165">
        <v>0</v>
      </c>
      <c r="Q2011" s="165">
        <v>17</v>
      </c>
      <c r="R2011" s="164" t="s">
        <v>190</v>
      </c>
      <c r="S2011" s="164" t="s">
        <v>191</v>
      </c>
      <c r="T2011" s="165">
        <v>152</v>
      </c>
      <c r="U2011" s="164" t="s">
        <v>246</v>
      </c>
      <c r="V2011" s="164" t="s">
        <v>247</v>
      </c>
      <c r="W2011" s="165">
        <v>1</v>
      </c>
      <c r="X2011" s="165">
        <v>2</v>
      </c>
      <c r="Y2011" s="164" t="s">
        <v>194</v>
      </c>
      <c r="Z2011" s="164" t="s">
        <v>195</v>
      </c>
      <c r="AA2011" s="164" t="s">
        <v>196</v>
      </c>
      <c r="AB2011" s="164" t="s">
        <v>187</v>
      </c>
      <c r="AC2011" s="164" t="s">
        <v>187</v>
      </c>
      <c r="AD2011" s="165">
        <v>2</v>
      </c>
      <c r="AE2011" s="164" t="s">
        <v>187</v>
      </c>
      <c r="AF2011" s="165">
        <v>-3.53848000025181</v>
      </c>
      <c r="AG2011" s="166">
        <v>119.659830000254</v>
      </c>
      <c r="AO2011" s="121"/>
      <c r="AT2011" s="111"/>
      <c r="AX2011" s="121"/>
    </row>
    <row r="2012" spans="1:50" s="110" customFormat="1" ht="20" customHeight="1">
      <c r="A2012" s="125" t="s">
        <v>185</v>
      </c>
      <c r="B2012" s="126" t="s">
        <v>59</v>
      </c>
      <c r="C2012" s="127">
        <v>11084</v>
      </c>
      <c r="D2012" s="163">
        <v>101863</v>
      </c>
      <c r="E2012" s="164" t="s">
        <v>570</v>
      </c>
      <c r="F2012" s="164" t="s">
        <v>570</v>
      </c>
      <c r="G2012" s="165">
        <v>75000</v>
      </c>
      <c r="H2012" s="165">
        <v>1</v>
      </c>
      <c r="I2012" s="164" t="s">
        <v>187</v>
      </c>
      <c r="J2012" s="164" t="s">
        <v>571</v>
      </c>
      <c r="K2012" s="164" t="s">
        <v>570</v>
      </c>
      <c r="L2012" s="165">
        <v>1</v>
      </c>
      <c r="M2012" s="165">
        <v>6</v>
      </c>
      <c r="N2012" s="164" t="s">
        <v>189</v>
      </c>
      <c r="O2012" s="165">
        <v>1</v>
      </c>
      <c r="P2012" s="165">
        <v>0</v>
      </c>
      <c r="Q2012" s="165">
        <v>17</v>
      </c>
      <c r="R2012" s="164" t="s">
        <v>190</v>
      </c>
      <c r="S2012" s="164" t="s">
        <v>191</v>
      </c>
      <c r="T2012" s="165">
        <v>152</v>
      </c>
      <c r="U2012" s="164" t="s">
        <v>246</v>
      </c>
      <c r="V2012" s="164" t="s">
        <v>247</v>
      </c>
      <c r="W2012" s="165">
        <v>1</v>
      </c>
      <c r="X2012" s="165">
        <v>2</v>
      </c>
      <c r="Y2012" s="164" t="s">
        <v>194</v>
      </c>
      <c r="Z2012" s="164" t="s">
        <v>195</v>
      </c>
      <c r="AA2012" s="164" t="s">
        <v>196</v>
      </c>
      <c r="AB2012" s="164" t="s">
        <v>187</v>
      </c>
      <c r="AC2012" s="164" t="s">
        <v>187</v>
      </c>
      <c r="AD2012" s="165">
        <v>1</v>
      </c>
      <c r="AE2012" s="164" t="s">
        <v>209</v>
      </c>
      <c r="AF2012" s="165">
        <v>-3.4584000000000001</v>
      </c>
      <c r="AG2012" s="166">
        <v>119.17462999999999</v>
      </c>
      <c r="AO2012" s="121"/>
      <c r="AT2012" s="111"/>
      <c r="AX2012" s="121"/>
    </row>
    <row r="2013" spans="1:50" s="110" customFormat="1" ht="20" customHeight="1">
      <c r="A2013" s="125" t="s">
        <v>185</v>
      </c>
      <c r="B2013" s="126" t="s">
        <v>59</v>
      </c>
      <c r="C2013" s="127">
        <v>12570</v>
      </c>
      <c r="D2013" s="163">
        <v>104732</v>
      </c>
      <c r="E2013" s="164" t="s">
        <v>1098</v>
      </c>
      <c r="F2013" s="164" t="s">
        <v>1098</v>
      </c>
      <c r="G2013" s="165">
        <v>62000</v>
      </c>
      <c r="H2013" s="165">
        <v>1</v>
      </c>
      <c r="I2013" s="164" t="s">
        <v>187</v>
      </c>
      <c r="J2013" s="164" t="s">
        <v>1099</v>
      </c>
      <c r="K2013" s="164" t="s">
        <v>1098</v>
      </c>
      <c r="L2013" s="165">
        <v>3</v>
      </c>
      <c r="M2013" s="165">
        <v>6</v>
      </c>
      <c r="N2013" s="164" t="s">
        <v>189</v>
      </c>
      <c r="O2013" s="165">
        <v>1.4E-2</v>
      </c>
      <c r="P2013" s="165">
        <v>1.4E-2</v>
      </c>
      <c r="Q2013" s="165">
        <v>17</v>
      </c>
      <c r="R2013" s="164" t="s">
        <v>190</v>
      </c>
      <c r="S2013" s="164" t="s">
        <v>191</v>
      </c>
      <c r="T2013" s="165">
        <v>152</v>
      </c>
      <c r="U2013" s="164" t="s">
        <v>246</v>
      </c>
      <c r="V2013" s="164" t="s">
        <v>247</v>
      </c>
      <c r="W2013" s="165">
        <v>1</v>
      </c>
      <c r="X2013" s="165">
        <v>2</v>
      </c>
      <c r="Y2013" s="164" t="s">
        <v>194</v>
      </c>
      <c r="Z2013" s="164" t="s">
        <v>195</v>
      </c>
      <c r="AA2013" s="164" t="s">
        <v>196</v>
      </c>
      <c r="AB2013" s="164" t="s">
        <v>187</v>
      </c>
      <c r="AC2013" s="164" t="s">
        <v>187</v>
      </c>
      <c r="AD2013" s="165">
        <v>1</v>
      </c>
      <c r="AE2013" s="164" t="s">
        <v>187</v>
      </c>
      <c r="AF2013" s="165">
        <v>-2.4116</v>
      </c>
      <c r="AG2013" s="166">
        <v>119.15985999999999</v>
      </c>
      <c r="AO2013" s="121"/>
      <c r="AT2013" s="111"/>
      <c r="AX2013" s="121"/>
    </row>
    <row r="2014" spans="1:50" s="110" customFormat="1" ht="20" customHeight="1">
      <c r="A2014" s="125" t="s">
        <v>185</v>
      </c>
      <c r="B2014" s="126" t="s">
        <v>59</v>
      </c>
      <c r="C2014" s="127">
        <v>21529</v>
      </c>
      <c r="D2014" s="163">
        <v>118336</v>
      </c>
      <c r="E2014" s="164" t="s">
        <v>1114</v>
      </c>
      <c r="F2014" s="164" t="s">
        <v>1114</v>
      </c>
      <c r="G2014" s="165">
        <v>30000</v>
      </c>
      <c r="H2014" s="165">
        <v>1</v>
      </c>
      <c r="I2014" s="164" t="s">
        <v>187</v>
      </c>
      <c r="J2014" s="164" t="s">
        <v>1048</v>
      </c>
      <c r="K2014" s="164" t="s">
        <v>1047</v>
      </c>
      <c r="L2014" s="165">
        <v>1</v>
      </c>
      <c r="M2014" s="165">
        <v>6</v>
      </c>
      <c r="N2014" s="164" t="s">
        <v>189</v>
      </c>
      <c r="O2014" s="165">
        <v>0</v>
      </c>
      <c r="P2014" s="165">
        <v>0</v>
      </c>
      <c r="Q2014" s="165">
        <v>17</v>
      </c>
      <c r="R2014" s="164" t="s">
        <v>190</v>
      </c>
      <c r="S2014" s="164" t="s">
        <v>191</v>
      </c>
      <c r="T2014" s="165">
        <v>152</v>
      </c>
      <c r="U2014" s="164" t="s">
        <v>246</v>
      </c>
      <c r="V2014" s="164" t="s">
        <v>247</v>
      </c>
      <c r="W2014" s="165">
        <v>1</v>
      </c>
      <c r="X2014" s="165">
        <v>2</v>
      </c>
      <c r="Y2014" s="164" t="s">
        <v>194</v>
      </c>
      <c r="Z2014" s="164" t="s">
        <v>195</v>
      </c>
      <c r="AA2014" s="164" t="s">
        <v>196</v>
      </c>
      <c r="AB2014" s="164" t="s">
        <v>187</v>
      </c>
      <c r="AC2014" s="164" t="s">
        <v>187</v>
      </c>
      <c r="AD2014" s="165">
        <v>1</v>
      </c>
      <c r="AE2014" s="164" t="s">
        <v>187</v>
      </c>
      <c r="AF2014" s="165">
        <v>-3.7439619999999998</v>
      </c>
      <c r="AG2014" s="166">
        <v>119.870316</v>
      </c>
      <c r="AO2014" s="121"/>
      <c r="AT2014" s="111"/>
      <c r="AX2014" s="121"/>
    </row>
    <row r="2015" spans="1:50" s="110" customFormat="1" ht="20" customHeight="1">
      <c r="A2015" s="125" t="s">
        <v>185</v>
      </c>
      <c r="B2015" s="126" t="s">
        <v>59</v>
      </c>
      <c r="C2015" s="127">
        <v>10795</v>
      </c>
      <c r="D2015" s="163">
        <v>101263</v>
      </c>
      <c r="E2015" s="164" t="s">
        <v>469</v>
      </c>
      <c r="F2015" s="164" t="s">
        <v>469</v>
      </c>
      <c r="G2015" s="165">
        <v>25000</v>
      </c>
      <c r="H2015" s="165">
        <v>1</v>
      </c>
      <c r="I2015" s="164" t="s">
        <v>187</v>
      </c>
      <c r="J2015" s="164" t="s">
        <v>470</v>
      </c>
      <c r="K2015" s="164" t="s">
        <v>469</v>
      </c>
      <c r="L2015" s="165">
        <v>1</v>
      </c>
      <c r="M2015" s="165">
        <v>6</v>
      </c>
      <c r="N2015" s="164" t="s">
        <v>189</v>
      </c>
      <c r="O2015" s="165">
        <v>3</v>
      </c>
      <c r="P2015" s="165">
        <v>0.36</v>
      </c>
      <c r="Q2015" s="165">
        <v>17</v>
      </c>
      <c r="R2015" s="164" t="s">
        <v>190</v>
      </c>
      <c r="S2015" s="164" t="s">
        <v>191</v>
      </c>
      <c r="T2015" s="165">
        <v>152</v>
      </c>
      <c r="U2015" s="164" t="s">
        <v>246</v>
      </c>
      <c r="V2015" s="164" t="s">
        <v>247</v>
      </c>
      <c r="W2015" s="165">
        <v>1</v>
      </c>
      <c r="X2015" s="165">
        <v>2</v>
      </c>
      <c r="Y2015" s="164" t="s">
        <v>194</v>
      </c>
      <c r="Z2015" s="164" t="s">
        <v>195</v>
      </c>
      <c r="AA2015" s="164" t="s">
        <v>196</v>
      </c>
      <c r="AB2015" s="164" t="s">
        <v>187</v>
      </c>
      <c r="AC2015" s="164" t="s">
        <v>187</v>
      </c>
      <c r="AD2015" s="165">
        <v>1</v>
      </c>
      <c r="AE2015" s="164" t="s">
        <v>209</v>
      </c>
      <c r="AF2015" s="165">
        <v>-4.758</v>
      </c>
      <c r="AG2015" s="166">
        <v>119.7989</v>
      </c>
      <c r="AO2015" s="121"/>
      <c r="AT2015" s="111"/>
      <c r="AX2015" s="121"/>
    </row>
    <row r="2016" spans="1:50" s="110" customFormat="1" ht="20" customHeight="1">
      <c r="A2016" s="125" t="s">
        <v>185</v>
      </c>
      <c r="B2016" s="126" t="s">
        <v>59</v>
      </c>
      <c r="C2016" s="127">
        <v>15705</v>
      </c>
      <c r="D2016" s="163">
        <v>110389</v>
      </c>
      <c r="E2016" s="164" t="s">
        <v>1486</v>
      </c>
      <c r="F2016" s="164" t="s">
        <v>1486</v>
      </c>
      <c r="G2016" s="165">
        <v>21000</v>
      </c>
      <c r="H2016" s="165">
        <v>1</v>
      </c>
      <c r="I2016" s="164" t="s">
        <v>187</v>
      </c>
      <c r="J2016" s="164" t="s">
        <v>1487</v>
      </c>
      <c r="K2016" s="164" t="s">
        <v>1488</v>
      </c>
      <c r="L2016" s="165">
        <v>1</v>
      </c>
      <c r="M2016" s="165">
        <v>6</v>
      </c>
      <c r="N2016" s="164" t="s">
        <v>189</v>
      </c>
      <c r="O2016" s="165">
        <v>1.9E-2</v>
      </c>
      <c r="P2016" s="165">
        <v>1.9E-2</v>
      </c>
      <c r="Q2016" s="165">
        <v>17</v>
      </c>
      <c r="R2016" s="164" t="s">
        <v>190</v>
      </c>
      <c r="S2016" s="164" t="s">
        <v>191</v>
      </c>
      <c r="T2016" s="165">
        <v>152</v>
      </c>
      <c r="U2016" s="164" t="s">
        <v>246</v>
      </c>
      <c r="V2016" s="164" t="s">
        <v>247</v>
      </c>
      <c r="W2016" s="165">
        <v>1</v>
      </c>
      <c r="X2016" s="165">
        <v>2</v>
      </c>
      <c r="Y2016" s="164" t="s">
        <v>194</v>
      </c>
      <c r="Z2016" s="164" t="s">
        <v>195</v>
      </c>
      <c r="AA2016" s="164" t="s">
        <v>196</v>
      </c>
      <c r="AB2016" s="164" t="s">
        <v>187</v>
      </c>
      <c r="AC2016" s="164" t="s">
        <v>187</v>
      </c>
      <c r="AD2016" s="165">
        <v>1</v>
      </c>
      <c r="AE2016" s="164" t="s">
        <v>187</v>
      </c>
      <c r="AF2016" s="165">
        <v>-2.9323199999999998</v>
      </c>
      <c r="AG2016" s="166">
        <v>118.98148</v>
      </c>
      <c r="AO2016" s="121"/>
      <c r="AT2016" s="111"/>
      <c r="AX2016" s="121"/>
    </row>
    <row r="2017" spans="1:50" s="110" customFormat="1" ht="20" customHeight="1">
      <c r="A2017" s="125" t="s">
        <v>185</v>
      </c>
      <c r="B2017" s="126" t="s">
        <v>59</v>
      </c>
      <c r="C2017" s="127">
        <v>21463</v>
      </c>
      <c r="D2017" s="163">
        <v>118277</v>
      </c>
      <c r="E2017" s="164" t="s">
        <v>243</v>
      </c>
      <c r="F2017" s="164" t="s">
        <v>243</v>
      </c>
      <c r="G2017" s="165">
        <v>16000</v>
      </c>
      <c r="H2017" s="165">
        <v>1</v>
      </c>
      <c r="I2017" s="164" t="s">
        <v>187</v>
      </c>
      <c r="J2017" s="164" t="s">
        <v>244</v>
      </c>
      <c r="K2017" s="164" t="s">
        <v>245</v>
      </c>
      <c r="L2017" s="165">
        <v>3</v>
      </c>
      <c r="M2017" s="165">
        <v>6</v>
      </c>
      <c r="N2017" s="164" t="s">
        <v>189</v>
      </c>
      <c r="O2017" s="165">
        <v>0</v>
      </c>
      <c r="P2017" s="165">
        <v>0</v>
      </c>
      <c r="Q2017" s="165">
        <v>17</v>
      </c>
      <c r="R2017" s="164" t="s">
        <v>190</v>
      </c>
      <c r="S2017" s="164" t="s">
        <v>191</v>
      </c>
      <c r="T2017" s="165">
        <v>152</v>
      </c>
      <c r="U2017" s="164" t="s">
        <v>246</v>
      </c>
      <c r="V2017" s="164" t="s">
        <v>247</v>
      </c>
      <c r="W2017" s="165">
        <v>1</v>
      </c>
      <c r="X2017" s="165">
        <v>2</v>
      </c>
      <c r="Y2017" s="164" t="s">
        <v>194</v>
      </c>
      <c r="Z2017" s="164" t="s">
        <v>195</v>
      </c>
      <c r="AA2017" s="164" t="s">
        <v>196</v>
      </c>
      <c r="AB2017" s="164" t="s">
        <v>187</v>
      </c>
      <c r="AC2017" s="164" t="s">
        <v>187</v>
      </c>
      <c r="AD2017" s="165">
        <v>1</v>
      </c>
      <c r="AE2017" s="164" t="s">
        <v>187</v>
      </c>
      <c r="AF2017" s="165">
        <v>-3.3066080000000002</v>
      </c>
      <c r="AG2017" s="166">
        <v>118.953039</v>
      </c>
      <c r="AO2017" s="121"/>
      <c r="AT2017" s="111"/>
      <c r="AX2017" s="121"/>
    </row>
    <row r="2018" spans="1:50" s="110" customFormat="1" ht="20" customHeight="1">
      <c r="A2018" s="125" t="s">
        <v>185</v>
      </c>
      <c r="B2018" s="126" t="s">
        <v>59</v>
      </c>
      <c r="C2018" s="127">
        <v>14301</v>
      </c>
      <c r="D2018" s="163">
        <v>107853</v>
      </c>
      <c r="E2018" s="164" t="s">
        <v>1180</v>
      </c>
      <c r="F2018" s="164" t="s">
        <v>1180</v>
      </c>
      <c r="G2018" s="165">
        <v>11000</v>
      </c>
      <c r="H2018" s="165">
        <v>1</v>
      </c>
      <c r="I2018" s="164" t="s">
        <v>187</v>
      </c>
      <c r="J2018" s="164" t="s">
        <v>1181</v>
      </c>
      <c r="K2018" s="164" t="s">
        <v>1180</v>
      </c>
      <c r="L2018" s="165">
        <v>1</v>
      </c>
      <c r="M2018" s="165">
        <v>6</v>
      </c>
      <c r="N2018" s="164" t="s">
        <v>189</v>
      </c>
      <c r="O2018" s="165">
        <v>0.5</v>
      </c>
      <c r="P2018" s="165">
        <v>0</v>
      </c>
      <c r="Q2018" s="165">
        <v>17</v>
      </c>
      <c r="R2018" s="164" t="s">
        <v>190</v>
      </c>
      <c r="S2018" s="164" t="s">
        <v>191</v>
      </c>
      <c r="T2018" s="165">
        <v>152</v>
      </c>
      <c r="U2018" s="164" t="s">
        <v>246</v>
      </c>
      <c r="V2018" s="164" t="s">
        <v>247</v>
      </c>
      <c r="W2018" s="165">
        <v>1</v>
      </c>
      <c r="X2018" s="165">
        <v>2</v>
      </c>
      <c r="Y2018" s="164" t="s">
        <v>194</v>
      </c>
      <c r="Z2018" s="164" t="s">
        <v>195</v>
      </c>
      <c r="AA2018" s="164" t="s">
        <v>196</v>
      </c>
      <c r="AB2018" s="164" t="s">
        <v>187</v>
      </c>
      <c r="AC2018" s="164" t="s">
        <v>187</v>
      </c>
      <c r="AD2018" s="165">
        <v>1</v>
      </c>
      <c r="AE2018" s="164" t="s">
        <v>209</v>
      </c>
      <c r="AF2018" s="165">
        <v>-3.2238600000000002</v>
      </c>
      <c r="AG2018" s="166">
        <v>119.20554</v>
      </c>
      <c r="AO2018" s="121"/>
      <c r="AT2018" s="111"/>
      <c r="AX2018" s="121"/>
    </row>
    <row r="2019" spans="1:50" s="110" customFormat="1" ht="20" customHeight="1">
      <c r="A2019" s="125" t="s">
        <v>185</v>
      </c>
      <c r="B2019" s="126" t="s">
        <v>59</v>
      </c>
      <c r="C2019" s="127">
        <v>21530</v>
      </c>
      <c r="D2019" s="163">
        <v>118334</v>
      </c>
      <c r="E2019" s="164" t="s">
        <v>289</v>
      </c>
      <c r="F2019" s="164" t="s">
        <v>289</v>
      </c>
      <c r="G2019" s="165">
        <v>6000</v>
      </c>
      <c r="H2019" s="165">
        <v>1</v>
      </c>
      <c r="I2019" s="164" t="s">
        <v>187</v>
      </c>
      <c r="J2019" s="164" t="s">
        <v>290</v>
      </c>
      <c r="K2019" s="164" t="s">
        <v>291</v>
      </c>
      <c r="L2019" s="165">
        <v>4</v>
      </c>
      <c r="M2019" s="165">
        <v>6</v>
      </c>
      <c r="N2019" s="164" t="s">
        <v>189</v>
      </c>
      <c r="O2019" s="165">
        <v>0.16600000000000001</v>
      </c>
      <c r="P2019" s="165">
        <v>0.16600000000000001</v>
      </c>
      <c r="Q2019" s="165">
        <v>17</v>
      </c>
      <c r="R2019" s="164" t="s">
        <v>190</v>
      </c>
      <c r="S2019" s="164" t="s">
        <v>191</v>
      </c>
      <c r="T2019" s="165">
        <v>152</v>
      </c>
      <c r="U2019" s="164" t="s">
        <v>246</v>
      </c>
      <c r="V2019" s="164" t="s">
        <v>247</v>
      </c>
      <c r="W2019" s="165">
        <v>1</v>
      </c>
      <c r="X2019" s="165">
        <v>2</v>
      </c>
      <c r="Y2019" s="164" t="s">
        <v>194</v>
      </c>
      <c r="Z2019" s="164" t="s">
        <v>195</v>
      </c>
      <c r="AA2019" s="164" t="s">
        <v>196</v>
      </c>
      <c r="AB2019" s="164" t="s">
        <v>187</v>
      </c>
      <c r="AC2019" s="164" t="s">
        <v>187</v>
      </c>
      <c r="AD2019" s="165">
        <v>1</v>
      </c>
      <c r="AE2019" s="164" t="s">
        <v>209</v>
      </c>
      <c r="AF2019" s="165">
        <v>-2.8732920000000002</v>
      </c>
      <c r="AG2019" s="166">
        <v>119.09331</v>
      </c>
      <c r="AO2019" s="121"/>
      <c r="AT2019" s="111"/>
      <c r="AX2019" s="121"/>
    </row>
    <row r="2020" spans="1:50" s="110" customFormat="1" ht="20" customHeight="1">
      <c r="A2020" s="125" t="s">
        <v>185</v>
      </c>
      <c r="B2020" s="126" t="s">
        <v>59</v>
      </c>
      <c r="C2020" s="127">
        <v>12733</v>
      </c>
      <c r="D2020" s="163">
        <v>105074</v>
      </c>
      <c r="E2020" s="164" t="s">
        <v>934</v>
      </c>
      <c r="F2020" s="164" t="s">
        <v>934</v>
      </c>
      <c r="G2020" s="165">
        <v>2200</v>
      </c>
      <c r="H2020" s="165">
        <v>1</v>
      </c>
      <c r="I2020" s="164" t="s">
        <v>187</v>
      </c>
      <c r="J2020" s="164" t="s">
        <v>935</v>
      </c>
      <c r="K2020" s="164" t="s">
        <v>934</v>
      </c>
      <c r="L2020" s="165">
        <v>1</v>
      </c>
      <c r="M2020" s="165">
        <v>6</v>
      </c>
      <c r="N2020" s="164" t="s">
        <v>189</v>
      </c>
      <c r="O2020" s="165">
        <v>1.006</v>
      </c>
      <c r="P2020" s="165">
        <v>1.006</v>
      </c>
      <c r="Q2020" s="165">
        <v>17</v>
      </c>
      <c r="R2020" s="164" t="s">
        <v>190</v>
      </c>
      <c r="S2020" s="164" t="s">
        <v>191</v>
      </c>
      <c r="T2020" s="165">
        <v>152</v>
      </c>
      <c r="U2020" s="164" t="s">
        <v>246</v>
      </c>
      <c r="V2020" s="164" t="s">
        <v>247</v>
      </c>
      <c r="W2020" s="165">
        <v>1</v>
      </c>
      <c r="X2020" s="165">
        <v>2</v>
      </c>
      <c r="Y2020" s="164" t="s">
        <v>194</v>
      </c>
      <c r="Z2020" s="164" t="s">
        <v>195</v>
      </c>
      <c r="AA2020" s="164" t="s">
        <v>196</v>
      </c>
      <c r="AB2020" s="164" t="s">
        <v>187</v>
      </c>
      <c r="AC2020" s="164" t="s">
        <v>187</v>
      </c>
      <c r="AD2020" s="165">
        <v>1</v>
      </c>
      <c r="AE2020" s="164" t="s">
        <v>209</v>
      </c>
      <c r="AF2020" s="165">
        <v>-3.3947500000000002</v>
      </c>
      <c r="AG2020" s="166">
        <v>120.94425</v>
      </c>
      <c r="AO2020" s="121"/>
      <c r="AT2020" s="111"/>
      <c r="AX2020" s="121"/>
    </row>
    <row r="2021" spans="1:50" s="110" customFormat="1" ht="20" customHeight="1">
      <c r="A2021" s="125" t="s">
        <v>185</v>
      </c>
      <c r="B2021" s="126" t="s">
        <v>59</v>
      </c>
      <c r="C2021" s="127">
        <v>12447</v>
      </c>
      <c r="D2021" s="163">
        <v>104462</v>
      </c>
      <c r="E2021" s="164" t="s">
        <v>879</v>
      </c>
      <c r="F2021" s="164" t="s">
        <v>879</v>
      </c>
      <c r="G2021" s="165">
        <v>800</v>
      </c>
      <c r="H2021" s="165">
        <v>1</v>
      </c>
      <c r="I2021" s="164" t="s">
        <v>187</v>
      </c>
      <c r="J2021" s="164" t="s">
        <v>880</v>
      </c>
      <c r="K2021" s="164" t="s">
        <v>879</v>
      </c>
      <c r="L2021" s="165">
        <v>0</v>
      </c>
      <c r="M2021" s="165">
        <v>6</v>
      </c>
      <c r="N2021" s="164" t="s">
        <v>189</v>
      </c>
      <c r="O2021" s="165">
        <v>0</v>
      </c>
      <c r="P2021" s="165">
        <v>0</v>
      </c>
      <c r="Q2021" s="165">
        <v>17</v>
      </c>
      <c r="R2021" s="164" t="s">
        <v>190</v>
      </c>
      <c r="S2021" s="164" t="s">
        <v>191</v>
      </c>
      <c r="T2021" s="165">
        <v>152</v>
      </c>
      <c r="U2021" s="164" t="s">
        <v>246</v>
      </c>
      <c r="V2021" s="164" t="s">
        <v>247</v>
      </c>
      <c r="W2021" s="165">
        <v>1</v>
      </c>
      <c r="X2021" s="165">
        <v>2</v>
      </c>
      <c r="Y2021" s="164" t="s">
        <v>194</v>
      </c>
      <c r="Z2021" s="164" t="s">
        <v>195</v>
      </c>
      <c r="AA2021" s="164" t="s">
        <v>196</v>
      </c>
      <c r="AB2021" s="164" t="s">
        <v>187</v>
      </c>
      <c r="AC2021" s="164" t="s">
        <v>187</v>
      </c>
      <c r="AD2021" s="165">
        <v>1</v>
      </c>
      <c r="AE2021" s="164" t="s">
        <v>187</v>
      </c>
      <c r="AF2021" s="165">
        <v>-7.3109799999999998</v>
      </c>
      <c r="AG2021" s="166">
        <v>120.99298</v>
      </c>
      <c r="AO2021" s="121"/>
      <c r="AT2021" s="111"/>
      <c r="AX2021" s="121"/>
    </row>
    <row r="2022" spans="1:50" s="110" customFormat="1" ht="20" customHeight="1">
      <c r="A2022" s="125" t="s">
        <v>185</v>
      </c>
      <c r="B2022" s="126" t="s">
        <v>59</v>
      </c>
      <c r="C2022" s="127">
        <v>15419</v>
      </c>
      <c r="D2022" s="163">
        <v>110866</v>
      </c>
      <c r="E2022" s="164" t="s">
        <v>1522</v>
      </c>
      <c r="F2022" s="164" t="s">
        <v>1522</v>
      </c>
      <c r="G2022" s="165">
        <v>600</v>
      </c>
      <c r="H2022" s="165">
        <v>1</v>
      </c>
      <c r="I2022" s="164" t="s">
        <v>187</v>
      </c>
      <c r="J2022" s="164" t="s">
        <v>1523</v>
      </c>
      <c r="K2022" s="164" t="s">
        <v>1522</v>
      </c>
      <c r="L2022" s="165">
        <v>0</v>
      </c>
      <c r="M2022" s="165">
        <v>6</v>
      </c>
      <c r="N2022" s="164" t="s">
        <v>189</v>
      </c>
      <c r="O2022" s="165">
        <v>0</v>
      </c>
      <c r="P2022" s="165">
        <v>0</v>
      </c>
      <c r="Q2022" s="165">
        <v>17</v>
      </c>
      <c r="R2022" s="164" t="s">
        <v>190</v>
      </c>
      <c r="S2022" s="164" t="s">
        <v>191</v>
      </c>
      <c r="T2022" s="165">
        <v>152</v>
      </c>
      <c r="U2022" s="164" t="s">
        <v>246</v>
      </c>
      <c r="V2022" s="164" t="s">
        <v>247</v>
      </c>
      <c r="W2022" s="165">
        <v>1</v>
      </c>
      <c r="X2022" s="165">
        <v>2</v>
      </c>
      <c r="Y2022" s="164" t="s">
        <v>194</v>
      </c>
      <c r="Z2022" s="164" t="s">
        <v>195</v>
      </c>
      <c r="AA2022" s="164" t="s">
        <v>196</v>
      </c>
      <c r="AB2022" s="164" t="s">
        <v>187</v>
      </c>
      <c r="AC2022" s="164" t="s">
        <v>187</v>
      </c>
      <c r="AD2022" s="165">
        <v>1</v>
      </c>
      <c r="AE2022" s="164" t="s">
        <v>187</v>
      </c>
      <c r="AF2022" s="165">
        <v>-2.6029100000000001</v>
      </c>
      <c r="AG2022" s="166">
        <v>120.90017</v>
      </c>
      <c r="AO2022" s="121"/>
      <c r="AT2022" s="111"/>
      <c r="AX2022" s="121"/>
    </row>
    <row r="2023" spans="1:50" s="110" customFormat="1" ht="20" customHeight="1">
      <c r="A2023" s="125" t="s">
        <v>185</v>
      </c>
      <c r="B2023" s="126" t="s">
        <v>59</v>
      </c>
      <c r="C2023" s="127">
        <v>19591</v>
      </c>
      <c r="D2023" s="157">
        <v>110403</v>
      </c>
      <c r="E2023" s="158" t="s">
        <v>867</v>
      </c>
      <c r="F2023" s="158" t="s">
        <v>867</v>
      </c>
      <c r="G2023" s="159">
        <v>66000</v>
      </c>
      <c r="H2023" s="159">
        <v>2</v>
      </c>
      <c r="I2023" s="158" t="s">
        <v>209</v>
      </c>
      <c r="J2023" s="158" t="s">
        <v>868</v>
      </c>
      <c r="K2023" s="158" t="s">
        <v>869</v>
      </c>
      <c r="L2023" s="159">
        <v>4</v>
      </c>
      <c r="M2023" s="159">
        <v>6</v>
      </c>
      <c r="N2023" s="158" t="s">
        <v>189</v>
      </c>
      <c r="O2023" s="159">
        <v>10</v>
      </c>
      <c r="P2023" s="159">
        <v>0.5</v>
      </c>
      <c r="Q2023" s="159">
        <v>17</v>
      </c>
      <c r="R2023" s="158" t="s">
        <v>190</v>
      </c>
      <c r="S2023" s="158" t="s">
        <v>191</v>
      </c>
      <c r="T2023" s="159">
        <v>152</v>
      </c>
      <c r="U2023" s="158" t="s">
        <v>246</v>
      </c>
      <c r="V2023" s="158" t="s">
        <v>247</v>
      </c>
      <c r="W2023" s="159">
        <v>1</v>
      </c>
      <c r="X2023" s="159">
        <v>2</v>
      </c>
      <c r="Y2023" s="158" t="s">
        <v>194</v>
      </c>
      <c r="Z2023" s="158" t="s">
        <v>195</v>
      </c>
      <c r="AA2023" s="158" t="s">
        <v>196</v>
      </c>
      <c r="AB2023" s="158" t="s">
        <v>187</v>
      </c>
      <c r="AC2023" s="158" t="s">
        <v>187</v>
      </c>
      <c r="AD2023" s="160"/>
      <c r="AE2023" s="158" t="s">
        <v>209</v>
      </c>
      <c r="AF2023" s="159">
        <v>-1.23088</v>
      </c>
      <c r="AG2023" s="161">
        <v>119.56435999999999</v>
      </c>
      <c r="AO2023" s="121"/>
      <c r="AT2023" s="111"/>
      <c r="AX2023" s="121"/>
    </row>
    <row r="2024" spans="1:50" s="110" customFormat="1" ht="20" customHeight="1">
      <c r="A2024" s="125" t="s">
        <v>185</v>
      </c>
      <c r="B2024" s="126" t="s">
        <v>59</v>
      </c>
      <c r="C2024" s="127">
        <v>11476</v>
      </c>
      <c r="D2024" s="157">
        <v>102393</v>
      </c>
      <c r="E2024" s="158" t="s">
        <v>599</v>
      </c>
      <c r="F2024" s="158" t="s">
        <v>599</v>
      </c>
      <c r="G2024" s="159">
        <v>2400</v>
      </c>
      <c r="H2024" s="159">
        <v>2</v>
      </c>
      <c r="I2024" s="158" t="s">
        <v>209</v>
      </c>
      <c r="J2024" s="158" t="s">
        <v>600</v>
      </c>
      <c r="K2024" s="158" t="s">
        <v>599</v>
      </c>
      <c r="L2024" s="159">
        <v>1</v>
      </c>
      <c r="M2024" s="159">
        <v>6</v>
      </c>
      <c r="N2024" s="158" t="s">
        <v>189</v>
      </c>
      <c r="O2024" s="159">
        <v>8</v>
      </c>
      <c r="P2024" s="159">
        <v>2</v>
      </c>
      <c r="Q2024" s="159">
        <v>17</v>
      </c>
      <c r="R2024" s="158" t="s">
        <v>190</v>
      </c>
      <c r="S2024" s="158" t="s">
        <v>191</v>
      </c>
      <c r="T2024" s="159">
        <v>152</v>
      </c>
      <c r="U2024" s="158" t="s">
        <v>246</v>
      </c>
      <c r="V2024" s="158" t="s">
        <v>247</v>
      </c>
      <c r="W2024" s="159">
        <v>1</v>
      </c>
      <c r="X2024" s="159">
        <v>2</v>
      </c>
      <c r="Y2024" s="158" t="s">
        <v>194</v>
      </c>
      <c r="Z2024" s="158" t="s">
        <v>195</v>
      </c>
      <c r="AA2024" s="158" t="s">
        <v>196</v>
      </c>
      <c r="AB2024" s="158" t="s">
        <v>187</v>
      </c>
      <c r="AC2024" s="158" t="s">
        <v>187</v>
      </c>
      <c r="AD2024" s="160"/>
      <c r="AE2024" s="158" t="s">
        <v>209</v>
      </c>
      <c r="AF2024" s="159">
        <v>-3.33683</v>
      </c>
      <c r="AG2024" s="161">
        <v>119.23559</v>
      </c>
      <c r="AO2024" s="121"/>
      <c r="AT2024" s="111"/>
      <c r="AX2024" s="121"/>
    </row>
    <row r="2025" spans="1:50" s="110" customFormat="1" ht="20" customHeight="1">
      <c r="A2025" s="125" t="s">
        <v>237</v>
      </c>
      <c r="B2025" s="126" t="s">
        <v>60</v>
      </c>
      <c r="C2025" s="127">
        <v>10985</v>
      </c>
      <c r="D2025" s="163">
        <v>101703</v>
      </c>
      <c r="E2025" s="164" t="s">
        <v>549</v>
      </c>
      <c r="F2025" s="164" t="s">
        <v>549</v>
      </c>
      <c r="G2025" s="165">
        <v>143000</v>
      </c>
      <c r="H2025" s="165">
        <v>1</v>
      </c>
      <c r="I2025" s="164" t="s">
        <v>187</v>
      </c>
      <c r="J2025" s="164" t="s">
        <v>210</v>
      </c>
      <c r="K2025" s="164" t="s">
        <v>211</v>
      </c>
      <c r="L2025" s="165">
        <v>5</v>
      </c>
      <c r="M2025" s="165">
        <v>6</v>
      </c>
      <c r="N2025" s="164" t="s">
        <v>189</v>
      </c>
      <c r="O2025" s="165">
        <v>0</v>
      </c>
      <c r="P2025" s="165">
        <v>0</v>
      </c>
      <c r="Q2025" s="165">
        <v>17</v>
      </c>
      <c r="R2025" s="164" t="s">
        <v>190</v>
      </c>
      <c r="S2025" s="164" t="s">
        <v>191</v>
      </c>
      <c r="T2025" s="165">
        <v>152</v>
      </c>
      <c r="U2025" s="164" t="s">
        <v>246</v>
      </c>
      <c r="V2025" s="164" t="s">
        <v>247</v>
      </c>
      <c r="W2025" s="165">
        <v>3</v>
      </c>
      <c r="X2025" s="165">
        <v>2</v>
      </c>
      <c r="Y2025" s="164" t="s">
        <v>194</v>
      </c>
      <c r="Z2025" s="164" t="s">
        <v>195</v>
      </c>
      <c r="AA2025" s="164" t="s">
        <v>196</v>
      </c>
      <c r="AB2025" s="164" t="s">
        <v>187</v>
      </c>
      <c r="AC2025" s="164" t="s">
        <v>187</v>
      </c>
      <c r="AD2025" s="165">
        <v>3</v>
      </c>
      <c r="AE2025" s="164" t="s">
        <v>187</v>
      </c>
      <c r="AF2025" s="165">
        <v>4.9978699999999998</v>
      </c>
      <c r="AG2025" s="166">
        <v>118.24887</v>
      </c>
      <c r="AO2025" s="121"/>
      <c r="AT2025" s="111"/>
      <c r="AX2025" s="121"/>
    </row>
    <row r="2026" spans="1:50" s="110" customFormat="1" ht="20" customHeight="1">
      <c r="A2026" s="125" t="s">
        <v>408</v>
      </c>
      <c r="B2026" s="126" t="s">
        <v>64</v>
      </c>
      <c r="C2026" s="127">
        <v>10985</v>
      </c>
      <c r="D2026" s="163">
        <v>101703</v>
      </c>
      <c r="E2026" s="164" t="s">
        <v>549</v>
      </c>
      <c r="F2026" s="164" t="s">
        <v>549</v>
      </c>
      <c r="G2026" s="165">
        <v>11000</v>
      </c>
      <c r="H2026" s="165">
        <v>1</v>
      </c>
      <c r="I2026" s="164" t="s">
        <v>187</v>
      </c>
      <c r="J2026" s="164" t="s">
        <v>550</v>
      </c>
      <c r="K2026" s="164" t="s">
        <v>551</v>
      </c>
      <c r="L2026" s="165">
        <v>5</v>
      </c>
      <c r="M2026" s="165">
        <v>6</v>
      </c>
      <c r="N2026" s="164" t="s">
        <v>189</v>
      </c>
      <c r="O2026" s="165">
        <v>1.5</v>
      </c>
      <c r="P2026" s="165">
        <v>0.9</v>
      </c>
      <c r="Q2026" s="165">
        <v>17</v>
      </c>
      <c r="R2026" s="164" t="s">
        <v>190</v>
      </c>
      <c r="S2026" s="164" t="s">
        <v>191</v>
      </c>
      <c r="T2026" s="165">
        <v>152</v>
      </c>
      <c r="U2026" s="164" t="s">
        <v>246</v>
      </c>
      <c r="V2026" s="164" t="s">
        <v>247</v>
      </c>
      <c r="W2026" s="165">
        <v>3</v>
      </c>
      <c r="X2026" s="165">
        <v>2</v>
      </c>
      <c r="Y2026" s="164" t="s">
        <v>194</v>
      </c>
      <c r="Z2026" s="164" t="s">
        <v>195</v>
      </c>
      <c r="AA2026" s="164" t="s">
        <v>196</v>
      </c>
      <c r="AB2026" s="164" t="s">
        <v>209</v>
      </c>
      <c r="AC2026" s="164" t="s">
        <v>209</v>
      </c>
      <c r="AD2026" s="165">
        <v>1</v>
      </c>
      <c r="AE2026" s="164" t="s">
        <v>209</v>
      </c>
      <c r="AF2026" s="165">
        <v>1.2964264253392299</v>
      </c>
      <c r="AG2026" s="166">
        <v>103.88684636666601</v>
      </c>
      <c r="AO2026" s="121"/>
      <c r="AT2026" s="111"/>
      <c r="AX2026" s="121"/>
    </row>
    <row r="2027" spans="1:50" s="110" customFormat="1" ht="20" customHeight="1">
      <c r="A2027" s="125" t="s">
        <v>370</v>
      </c>
      <c r="B2027" s="126" t="s">
        <v>58</v>
      </c>
      <c r="C2027" s="127">
        <v>12978</v>
      </c>
      <c r="D2027" s="163">
        <v>105628</v>
      </c>
      <c r="E2027" s="164" t="s">
        <v>335</v>
      </c>
      <c r="F2027" s="164" t="s">
        <v>335</v>
      </c>
      <c r="G2027" s="165">
        <v>12000</v>
      </c>
      <c r="H2027" s="165">
        <v>1</v>
      </c>
      <c r="I2027" s="164" t="s">
        <v>187</v>
      </c>
      <c r="J2027" s="164" t="s">
        <v>336</v>
      </c>
      <c r="K2027" s="164" t="s">
        <v>335</v>
      </c>
      <c r="L2027" s="165">
        <v>2</v>
      </c>
      <c r="M2027" s="165">
        <v>6</v>
      </c>
      <c r="N2027" s="164" t="s">
        <v>189</v>
      </c>
      <c r="O2027" s="165">
        <v>1.9E-2</v>
      </c>
      <c r="P2027" s="165">
        <v>1.9E-2</v>
      </c>
      <c r="Q2027" s="165">
        <v>17</v>
      </c>
      <c r="R2027" s="164" t="s">
        <v>190</v>
      </c>
      <c r="S2027" s="164" t="s">
        <v>191</v>
      </c>
      <c r="T2027" s="165">
        <v>153</v>
      </c>
      <c r="U2027" s="164" t="s">
        <v>324</v>
      </c>
      <c r="V2027" s="164" t="s">
        <v>325</v>
      </c>
      <c r="W2027" s="165">
        <v>2</v>
      </c>
      <c r="X2027" s="165">
        <v>2</v>
      </c>
      <c r="Y2027" s="164" t="s">
        <v>194</v>
      </c>
      <c r="Z2027" s="164" t="s">
        <v>195</v>
      </c>
      <c r="AA2027" s="164" t="s">
        <v>196</v>
      </c>
      <c r="AB2027" s="164" t="s">
        <v>187</v>
      </c>
      <c r="AC2027" s="164" t="s">
        <v>187</v>
      </c>
      <c r="AD2027" s="165">
        <v>1</v>
      </c>
      <c r="AE2027" s="164" t="s">
        <v>187</v>
      </c>
      <c r="AF2027" s="165">
        <v>4.8289619999999998</v>
      </c>
      <c r="AG2027" s="166">
        <v>115.172442</v>
      </c>
      <c r="AO2027" s="121"/>
      <c r="AT2027" s="111"/>
      <c r="AX2027" s="121"/>
    </row>
    <row r="2028" spans="1:50" s="110" customFormat="1" ht="20" customHeight="1">
      <c r="A2028" s="125" t="s">
        <v>185</v>
      </c>
      <c r="B2028" s="126" t="s">
        <v>59</v>
      </c>
      <c r="C2028" s="127">
        <v>15540</v>
      </c>
      <c r="D2028" s="163">
        <v>110137</v>
      </c>
      <c r="E2028" s="164" t="s">
        <v>1451</v>
      </c>
      <c r="F2028" s="164" t="s">
        <v>1451</v>
      </c>
      <c r="G2028" s="165">
        <v>342000</v>
      </c>
      <c r="H2028" s="165">
        <v>1</v>
      </c>
      <c r="I2028" s="164" t="s">
        <v>187</v>
      </c>
      <c r="J2028" s="164" t="s">
        <v>1452</v>
      </c>
      <c r="K2028" s="164" t="s">
        <v>1451</v>
      </c>
      <c r="L2028" s="165">
        <v>4</v>
      </c>
      <c r="M2028" s="165">
        <v>6</v>
      </c>
      <c r="N2028" s="164" t="s">
        <v>189</v>
      </c>
      <c r="O2028" s="165">
        <v>2</v>
      </c>
      <c r="P2028" s="165">
        <v>0.80500000000000005</v>
      </c>
      <c r="Q2028" s="165">
        <v>17</v>
      </c>
      <c r="R2028" s="164" t="s">
        <v>190</v>
      </c>
      <c r="S2028" s="164" t="s">
        <v>191</v>
      </c>
      <c r="T2028" s="165">
        <v>153</v>
      </c>
      <c r="U2028" s="164" t="s">
        <v>324</v>
      </c>
      <c r="V2028" s="164" t="s">
        <v>325</v>
      </c>
      <c r="W2028" s="165">
        <v>1</v>
      </c>
      <c r="X2028" s="165">
        <v>2</v>
      </c>
      <c r="Y2028" s="164" t="s">
        <v>194</v>
      </c>
      <c r="Z2028" s="164" t="s">
        <v>195</v>
      </c>
      <c r="AA2028" s="164" t="s">
        <v>196</v>
      </c>
      <c r="AB2028" s="164" t="s">
        <v>187</v>
      </c>
      <c r="AC2028" s="164" t="s">
        <v>187</v>
      </c>
      <c r="AD2028" s="165">
        <v>7</v>
      </c>
      <c r="AE2028" s="164" t="s">
        <v>209</v>
      </c>
      <c r="AF2028" s="165">
        <v>-4.03577000018538</v>
      </c>
      <c r="AG2028" s="166">
        <v>121.88824999973799</v>
      </c>
      <c r="AO2028" s="121"/>
      <c r="AT2028" s="111"/>
      <c r="AX2028" s="121"/>
    </row>
    <row r="2029" spans="1:50" s="110" customFormat="1" ht="20" customHeight="1">
      <c r="A2029" s="125" t="s">
        <v>185</v>
      </c>
      <c r="B2029" s="126" t="s">
        <v>59</v>
      </c>
      <c r="C2029" s="127">
        <v>10860</v>
      </c>
      <c r="D2029" s="163">
        <v>101465</v>
      </c>
      <c r="E2029" s="164" t="s">
        <v>1455</v>
      </c>
      <c r="F2029" s="164" t="s">
        <v>1455</v>
      </c>
      <c r="G2029" s="165">
        <v>74000</v>
      </c>
      <c r="H2029" s="165">
        <v>1</v>
      </c>
      <c r="I2029" s="164" t="s">
        <v>187</v>
      </c>
      <c r="J2029" s="164" t="s">
        <v>1452</v>
      </c>
      <c r="K2029" s="164" t="s">
        <v>1451</v>
      </c>
      <c r="L2029" s="165">
        <v>4</v>
      </c>
      <c r="M2029" s="165">
        <v>6</v>
      </c>
      <c r="N2029" s="164" t="s">
        <v>189</v>
      </c>
      <c r="O2029" s="165">
        <v>3</v>
      </c>
      <c r="P2029" s="165">
        <v>1</v>
      </c>
      <c r="Q2029" s="165">
        <v>17</v>
      </c>
      <c r="R2029" s="164" t="s">
        <v>190</v>
      </c>
      <c r="S2029" s="164" t="s">
        <v>191</v>
      </c>
      <c r="T2029" s="165">
        <v>153</v>
      </c>
      <c r="U2029" s="164" t="s">
        <v>324</v>
      </c>
      <c r="V2029" s="164" t="s">
        <v>325</v>
      </c>
      <c r="W2029" s="165">
        <v>1</v>
      </c>
      <c r="X2029" s="165">
        <v>2</v>
      </c>
      <c r="Y2029" s="164" t="s">
        <v>194</v>
      </c>
      <c r="Z2029" s="164" t="s">
        <v>195</v>
      </c>
      <c r="AA2029" s="164" t="s">
        <v>196</v>
      </c>
      <c r="AB2029" s="164" t="s">
        <v>187</v>
      </c>
      <c r="AC2029" s="164" t="s">
        <v>187</v>
      </c>
      <c r="AD2029" s="165">
        <v>1</v>
      </c>
      <c r="AE2029" s="164" t="s">
        <v>209</v>
      </c>
      <c r="AF2029" s="165">
        <v>-3.99513539438294</v>
      </c>
      <c r="AG2029" s="166">
        <v>122.505366828316</v>
      </c>
      <c r="AO2029" s="121"/>
      <c r="AT2029" s="111"/>
      <c r="AX2029" s="121"/>
    </row>
    <row r="2030" spans="1:50" s="110" customFormat="1" ht="20" customHeight="1">
      <c r="A2030" s="125" t="s">
        <v>185</v>
      </c>
      <c r="B2030" s="126" t="s">
        <v>59</v>
      </c>
      <c r="C2030" s="127">
        <v>13822</v>
      </c>
      <c r="D2030" s="163">
        <v>106807</v>
      </c>
      <c r="E2030" s="164" t="s">
        <v>1138</v>
      </c>
      <c r="F2030" s="164" t="s">
        <v>1138</v>
      </c>
      <c r="G2030" s="165">
        <v>48000</v>
      </c>
      <c r="H2030" s="165">
        <v>1</v>
      </c>
      <c r="I2030" s="164" t="s">
        <v>187</v>
      </c>
      <c r="J2030" s="164" t="s">
        <v>1139</v>
      </c>
      <c r="K2030" s="164" t="s">
        <v>1138</v>
      </c>
      <c r="L2030" s="165">
        <v>4</v>
      </c>
      <c r="M2030" s="165">
        <v>6</v>
      </c>
      <c r="N2030" s="164" t="s">
        <v>189</v>
      </c>
      <c r="O2030" s="165">
        <v>1.9</v>
      </c>
      <c r="P2030" s="165">
        <v>1.349</v>
      </c>
      <c r="Q2030" s="165">
        <v>17</v>
      </c>
      <c r="R2030" s="164" t="s">
        <v>190</v>
      </c>
      <c r="S2030" s="164" t="s">
        <v>191</v>
      </c>
      <c r="T2030" s="165">
        <v>153</v>
      </c>
      <c r="U2030" s="164" t="s">
        <v>324</v>
      </c>
      <c r="V2030" s="164" t="s">
        <v>325</v>
      </c>
      <c r="W2030" s="165">
        <v>1</v>
      </c>
      <c r="X2030" s="165">
        <v>2</v>
      </c>
      <c r="Y2030" s="164" t="s">
        <v>194</v>
      </c>
      <c r="Z2030" s="164" t="s">
        <v>195</v>
      </c>
      <c r="AA2030" s="164" t="s">
        <v>196</v>
      </c>
      <c r="AB2030" s="164" t="s">
        <v>187</v>
      </c>
      <c r="AC2030" s="164" t="s">
        <v>187</v>
      </c>
      <c r="AD2030" s="165">
        <v>1</v>
      </c>
      <c r="AE2030" s="164" t="s">
        <v>209</v>
      </c>
      <c r="AF2030" s="165">
        <v>-4.74587</v>
      </c>
      <c r="AG2030" s="166">
        <v>121.85062000000001</v>
      </c>
      <c r="AO2030" s="121"/>
      <c r="AT2030" s="111"/>
      <c r="AX2030" s="121"/>
    </row>
    <row r="2031" spans="1:50" s="110" customFormat="1" ht="20" customHeight="1">
      <c r="A2031" s="125" t="s">
        <v>185</v>
      </c>
      <c r="B2031" s="126" t="s">
        <v>59</v>
      </c>
      <c r="C2031" s="127">
        <v>14511</v>
      </c>
      <c r="D2031" s="163">
        <v>108259</v>
      </c>
      <c r="E2031" s="164" t="s">
        <v>1219</v>
      </c>
      <c r="F2031" s="164" t="s">
        <v>1219</v>
      </c>
      <c r="G2031" s="165">
        <v>7400</v>
      </c>
      <c r="H2031" s="165">
        <v>1</v>
      </c>
      <c r="I2031" s="164" t="s">
        <v>187</v>
      </c>
      <c r="J2031" s="164" t="s">
        <v>1220</v>
      </c>
      <c r="K2031" s="164" t="s">
        <v>1219</v>
      </c>
      <c r="L2031" s="165">
        <v>0</v>
      </c>
      <c r="M2031" s="165">
        <v>6</v>
      </c>
      <c r="N2031" s="164" t="s">
        <v>189</v>
      </c>
      <c r="O2031" s="165">
        <v>0</v>
      </c>
      <c r="P2031" s="165">
        <v>0</v>
      </c>
      <c r="Q2031" s="165">
        <v>17</v>
      </c>
      <c r="R2031" s="164" t="s">
        <v>190</v>
      </c>
      <c r="S2031" s="164" t="s">
        <v>191</v>
      </c>
      <c r="T2031" s="165">
        <v>153</v>
      </c>
      <c r="U2031" s="164" t="s">
        <v>324</v>
      </c>
      <c r="V2031" s="164" t="s">
        <v>325</v>
      </c>
      <c r="W2031" s="165">
        <v>1</v>
      </c>
      <c r="X2031" s="165">
        <v>2</v>
      </c>
      <c r="Y2031" s="164" t="s">
        <v>194</v>
      </c>
      <c r="Z2031" s="164" t="s">
        <v>195</v>
      </c>
      <c r="AA2031" s="164" t="s">
        <v>196</v>
      </c>
      <c r="AB2031" s="164" t="s">
        <v>187</v>
      </c>
      <c r="AC2031" s="164" t="s">
        <v>187</v>
      </c>
      <c r="AD2031" s="165">
        <v>1</v>
      </c>
      <c r="AE2031" s="164" t="s">
        <v>187</v>
      </c>
      <c r="AF2031" s="165">
        <v>-3.1517200000000001</v>
      </c>
      <c r="AG2031" s="166">
        <v>121.08259</v>
      </c>
      <c r="AO2031" s="121"/>
      <c r="AT2031" s="111"/>
      <c r="AX2031" s="121"/>
    </row>
    <row r="2032" spans="1:50" s="110" customFormat="1" ht="20" customHeight="1">
      <c r="A2032" s="125" t="s">
        <v>185</v>
      </c>
      <c r="B2032" s="126" t="s">
        <v>59</v>
      </c>
      <c r="C2032" s="127">
        <v>13031</v>
      </c>
      <c r="D2032" s="163">
        <v>105711</v>
      </c>
      <c r="E2032" s="164" t="s">
        <v>998</v>
      </c>
      <c r="F2032" s="164" t="s">
        <v>998</v>
      </c>
      <c r="G2032" s="165">
        <v>2800</v>
      </c>
      <c r="H2032" s="165">
        <v>1</v>
      </c>
      <c r="I2032" s="164" t="s">
        <v>187</v>
      </c>
      <c r="J2032" s="164" t="s">
        <v>999</v>
      </c>
      <c r="K2032" s="164" t="s">
        <v>1000</v>
      </c>
      <c r="L2032" s="165">
        <v>1</v>
      </c>
      <c r="M2032" s="165">
        <v>6</v>
      </c>
      <c r="N2032" s="164" t="s">
        <v>189</v>
      </c>
      <c r="O2032" s="165">
        <v>5</v>
      </c>
      <c r="P2032" s="165">
        <v>1.5</v>
      </c>
      <c r="Q2032" s="165">
        <v>17</v>
      </c>
      <c r="R2032" s="164" t="s">
        <v>190</v>
      </c>
      <c r="S2032" s="164" t="s">
        <v>191</v>
      </c>
      <c r="T2032" s="165">
        <v>153</v>
      </c>
      <c r="U2032" s="164" t="s">
        <v>324</v>
      </c>
      <c r="V2032" s="164" t="s">
        <v>325</v>
      </c>
      <c r="W2032" s="165">
        <v>1</v>
      </c>
      <c r="X2032" s="165">
        <v>2</v>
      </c>
      <c r="Y2032" s="164" t="s">
        <v>194</v>
      </c>
      <c r="Z2032" s="164" t="s">
        <v>195</v>
      </c>
      <c r="AA2032" s="164" t="s">
        <v>196</v>
      </c>
      <c r="AB2032" s="164" t="s">
        <v>187</v>
      </c>
      <c r="AC2032" s="164" t="s">
        <v>187</v>
      </c>
      <c r="AD2032" s="165">
        <v>1</v>
      </c>
      <c r="AE2032" s="164" t="s">
        <v>209</v>
      </c>
      <c r="AF2032" s="165">
        <v>-2.6313300000000002</v>
      </c>
      <c r="AG2032" s="166">
        <v>120.27109</v>
      </c>
      <c r="AO2032" s="121"/>
      <c r="AT2032" s="111"/>
      <c r="AX2032" s="121"/>
    </row>
    <row r="2033" spans="1:50" s="110" customFormat="1" ht="20" customHeight="1">
      <c r="A2033" s="125" t="s">
        <v>185</v>
      </c>
      <c r="B2033" s="126" t="s">
        <v>59</v>
      </c>
      <c r="C2033" s="127">
        <v>12425</v>
      </c>
      <c r="D2033" s="163">
        <v>104423</v>
      </c>
      <c r="E2033" s="164" t="s">
        <v>870</v>
      </c>
      <c r="F2033" s="164" t="s">
        <v>870</v>
      </c>
      <c r="G2033" s="165">
        <v>2700</v>
      </c>
      <c r="H2033" s="165">
        <v>1</v>
      </c>
      <c r="I2033" s="164" t="s">
        <v>187</v>
      </c>
      <c r="J2033" s="164" t="s">
        <v>871</v>
      </c>
      <c r="K2033" s="164" t="s">
        <v>870</v>
      </c>
      <c r="L2033" s="165">
        <v>1</v>
      </c>
      <c r="M2033" s="165">
        <v>6</v>
      </c>
      <c r="N2033" s="164" t="s">
        <v>189</v>
      </c>
      <c r="O2033" s="165">
        <v>0.51900000000000002</v>
      </c>
      <c r="P2033" s="165">
        <v>0.51900000000000002</v>
      </c>
      <c r="Q2033" s="165">
        <v>17</v>
      </c>
      <c r="R2033" s="164" t="s">
        <v>190</v>
      </c>
      <c r="S2033" s="164" t="s">
        <v>191</v>
      </c>
      <c r="T2033" s="165">
        <v>153</v>
      </c>
      <c r="U2033" s="164" t="s">
        <v>324</v>
      </c>
      <c r="V2033" s="164" t="s">
        <v>325</v>
      </c>
      <c r="W2033" s="165">
        <v>1</v>
      </c>
      <c r="X2033" s="165">
        <v>2</v>
      </c>
      <c r="Y2033" s="164" t="s">
        <v>194</v>
      </c>
      <c r="Z2033" s="164" t="s">
        <v>195</v>
      </c>
      <c r="AA2033" s="164" t="s">
        <v>196</v>
      </c>
      <c r="AB2033" s="164" t="s">
        <v>187</v>
      </c>
      <c r="AC2033" s="164" t="s">
        <v>187</v>
      </c>
      <c r="AD2033" s="165">
        <v>1</v>
      </c>
      <c r="AE2033" s="164" t="s">
        <v>209</v>
      </c>
      <c r="AF2033" s="165">
        <v>-5.65374</v>
      </c>
      <c r="AG2033" s="166">
        <v>122.54133</v>
      </c>
      <c r="AO2033" s="121"/>
      <c r="AT2033" s="111"/>
      <c r="AX2033" s="121"/>
    </row>
    <row r="2034" spans="1:50" s="110" customFormat="1" ht="20" customHeight="1">
      <c r="A2034" s="125" t="s">
        <v>185</v>
      </c>
      <c r="B2034" s="126" t="s">
        <v>59</v>
      </c>
      <c r="C2034" s="127">
        <v>19387</v>
      </c>
      <c r="D2034" s="163">
        <v>115430</v>
      </c>
      <c r="E2034" s="164" t="s">
        <v>1453</v>
      </c>
      <c r="F2034" s="164" t="s">
        <v>1453</v>
      </c>
      <c r="G2034" s="165">
        <v>1000</v>
      </c>
      <c r="H2034" s="165">
        <v>1</v>
      </c>
      <c r="I2034" s="164" t="s">
        <v>187</v>
      </c>
      <c r="J2034" s="164" t="s">
        <v>1452</v>
      </c>
      <c r="K2034" s="164" t="s">
        <v>1451</v>
      </c>
      <c r="L2034" s="165">
        <v>4</v>
      </c>
      <c r="M2034" s="165">
        <v>6</v>
      </c>
      <c r="N2034" s="164" t="s">
        <v>189</v>
      </c>
      <c r="O2034" s="165">
        <v>1</v>
      </c>
      <c r="P2034" s="165">
        <v>0.3</v>
      </c>
      <c r="Q2034" s="165">
        <v>17</v>
      </c>
      <c r="R2034" s="164" t="s">
        <v>190</v>
      </c>
      <c r="S2034" s="164" t="s">
        <v>191</v>
      </c>
      <c r="T2034" s="165">
        <v>153</v>
      </c>
      <c r="U2034" s="164" t="s">
        <v>324</v>
      </c>
      <c r="V2034" s="164" t="s">
        <v>325</v>
      </c>
      <c r="W2034" s="165">
        <v>1</v>
      </c>
      <c r="X2034" s="165">
        <v>2</v>
      </c>
      <c r="Y2034" s="164" t="s">
        <v>194</v>
      </c>
      <c r="Z2034" s="164" t="s">
        <v>195</v>
      </c>
      <c r="AA2034" s="164" t="s">
        <v>196</v>
      </c>
      <c r="AB2034" s="164" t="s">
        <v>187</v>
      </c>
      <c r="AC2034" s="164" t="s">
        <v>187</v>
      </c>
      <c r="AD2034" s="165">
        <v>1</v>
      </c>
      <c r="AE2034" s="164" t="s">
        <v>209</v>
      </c>
      <c r="AF2034" s="165">
        <v>-4.0342716957100402</v>
      </c>
      <c r="AG2034" s="166">
        <v>121.89270833485401</v>
      </c>
      <c r="AO2034" s="121"/>
      <c r="AT2034" s="111"/>
      <c r="AX2034" s="121"/>
    </row>
    <row r="2035" spans="1:50" s="110" customFormat="1" ht="20" customHeight="1">
      <c r="A2035" s="125" t="s">
        <v>185</v>
      </c>
      <c r="B2035" s="126" t="s">
        <v>59</v>
      </c>
      <c r="C2035" s="127">
        <v>15546</v>
      </c>
      <c r="D2035" s="163">
        <v>110144</v>
      </c>
      <c r="E2035" s="164" t="s">
        <v>1460</v>
      </c>
      <c r="F2035" s="164" t="s">
        <v>1460</v>
      </c>
      <c r="G2035" s="165">
        <v>900</v>
      </c>
      <c r="H2035" s="165">
        <v>1</v>
      </c>
      <c r="I2035" s="164" t="s">
        <v>187</v>
      </c>
      <c r="J2035" s="164" t="s">
        <v>1461</v>
      </c>
      <c r="K2035" s="164" t="s">
        <v>1460</v>
      </c>
      <c r="L2035" s="165">
        <v>0</v>
      </c>
      <c r="M2035" s="165">
        <v>6</v>
      </c>
      <c r="N2035" s="164" t="s">
        <v>189</v>
      </c>
      <c r="O2035" s="165">
        <v>0</v>
      </c>
      <c r="P2035" s="165">
        <v>0</v>
      </c>
      <c r="Q2035" s="165">
        <v>17</v>
      </c>
      <c r="R2035" s="164" t="s">
        <v>190</v>
      </c>
      <c r="S2035" s="164" t="s">
        <v>191</v>
      </c>
      <c r="T2035" s="165">
        <v>153</v>
      </c>
      <c r="U2035" s="164" t="s">
        <v>324</v>
      </c>
      <c r="V2035" s="164" t="s">
        <v>325</v>
      </c>
      <c r="W2035" s="165">
        <v>1</v>
      </c>
      <c r="X2035" s="165">
        <v>2</v>
      </c>
      <c r="Y2035" s="164" t="s">
        <v>194</v>
      </c>
      <c r="Z2035" s="164" t="s">
        <v>195</v>
      </c>
      <c r="AA2035" s="164" t="s">
        <v>196</v>
      </c>
      <c r="AB2035" s="164" t="s">
        <v>187</v>
      </c>
      <c r="AC2035" s="164" t="s">
        <v>187</v>
      </c>
      <c r="AD2035" s="165">
        <v>1</v>
      </c>
      <c r="AE2035" s="164" t="s">
        <v>187</v>
      </c>
      <c r="AF2035" s="165">
        <v>-2.5650900000000001</v>
      </c>
      <c r="AG2035" s="166">
        <v>121.94410999999999</v>
      </c>
      <c r="AO2035" s="121"/>
      <c r="AT2035" s="111"/>
      <c r="AX2035" s="121"/>
    </row>
    <row r="2036" spans="1:50" s="110" customFormat="1" ht="20" customHeight="1">
      <c r="A2036" s="125" t="s">
        <v>185</v>
      </c>
      <c r="B2036" s="126" t="s">
        <v>59</v>
      </c>
      <c r="C2036" s="127">
        <v>12801</v>
      </c>
      <c r="D2036" s="163">
        <v>105241</v>
      </c>
      <c r="E2036" s="164" t="s">
        <v>949</v>
      </c>
      <c r="F2036" s="164" t="s">
        <v>949</v>
      </c>
      <c r="G2036" s="165">
        <v>700</v>
      </c>
      <c r="H2036" s="165">
        <v>1</v>
      </c>
      <c r="I2036" s="164" t="s">
        <v>187</v>
      </c>
      <c r="J2036" s="164" t="s">
        <v>950</v>
      </c>
      <c r="K2036" s="164" t="s">
        <v>949</v>
      </c>
      <c r="L2036" s="165">
        <v>0</v>
      </c>
      <c r="M2036" s="165">
        <v>6</v>
      </c>
      <c r="N2036" s="164" t="s">
        <v>189</v>
      </c>
      <c r="O2036" s="165">
        <v>0</v>
      </c>
      <c r="P2036" s="165">
        <v>0</v>
      </c>
      <c r="Q2036" s="165">
        <v>17</v>
      </c>
      <c r="R2036" s="164" t="s">
        <v>190</v>
      </c>
      <c r="S2036" s="164" t="s">
        <v>191</v>
      </c>
      <c r="T2036" s="165">
        <v>153</v>
      </c>
      <c r="U2036" s="164" t="s">
        <v>324</v>
      </c>
      <c r="V2036" s="164" t="s">
        <v>325</v>
      </c>
      <c r="W2036" s="165">
        <v>1</v>
      </c>
      <c r="X2036" s="165">
        <v>2</v>
      </c>
      <c r="Y2036" s="164" t="s">
        <v>194</v>
      </c>
      <c r="Z2036" s="164" t="s">
        <v>195</v>
      </c>
      <c r="AA2036" s="164" t="s">
        <v>196</v>
      </c>
      <c r="AB2036" s="164" t="s">
        <v>187</v>
      </c>
      <c r="AC2036" s="164" t="s">
        <v>187</v>
      </c>
      <c r="AD2036" s="165">
        <v>1</v>
      </c>
      <c r="AE2036" s="164" t="s">
        <v>187</v>
      </c>
      <c r="AF2036" s="165">
        <v>-2.63781</v>
      </c>
      <c r="AG2036" s="166">
        <v>121.97548</v>
      </c>
      <c r="AO2036" s="121"/>
      <c r="AT2036" s="111"/>
      <c r="AX2036" s="121"/>
    </row>
    <row r="2037" spans="1:50" s="110" customFormat="1" ht="20" customHeight="1">
      <c r="A2037" s="125" t="s">
        <v>185</v>
      </c>
      <c r="B2037" s="126" t="s">
        <v>59</v>
      </c>
      <c r="C2037" s="127">
        <v>15219</v>
      </c>
      <c r="D2037" s="163">
        <v>109764</v>
      </c>
      <c r="E2037" s="164" t="s">
        <v>1409</v>
      </c>
      <c r="F2037" s="164" t="s">
        <v>1409</v>
      </c>
      <c r="G2037" s="165">
        <v>600</v>
      </c>
      <c r="H2037" s="165">
        <v>1</v>
      </c>
      <c r="I2037" s="164" t="s">
        <v>187</v>
      </c>
      <c r="J2037" s="164" t="s">
        <v>1410</v>
      </c>
      <c r="K2037" s="164" t="s">
        <v>1409</v>
      </c>
      <c r="L2037" s="165">
        <v>0</v>
      </c>
      <c r="M2037" s="165">
        <v>6</v>
      </c>
      <c r="N2037" s="164" t="s">
        <v>189</v>
      </c>
      <c r="O2037" s="165">
        <v>0</v>
      </c>
      <c r="P2037" s="165">
        <v>0</v>
      </c>
      <c r="Q2037" s="165">
        <v>17</v>
      </c>
      <c r="R2037" s="164" t="s">
        <v>190</v>
      </c>
      <c r="S2037" s="164" t="s">
        <v>191</v>
      </c>
      <c r="T2037" s="165">
        <v>153</v>
      </c>
      <c r="U2037" s="164" t="s">
        <v>324</v>
      </c>
      <c r="V2037" s="164" t="s">
        <v>325</v>
      </c>
      <c r="W2037" s="165">
        <v>1</v>
      </c>
      <c r="X2037" s="165">
        <v>2</v>
      </c>
      <c r="Y2037" s="164" t="s">
        <v>194</v>
      </c>
      <c r="Z2037" s="164" t="s">
        <v>195</v>
      </c>
      <c r="AA2037" s="164" t="s">
        <v>196</v>
      </c>
      <c r="AB2037" s="164" t="s">
        <v>187</v>
      </c>
      <c r="AC2037" s="164" t="s">
        <v>187</v>
      </c>
      <c r="AD2037" s="165">
        <v>1</v>
      </c>
      <c r="AE2037" s="164" t="s">
        <v>187</v>
      </c>
      <c r="AF2037" s="165">
        <v>-4.6497700000000002</v>
      </c>
      <c r="AG2037" s="166">
        <v>122.86924999999999</v>
      </c>
      <c r="AO2037" s="121"/>
      <c r="AT2037" s="111"/>
      <c r="AX2037" s="121"/>
    </row>
    <row r="2038" spans="1:50" s="110" customFormat="1" ht="20" customHeight="1">
      <c r="A2038" s="125" t="s">
        <v>185</v>
      </c>
      <c r="B2038" s="126" t="s">
        <v>59</v>
      </c>
      <c r="C2038" s="127">
        <v>15875</v>
      </c>
      <c r="D2038" s="163">
        <v>110703</v>
      </c>
      <c r="E2038" s="164" t="s">
        <v>1505</v>
      </c>
      <c r="F2038" s="164" t="s">
        <v>1505</v>
      </c>
      <c r="G2038" s="165">
        <v>500</v>
      </c>
      <c r="H2038" s="165">
        <v>1</v>
      </c>
      <c r="I2038" s="164" t="s">
        <v>187</v>
      </c>
      <c r="J2038" s="164" t="s">
        <v>1506</v>
      </c>
      <c r="K2038" s="164" t="s">
        <v>1505</v>
      </c>
      <c r="L2038" s="165">
        <v>1</v>
      </c>
      <c r="M2038" s="165">
        <v>6</v>
      </c>
      <c r="N2038" s="164" t="s">
        <v>189</v>
      </c>
      <c r="O2038" s="165">
        <v>0</v>
      </c>
      <c r="P2038" s="165">
        <v>0</v>
      </c>
      <c r="Q2038" s="165">
        <v>17</v>
      </c>
      <c r="R2038" s="164" t="s">
        <v>190</v>
      </c>
      <c r="S2038" s="164" t="s">
        <v>191</v>
      </c>
      <c r="T2038" s="165">
        <v>153</v>
      </c>
      <c r="U2038" s="164" t="s">
        <v>324</v>
      </c>
      <c r="V2038" s="164" t="s">
        <v>325</v>
      </c>
      <c r="W2038" s="165">
        <v>1</v>
      </c>
      <c r="X2038" s="165">
        <v>2</v>
      </c>
      <c r="Y2038" s="164" t="s">
        <v>194</v>
      </c>
      <c r="Z2038" s="164" t="s">
        <v>195</v>
      </c>
      <c r="AA2038" s="164" t="s">
        <v>196</v>
      </c>
      <c r="AB2038" s="164" t="s">
        <v>187</v>
      </c>
      <c r="AC2038" s="164" t="s">
        <v>187</v>
      </c>
      <c r="AD2038" s="165">
        <v>1</v>
      </c>
      <c r="AE2038" s="164" t="s">
        <v>187</v>
      </c>
      <c r="AF2038" s="165">
        <v>-3.4110999999999998</v>
      </c>
      <c r="AG2038" s="166">
        <v>122.0534</v>
      </c>
      <c r="AO2038" s="121"/>
      <c r="AT2038" s="111"/>
      <c r="AX2038" s="121"/>
    </row>
    <row r="2039" spans="1:50" s="110" customFormat="1" ht="20" customHeight="1">
      <c r="A2039" s="125" t="s">
        <v>185</v>
      </c>
      <c r="B2039" s="126" t="s">
        <v>59</v>
      </c>
      <c r="C2039" s="127">
        <v>10571</v>
      </c>
      <c r="D2039" s="163">
        <v>100771</v>
      </c>
      <c r="E2039" s="164" t="s">
        <v>322</v>
      </c>
      <c r="F2039" s="164" t="s">
        <v>322</v>
      </c>
      <c r="G2039" s="165">
        <v>300</v>
      </c>
      <c r="H2039" s="165">
        <v>1</v>
      </c>
      <c r="I2039" s="164" t="s">
        <v>187</v>
      </c>
      <c r="J2039" s="164" t="s">
        <v>323</v>
      </c>
      <c r="K2039" s="164" t="s">
        <v>322</v>
      </c>
      <c r="L2039" s="165">
        <v>0</v>
      </c>
      <c r="M2039" s="165">
        <v>6</v>
      </c>
      <c r="N2039" s="164" t="s">
        <v>189</v>
      </c>
      <c r="O2039" s="165">
        <v>0.65300000000000002</v>
      </c>
      <c r="P2039" s="165">
        <v>0.65300000000000002</v>
      </c>
      <c r="Q2039" s="165">
        <v>17</v>
      </c>
      <c r="R2039" s="164" t="s">
        <v>190</v>
      </c>
      <c r="S2039" s="164" t="s">
        <v>191</v>
      </c>
      <c r="T2039" s="165">
        <v>153</v>
      </c>
      <c r="U2039" s="164" t="s">
        <v>324</v>
      </c>
      <c r="V2039" s="164" t="s">
        <v>325</v>
      </c>
      <c r="W2039" s="165">
        <v>1</v>
      </c>
      <c r="X2039" s="165">
        <v>2</v>
      </c>
      <c r="Y2039" s="164" t="s">
        <v>194</v>
      </c>
      <c r="Z2039" s="164" t="s">
        <v>195</v>
      </c>
      <c r="AA2039" s="164" t="s">
        <v>196</v>
      </c>
      <c r="AB2039" s="164" t="s">
        <v>187</v>
      </c>
      <c r="AC2039" s="164" t="s">
        <v>187</v>
      </c>
      <c r="AD2039" s="165">
        <v>1</v>
      </c>
      <c r="AE2039" s="164" t="s">
        <v>209</v>
      </c>
      <c r="AF2039" s="165">
        <v>-2.2258</v>
      </c>
      <c r="AG2039" s="166">
        <v>121.7062</v>
      </c>
      <c r="AO2039" s="121"/>
      <c r="AT2039" s="111"/>
      <c r="AX2039" s="121"/>
    </row>
    <row r="2040" spans="1:50" s="110" customFormat="1" ht="20" customHeight="1">
      <c r="A2040" s="125" t="s">
        <v>185</v>
      </c>
      <c r="B2040" s="126" t="s">
        <v>59</v>
      </c>
      <c r="C2040" s="127">
        <v>19388</v>
      </c>
      <c r="D2040" s="163">
        <v>115431</v>
      </c>
      <c r="E2040" s="164" t="s">
        <v>1454</v>
      </c>
      <c r="F2040" s="164" t="s">
        <v>1454</v>
      </c>
      <c r="G2040" s="165">
        <v>300</v>
      </c>
      <c r="H2040" s="165">
        <v>1</v>
      </c>
      <c r="I2040" s="164" t="s">
        <v>187</v>
      </c>
      <c r="J2040" s="164" t="s">
        <v>1452</v>
      </c>
      <c r="K2040" s="164" t="s">
        <v>1451</v>
      </c>
      <c r="L2040" s="165">
        <v>4</v>
      </c>
      <c r="M2040" s="165">
        <v>6</v>
      </c>
      <c r="N2040" s="164" t="s">
        <v>189</v>
      </c>
      <c r="O2040" s="165">
        <v>3</v>
      </c>
      <c r="P2040" s="165">
        <v>0</v>
      </c>
      <c r="Q2040" s="165">
        <v>17</v>
      </c>
      <c r="R2040" s="164" t="s">
        <v>190</v>
      </c>
      <c r="S2040" s="164" t="s">
        <v>191</v>
      </c>
      <c r="T2040" s="165">
        <v>153</v>
      </c>
      <c r="U2040" s="164" t="s">
        <v>324</v>
      </c>
      <c r="V2040" s="164" t="s">
        <v>325</v>
      </c>
      <c r="W2040" s="165">
        <v>1</v>
      </c>
      <c r="X2040" s="165">
        <v>2</v>
      </c>
      <c r="Y2040" s="164" t="s">
        <v>194</v>
      </c>
      <c r="Z2040" s="164" t="s">
        <v>195</v>
      </c>
      <c r="AA2040" s="164" t="s">
        <v>196</v>
      </c>
      <c r="AB2040" s="164" t="s">
        <v>187</v>
      </c>
      <c r="AC2040" s="164" t="s">
        <v>187</v>
      </c>
      <c r="AD2040" s="165">
        <v>1</v>
      </c>
      <c r="AE2040" s="164" t="s">
        <v>209</v>
      </c>
      <c r="AF2040" s="165">
        <v>-4.0342602414608004</v>
      </c>
      <c r="AG2040" s="166">
        <v>121.89275605593799</v>
      </c>
      <c r="AO2040" s="121"/>
      <c r="AT2040" s="111"/>
      <c r="AX2040" s="121"/>
    </row>
    <row r="2041" spans="1:50" s="110" customFormat="1" ht="20" customHeight="1">
      <c r="A2041" s="125" t="s">
        <v>185</v>
      </c>
      <c r="B2041" s="126" t="s">
        <v>59</v>
      </c>
      <c r="C2041" s="127">
        <v>19389</v>
      </c>
      <c r="D2041" s="163">
        <v>115432</v>
      </c>
      <c r="E2041" s="164" t="s">
        <v>1456</v>
      </c>
      <c r="F2041" s="164" t="s">
        <v>1456</v>
      </c>
      <c r="G2041" s="165">
        <v>100</v>
      </c>
      <c r="H2041" s="165">
        <v>1</v>
      </c>
      <c r="I2041" s="164" t="s">
        <v>187</v>
      </c>
      <c r="J2041" s="164" t="s">
        <v>1452</v>
      </c>
      <c r="K2041" s="164" t="s">
        <v>1451</v>
      </c>
      <c r="L2041" s="165">
        <v>4</v>
      </c>
      <c r="M2041" s="165">
        <v>6</v>
      </c>
      <c r="N2041" s="164" t="s">
        <v>189</v>
      </c>
      <c r="O2041" s="165">
        <v>0</v>
      </c>
      <c r="P2041" s="165">
        <v>0</v>
      </c>
      <c r="Q2041" s="165">
        <v>17</v>
      </c>
      <c r="R2041" s="164" t="s">
        <v>190</v>
      </c>
      <c r="S2041" s="164" t="s">
        <v>191</v>
      </c>
      <c r="T2041" s="165">
        <v>153</v>
      </c>
      <c r="U2041" s="164" t="s">
        <v>324</v>
      </c>
      <c r="V2041" s="164" t="s">
        <v>325</v>
      </c>
      <c r="W2041" s="165">
        <v>1</v>
      </c>
      <c r="X2041" s="165">
        <v>2</v>
      </c>
      <c r="Y2041" s="164" t="s">
        <v>194</v>
      </c>
      <c r="Z2041" s="164" t="s">
        <v>195</v>
      </c>
      <c r="AA2041" s="164" t="s">
        <v>196</v>
      </c>
      <c r="AB2041" s="164" t="s">
        <v>187</v>
      </c>
      <c r="AC2041" s="164" t="s">
        <v>187</v>
      </c>
      <c r="AD2041" s="165">
        <v>1</v>
      </c>
      <c r="AE2041" s="164" t="s">
        <v>187</v>
      </c>
      <c r="AF2041" s="165">
        <v>-4.0268421846975997</v>
      </c>
      <c r="AG2041" s="166">
        <v>121.897763881871</v>
      </c>
      <c r="AO2041" s="121"/>
      <c r="AT2041" s="111"/>
      <c r="AX2041" s="121"/>
    </row>
    <row r="2042" spans="1:50" s="110" customFormat="1" ht="20" customHeight="1">
      <c r="A2042" s="125" t="s">
        <v>237</v>
      </c>
      <c r="B2042" s="126" t="s">
        <v>60</v>
      </c>
      <c r="C2042" s="127">
        <v>12978</v>
      </c>
      <c r="D2042" s="163">
        <v>105628</v>
      </c>
      <c r="E2042" s="164" t="s">
        <v>335</v>
      </c>
      <c r="F2042" s="164" t="s">
        <v>335</v>
      </c>
      <c r="G2042" s="165">
        <v>241000</v>
      </c>
      <c r="H2042" s="165">
        <v>1</v>
      </c>
      <c r="I2042" s="164" t="s">
        <v>187</v>
      </c>
      <c r="J2042" s="164" t="s">
        <v>336</v>
      </c>
      <c r="K2042" s="164" t="s">
        <v>335</v>
      </c>
      <c r="L2042" s="165">
        <v>2</v>
      </c>
      <c r="M2042" s="165">
        <v>6</v>
      </c>
      <c r="N2042" s="164" t="s">
        <v>189</v>
      </c>
      <c r="O2042" s="165">
        <v>0</v>
      </c>
      <c r="P2042" s="165">
        <v>0</v>
      </c>
      <c r="Q2042" s="165">
        <v>17</v>
      </c>
      <c r="R2042" s="164" t="s">
        <v>190</v>
      </c>
      <c r="S2042" s="164" t="s">
        <v>191</v>
      </c>
      <c r="T2042" s="165">
        <v>153</v>
      </c>
      <c r="U2042" s="164" t="s">
        <v>324</v>
      </c>
      <c r="V2042" s="164" t="s">
        <v>325</v>
      </c>
      <c r="W2042" s="165">
        <v>2</v>
      </c>
      <c r="X2042" s="165">
        <v>2</v>
      </c>
      <c r="Y2042" s="164" t="s">
        <v>194</v>
      </c>
      <c r="Z2042" s="164" t="s">
        <v>195</v>
      </c>
      <c r="AA2042" s="164" t="s">
        <v>196</v>
      </c>
      <c r="AB2042" s="164" t="s">
        <v>187</v>
      </c>
      <c r="AC2042" s="164" t="s">
        <v>187</v>
      </c>
      <c r="AD2042" s="165">
        <v>5</v>
      </c>
      <c r="AE2042" s="164" t="s">
        <v>187</v>
      </c>
      <c r="AF2042" s="165">
        <v>6.3261900000000004</v>
      </c>
      <c r="AG2042" s="166">
        <v>116.33772</v>
      </c>
      <c r="AO2042" s="121"/>
      <c r="AT2042" s="111"/>
      <c r="AX2042" s="121"/>
    </row>
    <row r="2043" spans="1:50" s="110" customFormat="1" ht="20" customHeight="1">
      <c r="A2043" s="125" t="s">
        <v>483</v>
      </c>
      <c r="B2043" s="126" t="s">
        <v>55</v>
      </c>
      <c r="C2043" s="127">
        <v>15361</v>
      </c>
      <c r="D2043" s="163">
        <v>110776</v>
      </c>
      <c r="E2043" s="164" t="s">
        <v>572</v>
      </c>
      <c r="F2043" s="164" t="s">
        <v>572</v>
      </c>
      <c r="G2043" s="165">
        <v>249000</v>
      </c>
      <c r="H2043" s="165">
        <v>1</v>
      </c>
      <c r="I2043" s="164" t="s">
        <v>187</v>
      </c>
      <c r="J2043" s="164" t="s">
        <v>573</v>
      </c>
      <c r="K2043" s="164" t="s">
        <v>572</v>
      </c>
      <c r="L2043" s="165">
        <v>3</v>
      </c>
      <c r="M2043" s="165">
        <v>6</v>
      </c>
      <c r="N2043" s="164" t="s">
        <v>189</v>
      </c>
      <c r="O2043" s="165">
        <v>8.9999999999999993E-3</v>
      </c>
      <c r="P2043" s="165">
        <v>5.0000000000000001E-3</v>
      </c>
      <c r="Q2043" s="165">
        <v>20</v>
      </c>
      <c r="R2043" s="164" t="s">
        <v>574</v>
      </c>
      <c r="S2043" s="164" t="s">
        <v>575</v>
      </c>
      <c r="T2043" s="165">
        <v>160</v>
      </c>
      <c r="U2043" s="164" t="s">
        <v>576</v>
      </c>
      <c r="V2043" s="164" t="s">
        <v>577</v>
      </c>
      <c r="W2043" s="165">
        <v>7</v>
      </c>
      <c r="X2043" s="165">
        <v>2</v>
      </c>
      <c r="Y2043" s="164" t="s">
        <v>194</v>
      </c>
      <c r="Z2043" s="164" t="s">
        <v>195</v>
      </c>
      <c r="AA2043" s="164" t="s">
        <v>196</v>
      </c>
      <c r="AB2043" s="164" t="s">
        <v>187</v>
      </c>
      <c r="AC2043" s="164" t="s">
        <v>187</v>
      </c>
      <c r="AD2043" s="165">
        <v>5</v>
      </c>
      <c r="AE2043" s="164" t="s">
        <v>187</v>
      </c>
      <c r="AF2043" s="165">
        <v>12.0781499998226</v>
      </c>
      <c r="AG2043" s="166">
        <v>105.64423999997599</v>
      </c>
      <c r="AO2043" s="121"/>
      <c r="AT2043" s="111"/>
      <c r="AX2043" s="121"/>
    </row>
    <row r="2044" spans="1:50" s="110" customFormat="1" ht="20" customHeight="1">
      <c r="A2044" s="125" t="s">
        <v>471</v>
      </c>
      <c r="B2044" s="126" t="s">
        <v>65</v>
      </c>
      <c r="C2044" s="127">
        <v>15361</v>
      </c>
      <c r="D2044" s="163">
        <v>110776</v>
      </c>
      <c r="E2044" s="164" t="s">
        <v>572</v>
      </c>
      <c r="F2044" s="164" t="s">
        <v>572</v>
      </c>
      <c r="G2044" s="165">
        <v>600</v>
      </c>
      <c r="H2044" s="165">
        <v>1</v>
      </c>
      <c r="I2044" s="164" t="s">
        <v>187</v>
      </c>
      <c r="J2044" s="164" t="s">
        <v>573</v>
      </c>
      <c r="K2044" s="164" t="s">
        <v>572</v>
      </c>
      <c r="L2044" s="165">
        <v>3</v>
      </c>
      <c r="M2044" s="165">
        <v>6</v>
      </c>
      <c r="N2044" s="164" t="s">
        <v>189</v>
      </c>
      <c r="O2044" s="165">
        <v>0</v>
      </c>
      <c r="P2044" s="165">
        <v>0</v>
      </c>
      <c r="Q2044" s="165">
        <v>20</v>
      </c>
      <c r="R2044" s="164" t="s">
        <v>574</v>
      </c>
      <c r="S2044" s="164" t="s">
        <v>575</v>
      </c>
      <c r="T2044" s="165">
        <v>160</v>
      </c>
      <c r="U2044" s="164" t="s">
        <v>576</v>
      </c>
      <c r="V2044" s="164" t="s">
        <v>577</v>
      </c>
      <c r="W2044" s="165">
        <v>7</v>
      </c>
      <c r="X2044" s="165">
        <v>2</v>
      </c>
      <c r="Y2044" s="164" t="s">
        <v>194</v>
      </c>
      <c r="Z2044" s="164" t="s">
        <v>195</v>
      </c>
      <c r="AA2044" s="164" t="s">
        <v>196</v>
      </c>
      <c r="AB2044" s="164" t="s">
        <v>187</v>
      </c>
      <c r="AC2044" s="164" t="s">
        <v>209</v>
      </c>
      <c r="AD2044" s="165">
        <v>1</v>
      </c>
      <c r="AE2044" s="164" t="s">
        <v>187</v>
      </c>
      <c r="AF2044" s="165">
        <v>17.972941342269099</v>
      </c>
      <c r="AG2044" s="166">
        <v>102.618209339789</v>
      </c>
      <c r="AO2044" s="121"/>
      <c r="AT2044" s="111"/>
      <c r="AX2044" s="121"/>
    </row>
    <row r="2045" spans="1:50" s="110" customFormat="1" ht="20" customHeight="1">
      <c r="A2045" s="125" t="s">
        <v>237</v>
      </c>
      <c r="B2045" s="126" t="s">
        <v>60</v>
      </c>
      <c r="C2045" s="127">
        <v>15361</v>
      </c>
      <c r="D2045" s="163">
        <v>110776</v>
      </c>
      <c r="E2045" s="164" t="s">
        <v>572</v>
      </c>
      <c r="F2045" s="164" t="s">
        <v>572</v>
      </c>
      <c r="G2045" s="165">
        <v>13000</v>
      </c>
      <c r="H2045" s="165">
        <v>1</v>
      </c>
      <c r="I2045" s="164" t="s">
        <v>187</v>
      </c>
      <c r="J2045" s="164" t="s">
        <v>573</v>
      </c>
      <c r="K2045" s="164" t="s">
        <v>572</v>
      </c>
      <c r="L2045" s="165">
        <v>3</v>
      </c>
      <c r="M2045" s="165">
        <v>6</v>
      </c>
      <c r="N2045" s="164" t="s">
        <v>189</v>
      </c>
      <c r="O2045" s="165">
        <v>8.9999999999999993E-3</v>
      </c>
      <c r="P2045" s="165">
        <v>5.0000000000000001E-3</v>
      </c>
      <c r="Q2045" s="165">
        <v>20</v>
      </c>
      <c r="R2045" s="164" t="s">
        <v>574</v>
      </c>
      <c r="S2045" s="164" t="s">
        <v>575</v>
      </c>
      <c r="T2045" s="165">
        <v>160</v>
      </c>
      <c r="U2045" s="164" t="s">
        <v>576</v>
      </c>
      <c r="V2045" s="164" t="s">
        <v>577</v>
      </c>
      <c r="W2045" s="165">
        <v>7</v>
      </c>
      <c r="X2045" s="165">
        <v>2</v>
      </c>
      <c r="Y2045" s="164" t="s">
        <v>194</v>
      </c>
      <c r="Z2045" s="164" t="s">
        <v>195</v>
      </c>
      <c r="AA2045" s="164" t="s">
        <v>196</v>
      </c>
      <c r="AB2045" s="164" t="s">
        <v>187</v>
      </c>
      <c r="AC2045" s="164" t="s">
        <v>209</v>
      </c>
      <c r="AD2045" s="165">
        <v>1</v>
      </c>
      <c r="AE2045" s="164" t="s">
        <v>187</v>
      </c>
      <c r="AF2045" s="165">
        <v>5.9949050000000002</v>
      </c>
      <c r="AG2045" s="166">
        <v>100.658979</v>
      </c>
      <c r="AO2045" s="121"/>
      <c r="AT2045" s="111"/>
      <c r="AX2045" s="121"/>
    </row>
    <row r="2046" spans="1:50" s="110" customFormat="1" ht="20" customHeight="1">
      <c r="A2046" s="125" t="s">
        <v>478</v>
      </c>
      <c r="B2046" s="126" t="s">
        <v>56</v>
      </c>
      <c r="C2046" s="127">
        <v>15361</v>
      </c>
      <c r="D2046" s="163">
        <v>110776</v>
      </c>
      <c r="E2046" s="164" t="s">
        <v>572</v>
      </c>
      <c r="F2046" s="164" t="s">
        <v>572</v>
      </c>
      <c r="G2046" s="165">
        <v>4600</v>
      </c>
      <c r="H2046" s="165">
        <v>1</v>
      </c>
      <c r="I2046" s="164" t="s">
        <v>187</v>
      </c>
      <c r="J2046" s="164" t="s">
        <v>573</v>
      </c>
      <c r="K2046" s="164" t="s">
        <v>572</v>
      </c>
      <c r="L2046" s="165">
        <v>3</v>
      </c>
      <c r="M2046" s="165">
        <v>6</v>
      </c>
      <c r="N2046" s="164" t="s">
        <v>189</v>
      </c>
      <c r="O2046" s="165">
        <v>0.05</v>
      </c>
      <c r="P2046" s="165">
        <v>0</v>
      </c>
      <c r="Q2046" s="165">
        <v>20</v>
      </c>
      <c r="R2046" s="164" t="s">
        <v>574</v>
      </c>
      <c r="S2046" s="164" t="s">
        <v>575</v>
      </c>
      <c r="T2046" s="165">
        <v>160</v>
      </c>
      <c r="U2046" s="164" t="s">
        <v>576</v>
      </c>
      <c r="V2046" s="164" t="s">
        <v>577</v>
      </c>
      <c r="W2046" s="165">
        <v>7</v>
      </c>
      <c r="X2046" s="165">
        <v>2</v>
      </c>
      <c r="Y2046" s="164" t="s">
        <v>194</v>
      </c>
      <c r="Z2046" s="164" t="s">
        <v>195</v>
      </c>
      <c r="AA2046" s="164" t="s">
        <v>196</v>
      </c>
      <c r="AB2046" s="164" t="s">
        <v>187</v>
      </c>
      <c r="AC2046" s="164" t="s">
        <v>209</v>
      </c>
      <c r="AD2046" s="165">
        <v>1</v>
      </c>
      <c r="AE2046" s="164" t="s">
        <v>187</v>
      </c>
      <c r="AF2046" s="165">
        <v>13.75</v>
      </c>
      <c r="AG2046" s="166">
        <v>100.515</v>
      </c>
      <c r="AO2046" s="121"/>
      <c r="AT2046" s="111"/>
      <c r="AX2046" s="121"/>
    </row>
    <row r="2047" spans="1:50" s="110" customFormat="1" ht="20" customHeight="1">
      <c r="A2047" s="125" t="s">
        <v>480</v>
      </c>
      <c r="B2047" s="126" t="s">
        <v>63</v>
      </c>
      <c r="C2047" s="127">
        <v>15361</v>
      </c>
      <c r="D2047" s="163">
        <v>110776</v>
      </c>
      <c r="E2047" s="164" t="s">
        <v>572</v>
      </c>
      <c r="F2047" s="164" t="s">
        <v>572</v>
      </c>
      <c r="G2047" s="165">
        <v>31000</v>
      </c>
      <c r="H2047" s="165">
        <v>1</v>
      </c>
      <c r="I2047" s="164" t="s">
        <v>187</v>
      </c>
      <c r="J2047" s="164" t="s">
        <v>573</v>
      </c>
      <c r="K2047" s="164" t="s">
        <v>572</v>
      </c>
      <c r="L2047" s="165">
        <v>3</v>
      </c>
      <c r="M2047" s="165">
        <v>6</v>
      </c>
      <c r="N2047" s="164" t="s">
        <v>189</v>
      </c>
      <c r="O2047" s="165">
        <v>0.02</v>
      </c>
      <c r="P2047" s="165">
        <v>0</v>
      </c>
      <c r="Q2047" s="165">
        <v>20</v>
      </c>
      <c r="R2047" s="164" t="s">
        <v>574</v>
      </c>
      <c r="S2047" s="164" t="s">
        <v>575</v>
      </c>
      <c r="T2047" s="165">
        <v>160</v>
      </c>
      <c r="U2047" s="164" t="s">
        <v>576</v>
      </c>
      <c r="V2047" s="164" t="s">
        <v>577</v>
      </c>
      <c r="W2047" s="165">
        <v>7</v>
      </c>
      <c r="X2047" s="165">
        <v>2</v>
      </c>
      <c r="Y2047" s="164" t="s">
        <v>194</v>
      </c>
      <c r="Z2047" s="164" t="s">
        <v>195</v>
      </c>
      <c r="AA2047" s="164" t="s">
        <v>196</v>
      </c>
      <c r="AB2047" s="164" t="s">
        <v>187</v>
      </c>
      <c r="AC2047" s="164" t="s">
        <v>209</v>
      </c>
      <c r="AD2047" s="165">
        <v>1</v>
      </c>
      <c r="AE2047" s="164" t="s">
        <v>187</v>
      </c>
      <c r="AF2047" s="165">
        <v>11.6031899999185</v>
      </c>
      <c r="AG2047" s="166">
        <v>105.917740000401</v>
      </c>
      <c r="AO2047" s="121"/>
      <c r="AT2047" s="111"/>
      <c r="AX2047" s="121"/>
    </row>
    <row r="2048" spans="1:50" s="110" customFormat="1" ht="20" customHeight="1">
      <c r="A2048" s="125" t="s">
        <v>486</v>
      </c>
      <c r="B2048" s="126" t="s">
        <v>57</v>
      </c>
      <c r="C2048" s="127">
        <v>19007</v>
      </c>
      <c r="D2048" s="163">
        <v>114916</v>
      </c>
      <c r="E2048" s="164" t="s">
        <v>627</v>
      </c>
      <c r="F2048" s="164" t="s">
        <v>627</v>
      </c>
      <c r="G2048" s="165">
        <v>1222000</v>
      </c>
      <c r="H2048" s="165">
        <v>1</v>
      </c>
      <c r="I2048" s="164" t="s">
        <v>187</v>
      </c>
      <c r="J2048" s="164" t="s">
        <v>632</v>
      </c>
      <c r="K2048" s="164" t="s">
        <v>633</v>
      </c>
      <c r="L2048" s="165">
        <v>0</v>
      </c>
      <c r="M2048" s="165">
        <v>6</v>
      </c>
      <c r="N2048" s="164" t="s">
        <v>189</v>
      </c>
      <c r="O2048" s="165">
        <v>0.66</v>
      </c>
      <c r="P2048" s="168"/>
      <c r="Q2048" s="165">
        <v>26</v>
      </c>
      <c r="R2048" s="164" t="s">
        <v>630</v>
      </c>
      <c r="S2048" s="164" t="s">
        <v>627</v>
      </c>
      <c r="T2048" s="165">
        <v>328</v>
      </c>
      <c r="U2048" s="164" t="s">
        <v>631</v>
      </c>
      <c r="V2048" s="164" t="s">
        <v>627</v>
      </c>
      <c r="W2048" s="165">
        <v>216</v>
      </c>
      <c r="X2048" s="165">
        <v>4</v>
      </c>
      <c r="Y2048" s="164" t="s">
        <v>203</v>
      </c>
      <c r="Z2048" s="164" t="s">
        <v>195</v>
      </c>
      <c r="AA2048" s="164" t="s">
        <v>196</v>
      </c>
      <c r="AB2048" s="164" t="s">
        <v>187</v>
      </c>
      <c r="AC2048" s="164" t="s">
        <v>187</v>
      </c>
      <c r="AD2048" s="165">
        <v>24</v>
      </c>
      <c r="AE2048" s="164" t="s">
        <v>209</v>
      </c>
      <c r="AF2048" s="165">
        <v>24.338582232420901</v>
      </c>
      <c r="AG2048" s="166">
        <v>90.778134834908798</v>
      </c>
      <c r="AO2048" s="121"/>
      <c r="AT2048" s="111"/>
      <c r="AX2048" s="121"/>
    </row>
    <row r="2049" spans="1:50" s="110" customFormat="1" ht="20" customHeight="1">
      <c r="A2049" s="125" t="s">
        <v>370</v>
      </c>
      <c r="B2049" s="126" t="s">
        <v>58</v>
      </c>
      <c r="C2049" s="127">
        <v>19007</v>
      </c>
      <c r="D2049" s="157">
        <v>114916</v>
      </c>
      <c r="E2049" s="158" t="s">
        <v>627</v>
      </c>
      <c r="F2049" s="158" t="s">
        <v>627</v>
      </c>
      <c r="G2049" s="159">
        <v>2200</v>
      </c>
      <c r="H2049" s="159">
        <v>2</v>
      </c>
      <c r="I2049" s="158" t="s">
        <v>209</v>
      </c>
      <c r="J2049" s="158" t="s">
        <v>634</v>
      </c>
      <c r="K2049" s="158" t="s">
        <v>635</v>
      </c>
      <c r="L2049" s="159">
        <v>0</v>
      </c>
      <c r="M2049" s="159">
        <v>6</v>
      </c>
      <c r="N2049" s="158" t="s">
        <v>189</v>
      </c>
      <c r="O2049" s="159">
        <v>11.39</v>
      </c>
      <c r="P2049" s="160"/>
      <c r="Q2049" s="159">
        <v>26</v>
      </c>
      <c r="R2049" s="158" t="s">
        <v>630</v>
      </c>
      <c r="S2049" s="158" t="s">
        <v>627</v>
      </c>
      <c r="T2049" s="159">
        <v>328</v>
      </c>
      <c r="U2049" s="158" t="s">
        <v>631</v>
      </c>
      <c r="V2049" s="158" t="s">
        <v>627</v>
      </c>
      <c r="W2049" s="159">
        <v>216</v>
      </c>
      <c r="X2049" s="159">
        <v>2</v>
      </c>
      <c r="Y2049" s="158" t="s">
        <v>194</v>
      </c>
      <c r="Z2049" s="158" t="s">
        <v>195</v>
      </c>
      <c r="AA2049" s="158" t="s">
        <v>196</v>
      </c>
      <c r="AB2049" s="158" t="s">
        <v>187</v>
      </c>
      <c r="AC2049" s="158" t="s">
        <v>187</v>
      </c>
      <c r="AD2049" s="160"/>
      <c r="AE2049" s="158" t="s">
        <v>209</v>
      </c>
      <c r="AF2049" s="159">
        <v>4.9369038692181597</v>
      </c>
      <c r="AG2049" s="161">
        <v>114.938592272216</v>
      </c>
      <c r="AO2049" s="121"/>
      <c r="AT2049" s="111"/>
      <c r="AX2049" s="121"/>
    </row>
    <row r="2050" spans="1:50" s="110" customFormat="1" ht="20" customHeight="1">
      <c r="A2050" s="125" t="s">
        <v>185</v>
      </c>
      <c r="B2050" s="126" t="s">
        <v>59</v>
      </c>
      <c r="C2050" s="127">
        <v>19007</v>
      </c>
      <c r="D2050" s="157">
        <v>114916</v>
      </c>
      <c r="E2050" s="158" t="s">
        <v>627</v>
      </c>
      <c r="F2050" s="158" t="s">
        <v>627</v>
      </c>
      <c r="G2050" s="159">
        <v>2030000</v>
      </c>
      <c r="H2050" s="159">
        <v>2</v>
      </c>
      <c r="I2050" s="158" t="s">
        <v>209</v>
      </c>
      <c r="J2050" s="158" t="s">
        <v>638</v>
      </c>
      <c r="K2050" s="158" t="s">
        <v>639</v>
      </c>
      <c r="L2050" s="159">
        <v>2</v>
      </c>
      <c r="M2050" s="159">
        <v>6</v>
      </c>
      <c r="N2050" s="158" t="s">
        <v>189</v>
      </c>
      <c r="O2050" s="159">
        <v>15.85</v>
      </c>
      <c r="P2050" s="160"/>
      <c r="Q2050" s="159">
        <v>26</v>
      </c>
      <c r="R2050" s="158" t="s">
        <v>630</v>
      </c>
      <c r="S2050" s="158" t="s">
        <v>627</v>
      </c>
      <c r="T2050" s="159">
        <v>328</v>
      </c>
      <c r="U2050" s="158" t="s">
        <v>631</v>
      </c>
      <c r="V2050" s="158" t="s">
        <v>627</v>
      </c>
      <c r="W2050" s="159">
        <v>216</v>
      </c>
      <c r="X2050" s="159">
        <v>2</v>
      </c>
      <c r="Y2050" s="158" t="s">
        <v>194</v>
      </c>
      <c r="Z2050" s="158" t="s">
        <v>195</v>
      </c>
      <c r="AA2050" s="158" t="s">
        <v>196</v>
      </c>
      <c r="AB2050" s="158" t="s">
        <v>187</v>
      </c>
      <c r="AC2050" s="158" t="s">
        <v>187</v>
      </c>
      <c r="AD2050" s="160"/>
      <c r="AE2050" s="158" t="s">
        <v>209</v>
      </c>
      <c r="AF2050" s="159">
        <v>-6.2160393062689501</v>
      </c>
      <c r="AG2050" s="161">
        <v>106.89985775383199</v>
      </c>
      <c r="AO2050" s="121"/>
      <c r="AT2050" s="111"/>
      <c r="AX2050" s="121"/>
    </row>
    <row r="2051" spans="1:50" s="110" customFormat="1" ht="20" customHeight="1">
      <c r="A2051" s="125" t="s">
        <v>237</v>
      </c>
      <c r="B2051" s="126" t="s">
        <v>60</v>
      </c>
      <c r="C2051" s="127">
        <v>19007</v>
      </c>
      <c r="D2051" s="157">
        <v>114916</v>
      </c>
      <c r="E2051" s="158" t="s">
        <v>627</v>
      </c>
      <c r="F2051" s="158" t="s">
        <v>627</v>
      </c>
      <c r="G2051" s="159">
        <v>160000</v>
      </c>
      <c r="H2051" s="159">
        <v>2</v>
      </c>
      <c r="I2051" s="158" t="s">
        <v>209</v>
      </c>
      <c r="J2051" s="158" t="s">
        <v>636</v>
      </c>
      <c r="K2051" s="158" t="s">
        <v>637</v>
      </c>
      <c r="L2051" s="159">
        <v>0</v>
      </c>
      <c r="M2051" s="159">
        <v>6</v>
      </c>
      <c r="N2051" s="158" t="s">
        <v>189</v>
      </c>
      <c r="O2051" s="159">
        <v>9.43</v>
      </c>
      <c r="P2051" s="160"/>
      <c r="Q2051" s="159">
        <v>26</v>
      </c>
      <c r="R2051" s="158" t="s">
        <v>630</v>
      </c>
      <c r="S2051" s="158" t="s">
        <v>627</v>
      </c>
      <c r="T2051" s="159">
        <v>328</v>
      </c>
      <c r="U2051" s="158" t="s">
        <v>631</v>
      </c>
      <c r="V2051" s="158" t="s">
        <v>627</v>
      </c>
      <c r="W2051" s="159">
        <v>216</v>
      </c>
      <c r="X2051" s="159">
        <v>2</v>
      </c>
      <c r="Y2051" s="158" t="s">
        <v>194</v>
      </c>
      <c r="Z2051" s="158" t="s">
        <v>195</v>
      </c>
      <c r="AA2051" s="158" t="s">
        <v>196</v>
      </c>
      <c r="AB2051" s="158" t="s">
        <v>187</v>
      </c>
      <c r="AC2051" s="158" t="s">
        <v>187</v>
      </c>
      <c r="AD2051" s="160"/>
      <c r="AE2051" s="158" t="s">
        <v>209</v>
      </c>
      <c r="AF2051" s="159">
        <v>3.1311431566313699</v>
      </c>
      <c r="AG2051" s="161">
        <v>101.699696506788</v>
      </c>
      <c r="AO2051" s="121"/>
      <c r="AT2051" s="111"/>
      <c r="AX2051" s="121"/>
    </row>
    <row r="2052" spans="1:50" s="110" customFormat="1" ht="20" customHeight="1">
      <c r="A2052" s="125" t="s">
        <v>231</v>
      </c>
      <c r="B2052" s="126" t="s">
        <v>66</v>
      </c>
      <c r="C2052" s="127">
        <v>19007</v>
      </c>
      <c r="D2052" s="163">
        <v>114916</v>
      </c>
      <c r="E2052" s="164" t="s">
        <v>627</v>
      </c>
      <c r="F2052" s="164" t="s">
        <v>627</v>
      </c>
      <c r="G2052" s="165">
        <v>1619000</v>
      </c>
      <c r="H2052" s="165">
        <v>1</v>
      </c>
      <c r="I2052" s="164" t="s">
        <v>187</v>
      </c>
      <c r="J2052" s="164" t="s">
        <v>628</v>
      </c>
      <c r="K2052" s="164" t="s">
        <v>629</v>
      </c>
      <c r="L2052" s="165">
        <v>0</v>
      </c>
      <c r="M2052" s="165">
        <v>6</v>
      </c>
      <c r="N2052" s="164" t="s">
        <v>189</v>
      </c>
      <c r="O2052" s="165">
        <v>2.4500000000000002</v>
      </c>
      <c r="P2052" s="168"/>
      <c r="Q2052" s="165">
        <v>26</v>
      </c>
      <c r="R2052" s="164" t="s">
        <v>630</v>
      </c>
      <c r="S2052" s="164" t="s">
        <v>627</v>
      </c>
      <c r="T2052" s="165">
        <v>328</v>
      </c>
      <c r="U2052" s="164" t="s">
        <v>631</v>
      </c>
      <c r="V2052" s="164" t="s">
        <v>627</v>
      </c>
      <c r="W2052" s="165">
        <v>216</v>
      </c>
      <c r="X2052" s="165">
        <v>4</v>
      </c>
      <c r="Y2052" s="164" t="s">
        <v>203</v>
      </c>
      <c r="Z2052" s="164" t="s">
        <v>195</v>
      </c>
      <c r="AA2052" s="164" t="s">
        <v>196</v>
      </c>
      <c r="AB2052" s="164" t="s">
        <v>187</v>
      </c>
      <c r="AC2052" s="164" t="s">
        <v>187</v>
      </c>
      <c r="AD2052" s="165">
        <v>32</v>
      </c>
      <c r="AE2052" s="164" t="s">
        <v>209</v>
      </c>
      <c r="AF2052" s="165">
        <v>34.285563061685899</v>
      </c>
      <c r="AG2052" s="166">
        <v>71.924709200868904</v>
      </c>
      <c r="AO2052" s="121"/>
      <c r="AT2052" s="111"/>
      <c r="AX2052" s="121"/>
    </row>
    <row r="2053" spans="1:50" s="110" customFormat="1" ht="20" customHeight="1">
      <c r="A2053" s="125" t="s">
        <v>408</v>
      </c>
      <c r="B2053" s="126" t="s">
        <v>64</v>
      </c>
      <c r="C2053" s="127">
        <v>11722</v>
      </c>
      <c r="D2053" s="145">
        <v>102879</v>
      </c>
      <c r="E2053" s="146" t="s">
        <v>279</v>
      </c>
      <c r="F2053" s="146" t="s">
        <v>279</v>
      </c>
      <c r="G2053" s="147">
        <v>11000</v>
      </c>
      <c r="H2053" s="147">
        <v>4</v>
      </c>
      <c r="I2053" s="146" t="s">
        <v>209</v>
      </c>
      <c r="J2053" s="146" t="s">
        <v>280</v>
      </c>
      <c r="K2053" s="146" t="s">
        <v>281</v>
      </c>
      <c r="L2053" s="147">
        <v>4</v>
      </c>
      <c r="M2053" s="147">
        <v>6</v>
      </c>
      <c r="N2053" s="146" t="s">
        <v>189</v>
      </c>
      <c r="O2053" s="147">
        <v>12</v>
      </c>
      <c r="P2053" s="147">
        <v>3.9</v>
      </c>
      <c r="Q2053" s="147">
        <v>10</v>
      </c>
      <c r="R2053" s="146" t="s">
        <v>273</v>
      </c>
      <c r="S2053" s="146" t="s">
        <v>274</v>
      </c>
      <c r="T2053" s="147">
        <v>163</v>
      </c>
      <c r="U2053" s="146" t="s">
        <v>282</v>
      </c>
      <c r="V2053" s="146" t="s">
        <v>283</v>
      </c>
      <c r="W2053" s="147">
        <v>33</v>
      </c>
      <c r="X2053" s="147">
        <v>2</v>
      </c>
      <c r="Y2053" s="146" t="s">
        <v>194</v>
      </c>
      <c r="Z2053" s="146" t="s">
        <v>195</v>
      </c>
      <c r="AA2053" s="146" t="s">
        <v>196</v>
      </c>
      <c r="AB2053" s="146" t="s">
        <v>209</v>
      </c>
      <c r="AC2053" s="146" t="s">
        <v>209</v>
      </c>
      <c r="AD2053" s="148"/>
      <c r="AE2053" s="146" t="s">
        <v>209</v>
      </c>
      <c r="AF2053" s="147">
        <v>1.299803</v>
      </c>
      <c r="AG2053" s="149">
        <v>103.846802</v>
      </c>
      <c r="AO2053" s="121"/>
      <c r="AT2053" s="111"/>
      <c r="AX2053" s="121"/>
    </row>
    <row r="2054" spans="1:50" s="110" customFormat="1" ht="20" customHeight="1">
      <c r="A2054" s="125" t="s">
        <v>239</v>
      </c>
      <c r="B2054" s="126" t="s">
        <v>67</v>
      </c>
      <c r="C2054" s="127">
        <v>19665</v>
      </c>
      <c r="D2054" s="128">
        <v>109566</v>
      </c>
      <c r="E2054" s="129" t="s">
        <v>1388</v>
      </c>
      <c r="F2054" s="129" t="s">
        <v>1388</v>
      </c>
      <c r="G2054" s="130">
        <v>30000</v>
      </c>
      <c r="H2054" s="130">
        <v>5</v>
      </c>
      <c r="I2054" s="129" t="s">
        <v>209</v>
      </c>
      <c r="J2054" s="129" t="s">
        <v>1389</v>
      </c>
      <c r="K2054" s="129" t="s">
        <v>1388</v>
      </c>
      <c r="L2054" s="130">
        <v>3</v>
      </c>
      <c r="M2054" s="130">
        <v>6</v>
      </c>
      <c r="N2054" s="129" t="s">
        <v>189</v>
      </c>
      <c r="O2054" s="130">
        <v>25</v>
      </c>
      <c r="P2054" s="130">
        <v>13</v>
      </c>
      <c r="Q2054" s="130">
        <v>17</v>
      </c>
      <c r="R2054" s="129" t="s">
        <v>190</v>
      </c>
      <c r="S2054" s="129" t="s">
        <v>191</v>
      </c>
      <c r="T2054" s="130">
        <v>166</v>
      </c>
      <c r="U2054" s="129" t="s">
        <v>1390</v>
      </c>
      <c r="V2054" s="129" t="s">
        <v>1391</v>
      </c>
      <c r="W2054" s="130">
        <v>1</v>
      </c>
      <c r="X2054" s="130">
        <v>2</v>
      </c>
      <c r="Y2054" s="129" t="s">
        <v>194</v>
      </c>
      <c r="Z2054" s="129" t="s">
        <v>195</v>
      </c>
      <c r="AA2054" s="129" t="s">
        <v>196</v>
      </c>
      <c r="AB2054" s="129" t="s">
        <v>209</v>
      </c>
      <c r="AC2054" s="129" t="s">
        <v>187</v>
      </c>
      <c r="AD2054" s="131"/>
      <c r="AE2054" s="129" t="s">
        <v>209</v>
      </c>
      <c r="AF2054" s="130">
        <v>7.4335599999999999</v>
      </c>
      <c r="AG2054" s="132">
        <v>122.11626</v>
      </c>
      <c r="AO2054" s="121"/>
      <c r="AT2054" s="111"/>
      <c r="AX2054" s="121"/>
    </row>
    <row r="2055" spans="1:50" s="110" customFormat="1" ht="20" customHeight="1">
      <c r="A2055" s="125" t="s">
        <v>185</v>
      </c>
      <c r="B2055" s="126" t="s">
        <v>59</v>
      </c>
      <c r="C2055" s="127">
        <v>15295</v>
      </c>
      <c r="D2055" s="163">
        <v>109891</v>
      </c>
      <c r="E2055" s="164" t="s">
        <v>1426</v>
      </c>
      <c r="F2055" s="164" t="s">
        <v>1427</v>
      </c>
      <c r="G2055" s="165">
        <v>22000</v>
      </c>
      <c r="H2055" s="165">
        <v>1</v>
      </c>
      <c r="I2055" s="164" t="s">
        <v>187</v>
      </c>
      <c r="J2055" s="164" t="s">
        <v>1428</v>
      </c>
      <c r="K2055" s="164" t="s">
        <v>1426</v>
      </c>
      <c r="L2055" s="165">
        <v>4</v>
      </c>
      <c r="M2055" s="165">
        <v>6</v>
      </c>
      <c r="N2055" s="164" t="s">
        <v>189</v>
      </c>
      <c r="O2055" s="165">
        <v>0.5</v>
      </c>
      <c r="P2055" s="165">
        <v>0.33</v>
      </c>
      <c r="Q2055" s="165">
        <v>17</v>
      </c>
      <c r="R2055" s="164" t="s">
        <v>190</v>
      </c>
      <c r="S2055" s="164" t="s">
        <v>191</v>
      </c>
      <c r="T2055" s="165">
        <v>167</v>
      </c>
      <c r="U2055" s="164" t="s">
        <v>750</v>
      </c>
      <c r="V2055" s="164" t="s">
        <v>751</v>
      </c>
      <c r="W2055" s="165">
        <v>3</v>
      </c>
      <c r="X2055" s="165">
        <v>2</v>
      </c>
      <c r="Y2055" s="164" t="s">
        <v>194</v>
      </c>
      <c r="Z2055" s="164" t="s">
        <v>195</v>
      </c>
      <c r="AA2055" s="164" t="s">
        <v>196</v>
      </c>
      <c r="AB2055" s="164" t="s">
        <v>187</v>
      </c>
      <c r="AC2055" s="164" t="s">
        <v>209</v>
      </c>
      <c r="AD2055" s="165">
        <v>1</v>
      </c>
      <c r="AE2055" s="164" t="s">
        <v>209</v>
      </c>
      <c r="AF2055" s="165">
        <v>3.6970000000000001</v>
      </c>
      <c r="AG2055" s="166">
        <v>117.377</v>
      </c>
      <c r="AO2055" s="121"/>
      <c r="AT2055" s="111"/>
      <c r="AX2055" s="121"/>
    </row>
    <row r="2056" spans="1:50" s="110" customFormat="1" ht="20" customHeight="1">
      <c r="A2056" s="125" t="s">
        <v>237</v>
      </c>
      <c r="B2056" s="126" t="s">
        <v>60</v>
      </c>
      <c r="C2056" s="127">
        <v>15295</v>
      </c>
      <c r="D2056" s="163">
        <v>109891</v>
      </c>
      <c r="E2056" s="164" t="s">
        <v>1426</v>
      </c>
      <c r="F2056" s="164" t="s">
        <v>1430</v>
      </c>
      <c r="G2056" s="165">
        <v>216000</v>
      </c>
      <c r="H2056" s="165">
        <v>1</v>
      </c>
      <c r="I2056" s="164" t="s">
        <v>187</v>
      </c>
      <c r="J2056" s="164" t="s">
        <v>1428</v>
      </c>
      <c r="K2056" s="164" t="s">
        <v>1426</v>
      </c>
      <c r="L2056" s="165">
        <v>4</v>
      </c>
      <c r="M2056" s="165">
        <v>6</v>
      </c>
      <c r="N2056" s="164" t="s">
        <v>189</v>
      </c>
      <c r="O2056" s="165">
        <v>5.0000000000000001E-3</v>
      </c>
      <c r="P2056" s="165">
        <v>5.0000000000000001E-3</v>
      </c>
      <c r="Q2056" s="165">
        <v>17</v>
      </c>
      <c r="R2056" s="164" t="s">
        <v>190</v>
      </c>
      <c r="S2056" s="164" t="s">
        <v>191</v>
      </c>
      <c r="T2056" s="165">
        <v>167</v>
      </c>
      <c r="U2056" s="164" t="s">
        <v>750</v>
      </c>
      <c r="V2056" s="164" t="s">
        <v>751</v>
      </c>
      <c r="W2056" s="165">
        <v>3</v>
      </c>
      <c r="X2056" s="165">
        <v>2</v>
      </c>
      <c r="Y2056" s="164" t="s">
        <v>194</v>
      </c>
      <c r="Z2056" s="164" t="s">
        <v>195</v>
      </c>
      <c r="AA2056" s="164" t="s">
        <v>196</v>
      </c>
      <c r="AB2056" s="164" t="s">
        <v>187</v>
      </c>
      <c r="AC2056" s="164" t="s">
        <v>209</v>
      </c>
      <c r="AD2056" s="165">
        <v>4</v>
      </c>
      <c r="AE2056" s="164" t="s">
        <v>187</v>
      </c>
      <c r="AF2056" s="165">
        <v>5.9939099999999996</v>
      </c>
      <c r="AG2056" s="166">
        <v>117.96907</v>
      </c>
      <c r="AO2056" s="121"/>
      <c r="AT2056" s="111"/>
      <c r="AX2056" s="121"/>
    </row>
    <row r="2057" spans="1:50" s="110" customFormat="1" ht="20" customHeight="1">
      <c r="A2057" s="125" t="s">
        <v>237</v>
      </c>
      <c r="B2057" s="126" t="s">
        <v>60</v>
      </c>
      <c r="C2057" s="127">
        <v>20962</v>
      </c>
      <c r="D2057" s="163">
        <v>117614</v>
      </c>
      <c r="E2057" s="164" t="s">
        <v>752</v>
      </c>
      <c r="F2057" s="164" t="s">
        <v>752</v>
      </c>
      <c r="G2057" s="165">
        <v>31000</v>
      </c>
      <c r="H2057" s="165">
        <v>1</v>
      </c>
      <c r="I2057" s="164" t="s">
        <v>187</v>
      </c>
      <c r="J2057" s="164" t="s">
        <v>753</v>
      </c>
      <c r="K2057" s="164" t="s">
        <v>748</v>
      </c>
      <c r="L2057" s="165">
        <v>2</v>
      </c>
      <c r="M2057" s="165">
        <v>6</v>
      </c>
      <c r="N2057" s="164" t="s">
        <v>189</v>
      </c>
      <c r="O2057" s="165">
        <v>0</v>
      </c>
      <c r="P2057" s="165">
        <v>0</v>
      </c>
      <c r="Q2057" s="165">
        <v>17</v>
      </c>
      <c r="R2057" s="164" t="s">
        <v>190</v>
      </c>
      <c r="S2057" s="164" t="s">
        <v>191</v>
      </c>
      <c r="T2057" s="165">
        <v>167</v>
      </c>
      <c r="U2057" s="164" t="s">
        <v>750</v>
      </c>
      <c r="V2057" s="164" t="s">
        <v>751</v>
      </c>
      <c r="W2057" s="165">
        <v>1</v>
      </c>
      <c r="X2057" s="165">
        <v>2</v>
      </c>
      <c r="Y2057" s="164" t="s">
        <v>194</v>
      </c>
      <c r="Z2057" s="164" t="s">
        <v>195</v>
      </c>
      <c r="AA2057" s="164" t="s">
        <v>196</v>
      </c>
      <c r="AB2057" s="164" t="s">
        <v>187</v>
      </c>
      <c r="AC2057" s="164" t="s">
        <v>187</v>
      </c>
      <c r="AD2057" s="165">
        <v>1</v>
      </c>
      <c r="AE2057" s="164" t="s">
        <v>187</v>
      </c>
      <c r="AF2057" s="165">
        <v>6.3558940000000002</v>
      </c>
      <c r="AG2057" s="166">
        <v>116.429534</v>
      </c>
      <c r="AO2057" s="121"/>
      <c r="AT2057" s="111"/>
      <c r="AX2057" s="121"/>
    </row>
    <row r="2058" spans="1:50" s="110" customFormat="1" ht="20" customHeight="1">
      <c r="A2058" s="125" t="s">
        <v>237</v>
      </c>
      <c r="B2058" s="126" t="s">
        <v>60</v>
      </c>
      <c r="C2058" s="127">
        <v>15065</v>
      </c>
      <c r="D2058" s="163">
        <v>109515</v>
      </c>
      <c r="E2058" s="164" t="s">
        <v>1329</v>
      </c>
      <c r="F2058" s="164" t="s">
        <v>1329</v>
      </c>
      <c r="G2058" s="165">
        <v>18000</v>
      </c>
      <c r="H2058" s="165">
        <v>1</v>
      </c>
      <c r="I2058" s="164" t="s">
        <v>187</v>
      </c>
      <c r="J2058" s="164" t="s">
        <v>1330</v>
      </c>
      <c r="K2058" s="164" t="s">
        <v>1329</v>
      </c>
      <c r="L2058" s="165">
        <v>3</v>
      </c>
      <c r="M2058" s="165">
        <v>6</v>
      </c>
      <c r="N2058" s="164" t="s">
        <v>189</v>
      </c>
      <c r="O2058" s="165">
        <v>0</v>
      </c>
      <c r="P2058" s="165">
        <v>0</v>
      </c>
      <c r="Q2058" s="165">
        <v>17</v>
      </c>
      <c r="R2058" s="164" t="s">
        <v>190</v>
      </c>
      <c r="S2058" s="164" t="s">
        <v>191</v>
      </c>
      <c r="T2058" s="165">
        <v>167</v>
      </c>
      <c r="U2058" s="164" t="s">
        <v>750</v>
      </c>
      <c r="V2058" s="164" t="s">
        <v>751</v>
      </c>
      <c r="W2058" s="165">
        <v>2</v>
      </c>
      <c r="X2058" s="165">
        <v>2</v>
      </c>
      <c r="Y2058" s="164" t="s">
        <v>194</v>
      </c>
      <c r="Z2058" s="164" t="s">
        <v>195</v>
      </c>
      <c r="AA2058" s="164" t="s">
        <v>196</v>
      </c>
      <c r="AB2058" s="164" t="s">
        <v>187</v>
      </c>
      <c r="AC2058" s="164" t="s">
        <v>209</v>
      </c>
      <c r="AD2058" s="165">
        <v>1</v>
      </c>
      <c r="AE2058" s="164" t="s">
        <v>187</v>
      </c>
      <c r="AF2058" s="165">
        <v>4.8054600000000001</v>
      </c>
      <c r="AG2058" s="166">
        <v>118.11422</v>
      </c>
      <c r="AO2058" s="121"/>
      <c r="AT2058" s="111"/>
      <c r="AX2058" s="121"/>
    </row>
    <row r="2059" spans="1:50" s="110" customFormat="1" ht="20" customHeight="1">
      <c r="A2059" s="125" t="s">
        <v>237</v>
      </c>
      <c r="B2059" s="126" t="s">
        <v>60</v>
      </c>
      <c r="C2059" s="127">
        <v>10584</v>
      </c>
      <c r="D2059" s="163">
        <v>100800</v>
      </c>
      <c r="E2059" s="164" t="s">
        <v>754</v>
      </c>
      <c r="F2059" s="164" t="s">
        <v>757</v>
      </c>
      <c r="G2059" s="165">
        <v>16000</v>
      </c>
      <c r="H2059" s="165">
        <v>1</v>
      </c>
      <c r="I2059" s="164" t="s">
        <v>187</v>
      </c>
      <c r="J2059" s="164" t="s">
        <v>755</v>
      </c>
      <c r="K2059" s="164" t="s">
        <v>756</v>
      </c>
      <c r="L2059" s="165">
        <v>3</v>
      </c>
      <c r="M2059" s="165">
        <v>6</v>
      </c>
      <c r="N2059" s="164" t="s">
        <v>189</v>
      </c>
      <c r="O2059" s="165">
        <v>0</v>
      </c>
      <c r="P2059" s="165">
        <v>0</v>
      </c>
      <c r="Q2059" s="165">
        <v>17</v>
      </c>
      <c r="R2059" s="164" t="s">
        <v>190</v>
      </c>
      <c r="S2059" s="164" t="s">
        <v>191</v>
      </c>
      <c r="T2059" s="165">
        <v>167</v>
      </c>
      <c r="U2059" s="164" t="s">
        <v>750</v>
      </c>
      <c r="V2059" s="164" t="s">
        <v>751</v>
      </c>
      <c r="W2059" s="165">
        <v>2</v>
      </c>
      <c r="X2059" s="165">
        <v>2</v>
      </c>
      <c r="Y2059" s="164" t="s">
        <v>194</v>
      </c>
      <c r="Z2059" s="164" t="s">
        <v>195</v>
      </c>
      <c r="AA2059" s="164" t="s">
        <v>196</v>
      </c>
      <c r="AB2059" s="164" t="s">
        <v>187</v>
      </c>
      <c r="AC2059" s="164" t="s">
        <v>209</v>
      </c>
      <c r="AD2059" s="165">
        <v>1</v>
      </c>
      <c r="AE2059" s="164" t="s">
        <v>187</v>
      </c>
      <c r="AF2059" s="165">
        <v>5.93161</v>
      </c>
      <c r="AG2059" s="166">
        <v>118.00490000000001</v>
      </c>
      <c r="AO2059" s="121"/>
      <c r="AT2059" s="111"/>
      <c r="AX2059" s="121"/>
    </row>
    <row r="2060" spans="1:50" s="110" customFormat="1" ht="20" customHeight="1">
      <c r="A2060" s="125" t="s">
        <v>237</v>
      </c>
      <c r="B2060" s="126" t="s">
        <v>60</v>
      </c>
      <c r="C2060" s="127">
        <v>14031</v>
      </c>
      <c r="D2060" s="163">
        <v>107461</v>
      </c>
      <c r="E2060" s="164" t="s">
        <v>1323</v>
      </c>
      <c r="F2060" s="164" t="s">
        <v>1323</v>
      </c>
      <c r="G2060" s="165">
        <v>5200</v>
      </c>
      <c r="H2060" s="165">
        <v>1</v>
      </c>
      <c r="I2060" s="164" t="s">
        <v>187</v>
      </c>
      <c r="J2060" s="164" t="s">
        <v>1324</v>
      </c>
      <c r="K2060" s="164" t="s">
        <v>1325</v>
      </c>
      <c r="L2060" s="165">
        <v>4</v>
      </c>
      <c r="M2060" s="165">
        <v>6</v>
      </c>
      <c r="N2060" s="164" t="s">
        <v>189</v>
      </c>
      <c r="O2060" s="165">
        <v>0</v>
      </c>
      <c r="P2060" s="165">
        <v>0</v>
      </c>
      <c r="Q2060" s="165">
        <v>17</v>
      </c>
      <c r="R2060" s="164" t="s">
        <v>190</v>
      </c>
      <c r="S2060" s="164" t="s">
        <v>191</v>
      </c>
      <c r="T2060" s="165">
        <v>167</v>
      </c>
      <c r="U2060" s="164" t="s">
        <v>750</v>
      </c>
      <c r="V2060" s="164" t="s">
        <v>751</v>
      </c>
      <c r="W2060" s="165">
        <v>2</v>
      </c>
      <c r="X2060" s="165">
        <v>2</v>
      </c>
      <c r="Y2060" s="164" t="s">
        <v>194</v>
      </c>
      <c r="Z2060" s="164" t="s">
        <v>195</v>
      </c>
      <c r="AA2060" s="164" t="s">
        <v>196</v>
      </c>
      <c r="AB2060" s="164" t="s">
        <v>187</v>
      </c>
      <c r="AC2060" s="164" t="s">
        <v>209</v>
      </c>
      <c r="AD2060" s="165">
        <v>1</v>
      </c>
      <c r="AE2060" s="164" t="s">
        <v>187</v>
      </c>
      <c r="AF2060" s="165">
        <v>4.9949700000000004</v>
      </c>
      <c r="AG2060" s="166">
        <v>118.82271</v>
      </c>
      <c r="AO2060" s="121"/>
      <c r="AT2060" s="111"/>
      <c r="AX2060" s="121"/>
    </row>
    <row r="2061" spans="1:50" s="110" customFormat="1" ht="20" customHeight="1">
      <c r="A2061" s="125" t="s">
        <v>237</v>
      </c>
      <c r="B2061" s="126" t="s">
        <v>60</v>
      </c>
      <c r="C2061" s="127">
        <v>13774</v>
      </c>
      <c r="D2061" s="163">
        <v>106729</v>
      </c>
      <c r="E2061" s="164" t="s">
        <v>1135</v>
      </c>
      <c r="F2061" s="164" t="s">
        <v>1135</v>
      </c>
      <c r="G2061" s="165">
        <v>2600</v>
      </c>
      <c r="H2061" s="165">
        <v>1</v>
      </c>
      <c r="I2061" s="164" t="s">
        <v>187</v>
      </c>
      <c r="J2061" s="164" t="s">
        <v>1136</v>
      </c>
      <c r="K2061" s="164" t="s">
        <v>1135</v>
      </c>
      <c r="L2061" s="165">
        <v>4</v>
      </c>
      <c r="M2061" s="165">
        <v>6</v>
      </c>
      <c r="N2061" s="164" t="s">
        <v>189</v>
      </c>
      <c r="O2061" s="165">
        <v>0</v>
      </c>
      <c r="P2061" s="165">
        <v>0</v>
      </c>
      <c r="Q2061" s="165">
        <v>17</v>
      </c>
      <c r="R2061" s="164" t="s">
        <v>190</v>
      </c>
      <c r="S2061" s="164" t="s">
        <v>191</v>
      </c>
      <c r="T2061" s="165">
        <v>167</v>
      </c>
      <c r="U2061" s="164" t="s">
        <v>750</v>
      </c>
      <c r="V2061" s="164" t="s">
        <v>751</v>
      </c>
      <c r="W2061" s="165">
        <v>2</v>
      </c>
      <c r="X2061" s="165">
        <v>2</v>
      </c>
      <c r="Y2061" s="164" t="s">
        <v>194</v>
      </c>
      <c r="Z2061" s="164" t="s">
        <v>195</v>
      </c>
      <c r="AA2061" s="164" t="s">
        <v>196</v>
      </c>
      <c r="AB2061" s="164" t="s">
        <v>187</v>
      </c>
      <c r="AC2061" s="164" t="s">
        <v>209</v>
      </c>
      <c r="AD2061" s="165">
        <v>1</v>
      </c>
      <c r="AE2061" s="164" t="s">
        <v>187</v>
      </c>
      <c r="AF2061" s="165">
        <v>7.23116</v>
      </c>
      <c r="AG2061" s="166">
        <v>117.06722000000001</v>
      </c>
      <c r="AO2061" s="121"/>
      <c r="AT2061" s="111"/>
      <c r="AX2061" s="121"/>
    </row>
    <row r="2062" spans="1:50" s="110" customFormat="1" ht="20" customHeight="1">
      <c r="A2062" s="125" t="s">
        <v>237</v>
      </c>
      <c r="B2062" s="126" t="s">
        <v>60</v>
      </c>
      <c r="C2062" s="127">
        <v>15956</v>
      </c>
      <c r="D2062" s="163">
        <v>110934</v>
      </c>
      <c r="E2062" s="164" t="s">
        <v>1526</v>
      </c>
      <c r="F2062" s="164" t="s">
        <v>1526</v>
      </c>
      <c r="G2062" s="165">
        <v>1200</v>
      </c>
      <c r="H2062" s="165">
        <v>1</v>
      </c>
      <c r="I2062" s="164" t="s">
        <v>187</v>
      </c>
      <c r="J2062" s="164" t="s">
        <v>1527</v>
      </c>
      <c r="K2062" s="164" t="s">
        <v>1526</v>
      </c>
      <c r="L2062" s="165">
        <v>4</v>
      </c>
      <c r="M2062" s="165">
        <v>6</v>
      </c>
      <c r="N2062" s="164" t="s">
        <v>189</v>
      </c>
      <c r="O2062" s="165">
        <v>0</v>
      </c>
      <c r="P2062" s="165">
        <v>0</v>
      </c>
      <c r="Q2062" s="165">
        <v>17</v>
      </c>
      <c r="R2062" s="164" t="s">
        <v>190</v>
      </c>
      <c r="S2062" s="164" t="s">
        <v>191</v>
      </c>
      <c r="T2062" s="165">
        <v>167</v>
      </c>
      <c r="U2062" s="164" t="s">
        <v>750</v>
      </c>
      <c r="V2062" s="164" t="s">
        <v>751</v>
      </c>
      <c r="W2062" s="165">
        <v>2</v>
      </c>
      <c r="X2062" s="165">
        <v>2</v>
      </c>
      <c r="Y2062" s="164" t="s">
        <v>194</v>
      </c>
      <c r="Z2062" s="164" t="s">
        <v>195</v>
      </c>
      <c r="AA2062" s="164" t="s">
        <v>196</v>
      </c>
      <c r="AB2062" s="164" t="s">
        <v>187</v>
      </c>
      <c r="AC2062" s="164" t="s">
        <v>209</v>
      </c>
      <c r="AD2062" s="165">
        <v>1</v>
      </c>
      <c r="AE2062" s="164" t="s">
        <v>187</v>
      </c>
      <c r="AF2062" s="165">
        <v>4.4266899999999998</v>
      </c>
      <c r="AG2062" s="166">
        <v>117.34211000000001</v>
      </c>
      <c r="AO2062" s="121"/>
      <c r="AT2062" s="111"/>
      <c r="AX2062" s="121"/>
    </row>
    <row r="2063" spans="1:50" s="110" customFormat="1" ht="20" customHeight="1">
      <c r="A2063" s="125" t="s">
        <v>239</v>
      </c>
      <c r="B2063" s="126" t="s">
        <v>67</v>
      </c>
      <c r="C2063" s="127">
        <v>13531</v>
      </c>
      <c r="D2063" s="163">
        <v>106311</v>
      </c>
      <c r="E2063" s="164" t="s">
        <v>1110</v>
      </c>
      <c r="F2063" s="164" t="s">
        <v>1111</v>
      </c>
      <c r="G2063" s="165">
        <v>1365000</v>
      </c>
      <c r="H2063" s="165">
        <v>1</v>
      </c>
      <c r="I2063" s="164" t="s">
        <v>187</v>
      </c>
      <c r="J2063" s="164" t="s">
        <v>1112</v>
      </c>
      <c r="K2063" s="164" t="s">
        <v>1110</v>
      </c>
      <c r="L2063" s="165">
        <v>5</v>
      </c>
      <c r="M2063" s="165">
        <v>6</v>
      </c>
      <c r="N2063" s="164" t="s">
        <v>189</v>
      </c>
      <c r="O2063" s="165">
        <v>2</v>
      </c>
      <c r="P2063" s="165">
        <v>0.23400000000000001</v>
      </c>
      <c r="Q2063" s="165">
        <v>17</v>
      </c>
      <c r="R2063" s="164" t="s">
        <v>190</v>
      </c>
      <c r="S2063" s="164" t="s">
        <v>191</v>
      </c>
      <c r="T2063" s="165">
        <v>167</v>
      </c>
      <c r="U2063" s="164" t="s">
        <v>750</v>
      </c>
      <c r="V2063" s="164" t="s">
        <v>751</v>
      </c>
      <c r="W2063" s="165">
        <v>1</v>
      </c>
      <c r="X2063" s="165">
        <v>2</v>
      </c>
      <c r="Y2063" s="164" t="s">
        <v>194</v>
      </c>
      <c r="Z2063" s="164" t="s">
        <v>195</v>
      </c>
      <c r="AA2063" s="164" t="s">
        <v>196</v>
      </c>
      <c r="AB2063" s="164" t="s">
        <v>209</v>
      </c>
      <c r="AC2063" s="164" t="s">
        <v>187</v>
      </c>
      <c r="AD2063" s="165">
        <v>27</v>
      </c>
      <c r="AE2063" s="164" t="s">
        <v>209</v>
      </c>
      <c r="AF2063" s="165">
        <v>7.8150199999999996</v>
      </c>
      <c r="AG2063" s="166">
        <v>124.22438</v>
      </c>
      <c r="AO2063" s="121"/>
      <c r="AT2063" s="111"/>
      <c r="AX2063" s="121"/>
    </row>
    <row r="2064" spans="1:50" s="110" customFormat="1" ht="20" customHeight="1">
      <c r="A2064" s="125" t="s">
        <v>239</v>
      </c>
      <c r="B2064" s="126" t="s">
        <v>67</v>
      </c>
      <c r="C2064" s="127">
        <v>13209</v>
      </c>
      <c r="D2064" s="163">
        <v>106017</v>
      </c>
      <c r="E2064" s="164" t="s">
        <v>1037</v>
      </c>
      <c r="F2064" s="164" t="s">
        <v>1037</v>
      </c>
      <c r="G2064" s="165">
        <v>1286000</v>
      </c>
      <c r="H2064" s="165">
        <v>1</v>
      </c>
      <c r="I2064" s="164" t="s">
        <v>187</v>
      </c>
      <c r="J2064" s="164" t="s">
        <v>1038</v>
      </c>
      <c r="K2064" s="164" t="s">
        <v>1039</v>
      </c>
      <c r="L2064" s="165">
        <v>3</v>
      </c>
      <c r="M2064" s="165">
        <v>6</v>
      </c>
      <c r="N2064" s="164" t="s">
        <v>189</v>
      </c>
      <c r="O2064" s="165">
        <v>0.1</v>
      </c>
      <c r="P2064" s="165">
        <v>3.5000000000000003E-2</v>
      </c>
      <c r="Q2064" s="165">
        <v>17</v>
      </c>
      <c r="R2064" s="164" t="s">
        <v>190</v>
      </c>
      <c r="S2064" s="164" t="s">
        <v>191</v>
      </c>
      <c r="T2064" s="165">
        <v>167</v>
      </c>
      <c r="U2064" s="164" t="s">
        <v>750</v>
      </c>
      <c r="V2064" s="164" t="s">
        <v>751</v>
      </c>
      <c r="W2064" s="165">
        <v>1</v>
      </c>
      <c r="X2064" s="165">
        <v>2</v>
      </c>
      <c r="Y2064" s="164" t="s">
        <v>194</v>
      </c>
      <c r="Z2064" s="164" t="s">
        <v>195</v>
      </c>
      <c r="AA2064" s="164" t="s">
        <v>196</v>
      </c>
      <c r="AB2064" s="164" t="s">
        <v>209</v>
      </c>
      <c r="AC2064" s="164" t="s">
        <v>187</v>
      </c>
      <c r="AD2064" s="165">
        <v>26</v>
      </c>
      <c r="AE2064" s="164" t="s">
        <v>187</v>
      </c>
      <c r="AF2064" s="165">
        <v>7.2122596058960697</v>
      </c>
      <c r="AG2064" s="166">
        <v>124.24199970302401</v>
      </c>
      <c r="AO2064" s="121"/>
      <c r="AT2064" s="111"/>
      <c r="AX2064" s="121"/>
    </row>
    <row r="2065" spans="1:50" s="110" customFormat="1" ht="20" customHeight="1">
      <c r="A2065" s="125" t="s">
        <v>239</v>
      </c>
      <c r="B2065" s="126" t="s">
        <v>67</v>
      </c>
      <c r="C2065" s="127">
        <v>15295</v>
      </c>
      <c r="D2065" s="163">
        <v>109891</v>
      </c>
      <c r="E2065" s="164" t="s">
        <v>1426</v>
      </c>
      <c r="F2065" s="164" t="s">
        <v>1429</v>
      </c>
      <c r="G2065" s="165">
        <v>1285000</v>
      </c>
      <c r="H2065" s="165">
        <v>1</v>
      </c>
      <c r="I2065" s="164" t="s">
        <v>187</v>
      </c>
      <c r="J2065" s="164" t="s">
        <v>1428</v>
      </c>
      <c r="K2065" s="164" t="s">
        <v>1426</v>
      </c>
      <c r="L2065" s="165">
        <v>4</v>
      </c>
      <c r="M2065" s="165">
        <v>6</v>
      </c>
      <c r="N2065" s="164" t="s">
        <v>189</v>
      </c>
      <c r="O2065" s="165">
        <v>2</v>
      </c>
      <c r="P2065" s="165">
        <v>0.23400000000000001</v>
      </c>
      <c r="Q2065" s="165">
        <v>17</v>
      </c>
      <c r="R2065" s="164" t="s">
        <v>190</v>
      </c>
      <c r="S2065" s="164" t="s">
        <v>191</v>
      </c>
      <c r="T2065" s="165">
        <v>167</v>
      </c>
      <c r="U2065" s="164" t="s">
        <v>750</v>
      </c>
      <c r="V2065" s="164" t="s">
        <v>751</v>
      </c>
      <c r="W2065" s="165">
        <v>3</v>
      </c>
      <c r="X2065" s="165">
        <v>2</v>
      </c>
      <c r="Y2065" s="164" t="s">
        <v>194</v>
      </c>
      <c r="Z2065" s="164" t="s">
        <v>195</v>
      </c>
      <c r="AA2065" s="164" t="s">
        <v>196</v>
      </c>
      <c r="AB2065" s="164" t="s">
        <v>209</v>
      </c>
      <c r="AC2065" s="164" t="s">
        <v>187</v>
      </c>
      <c r="AD2065" s="165">
        <v>26</v>
      </c>
      <c r="AE2065" s="164" t="s">
        <v>209</v>
      </c>
      <c r="AF2065" s="165">
        <v>5.9547800000000004</v>
      </c>
      <c r="AG2065" s="166">
        <v>121.11476999999999</v>
      </c>
      <c r="AO2065" s="121"/>
      <c r="AT2065" s="111"/>
      <c r="AX2065" s="121"/>
    </row>
    <row r="2066" spans="1:50" s="110" customFormat="1" ht="20" customHeight="1">
      <c r="A2066" s="125" t="s">
        <v>239</v>
      </c>
      <c r="B2066" s="126" t="s">
        <v>67</v>
      </c>
      <c r="C2066" s="127">
        <v>12209</v>
      </c>
      <c r="D2066" s="163">
        <v>103985</v>
      </c>
      <c r="E2066" s="164" t="s">
        <v>748</v>
      </c>
      <c r="F2066" s="164" t="s">
        <v>748</v>
      </c>
      <c r="G2066" s="165">
        <v>261000</v>
      </c>
      <c r="H2066" s="165">
        <v>1</v>
      </c>
      <c r="I2066" s="164" t="s">
        <v>187</v>
      </c>
      <c r="J2066" s="164" t="s">
        <v>749</v>
      </c>
      <c r="K2066" s="164" t="s">
        <v>748</v>
      </c>
      <c r="L2066" s="165">
        <v>1</v>
      </c>
      <c r="M2066" s="165">
        <v>6</v>
      </c>
      <c r="N2066" s="164" t="s">
        <v>189</v>
      </c>
      <c r="O2066" s="165">
        <v>0</v>
      </c>
      <c r="P2066" s="165">
        <v>0</v>
      </c>
      <c r="Q2066" s="165">
        <v>17</v>
      </c>
      <c r="R2066" s="164" t="s">
        <v>190</v>
      </c>
      <c r="S2066" s="164" t="s">
        <v>191</v>
      </c>
      <c r="T2066" s="165">
        <v>167</v>
      </c>
      <c r="U2066" s="164" t="s">
        <v>750</v>
      </c>
      <c r="V2066" s="164" t="s">
        <v>751</v>
      </c>
      <c r="W2066" s="165">
        <v>1</v>
      </c>
      <c r="X2066" s="165">
        <v>2</v>
      </c>
      <c r="Y2066" s="164" t="s">
        <v>194</v>
      </c>
      <c r="Z2066" s="164" t="s">
        <v>195</v>
      </c>
      <c r="AA2066" s="164" t="s">
        <v>196</v>
      </c>
      <c r="AB2066" s="164" t="s">
        <v>209</v>
      </c>
      <c r="AC2066" s="164" t="s">
        <v>187</v>
      </c>
      <c r="AD2066" s="165">
        <v>5</v>
      </c>
      <c r="AE2066" s="164" t="s">
        <v>187</v>
      </c>
      <c r="AF2066" s="165">
        <v>8.0717929999999996</v>
      </c>
      <c r="AG2066" s="166">
        <v>123.28762999999999</v>
      </c>
      <c r="AO2066" s="121"/>
      <c r="AT2066" s="111"/>
      <c r="AX2066" s="121"/>
    </row>
    <row r="2067" spans="1:50" s="110" customFormat="1" ht="20" customHeight="1">
      <c r="A2067" s="125" t="s">
        <v>239</v>
      </c>
      <c r="B2067" s="126" t="s">
        <v>67</v>
      </c>
      <c r="C2067" s="127">
        <v>15065</v>
      </c>
      <c r="D2067" s="163">
        <v>109515</v>
      </c>
      <c r="E2067" s="164" t="s">
        <v>1329</v>
      </c>
      <c r="F2067" s="164" t="s">
        <v>1329</v>
      </c>
      <c r="G2067" s="165">
        <v>246000</v>
      </c>
      <c r="H2067" s="165">
        <v>1</v>
      </c>
      <c r="I2067" s="164" t="s">
        <v>187</v>
      </c>
      <c r="J2067" s="164" t="s">
        <v>1330</v>
      </c>
      <c r="K2067" s="164" t="s">
        <v>1329</v>
      </c>
      <c r="L2067" s="165">
        <v>3</v>
      </c>
      <c r="M2067" s="165">
        <v>6</v>
      </c>
      <c r="N2067" s="164" t="s">
        <v>189</v>
      </c>
      <c r="O2067" s="165">
        <v>0</v>
      </c>
      <c r="P2067" s="165">
        <v>0</v>
      </c>
      <c r="Q2067" s="165">
        <v>17</v>
      </c>
      <c r="R2067" s="164" t="s">
        <v>190</v>
      </c>
      <c r="S2067" s="164" t="s">
        <v>191</v>
      </c>
      <c r="T2067" s="165">
        <v>167</v>
      </c>
      <c r="U2067" s="164" t="s">
        <v>750</v>
      </c>
      <c r="V2067" s="164" t="s">
        <v>751</v>
      </c>
      <c r="W2067" s="165">
        <v>2</v>
      </c>
      <c r="X2067" s="165">
        <v>2</v>
      </c>
      <c r="Y2067" s="164" t="s">
        <v>194</v>
      </c>
      <c r="Z2067" s="164" t="s">
        <v>195</v>
      </c>
      <c r="AA2067" s="164" t="s">
        <v>196</v>
      </c>
      <c r="AB2067" s="164" t="s">
        <v>209</v>
      </c>
      <c r="AC2067" s="164" t="s">
        <v>187</v>
      </c>
      <c r="AD2067" s="165">
        <v>5</v>
      </c>
      <c r="AE2067" s="164" t="s">
        <v>187</v>
      </c>
      <c r="AF2067" s="165">
        <v>5.1808800000000002</v>
      </c>
      <c r="AG2067" s="166">
        <v>119.97331</v>
      </c>
      <c r="AO2067" s="121"/>
      <c r="AT2067" s="111"/>
      <c r="AX2067" s="121"/>
    </row>
    <row r="2068" spans="1:50" s="110" customFormat="1" ht="20" customHeight="1">
      <c r="A2068" s="125" t="s">
        <v>239</v>
      </c>
      <c r="B2068" s="126" t="s">
        <v>67</v>
      </c>
      <c r="C2068" s="127">
        <v>15956</v>
      </c>
      <c r="D2068" s="163">
        <v>110934</v>
      </c>
      <c r="E2068" s="164" t="s">
        <v>1526</v>
      </c>
      <c r="F2068" s="164" t="s">
        <v>1526</v>
      </c>
      <c r="G2068" s="165">
        <v>187000</v>
      </c>
      <c r="H2068" s="165">
        <v>1</v>
      </c>
      <c r="I2068" s="164" t="s">
        <v>187</v>
      </c>
      <c r="J2068" s="164" t="s">
        <v>1527</v>
      </c>
      <c r="K2068" s="164" t="s">
        <v>1526</v>
      </c>
      <c r="L2068" s="165">
        <v>4</v>
      </c>
      <c r="M2068" s="165">
        <v>6</v>
      </c>
      <c r="N2068" s="164" t="s">
        <v>189</v>
      </c>
      <c r="O2068" s="165">
        <v>0.15</v>
      </c>
      <c r="P2068" s="165">
        <v>0.15</v>
      </c>
      <c r="Q2068" s="165">
        <v>17</v>
      </c>
      <c r="R2068" s="164" t="s">
        <v>190</v>
      </c>
      <c r="S2068" s="164" t="s">
        <v>191</v>
      </c>
      <c r="T2068" s="165">
        <v>167</v>
      </c>
      <c r="U2068" s="164" t="s">
        <v>750</v>
      </c>
      <c r="V2068" s="164" t="s">
        <v>751</v>
      </c>
      <c r="W2068" s="165">
        <v>2</v>
      </c>
      <c r="X2068" s="165">
        <v>2</v>
      </c>
      <c r="Y2068" s="164" t="s">
        <v>194</v>
      </c>
      <c r="Z2068" s="164" t="s">
        <v>195</v>
      </c>
      <c r="AA2068" s="164" t="s">
        <v>196</v>
      </c>
      <c r="AB2068" s="164" t="s">
        <v>209</v>
      </c>
      <c r="AC2068" s="164" t="s">
        <v>187</v>
      </c>
      <c r="AD2068" s="165">
        <v>4</v>
      </c>
      <c r="AE2068" s="164" t="s">
        <v>209</v>
      </c>
      <c r="AF2068" s="165">
        <v>6.5630600000000001</v>
      </c>
      <c r="AG2068" s="166">
        <v>122.05304</v>
      </c>
      <c r="AO2068" s="121"/>
      <c r="AT2068" s="111"/>
      <c r="AX2068" s="121"/>
    </row>
    <row r="2069" spans="1:50" s="110" customFormat="1" ht="20" customHeight="1">
      <c r="A2069" s="125" t="s">
        <v>239</v>
      </c>
      <c r="B2069" s="126" t="s">
        <v>67</v>
      </c>
      <c r="C2069" s="127">
        <v>14031</v>
      </c>
      <c r="D2069" s="163">
        <v>107461</v>
      </c>
      <c r="E2069" s="164" t="s">
        <v>1323</v>
      </c>
      <c r="F2069" s="164" t="s">
        <v>1323</v>
      </c>
      <c r="G2069" s="165">
        <v>98000</v>
      </c>
      <c r="H2069" s="165">
        <v>1</v>
      </c>
      <c r="I2069" s="164" t="s">
        <v>187</v>
      </c>
      <c r="J2069" s="164" t="s">
        <v>1324</v>
      </c>
      <c r="K2069" s="164" t="s">
        <v>1325</v>
      </c>
      <c r="L2069" s="165">
        <v>4</v>
      </c>
      <c r="M2069" s="165">
        <v>6</v>
      </c>
      <c r="N2069" s="164" t="s">
        <v>189</v>
      </c>
      <c r="O2069" s="165">
        <v>0</v>
      </c>
      <c r="P2069" s="165">
        <v>0</v>
      </c>
      <c r="Q2069" s="165">
        <v>17</v>
      </c>
      <c r="R2069" s="164" t="s">
        <v>190</v>
      </c>
      <c r="S2069" s="164" t="s">
        <v>191</v>
      </c>
      <c r="T2069" s="165">
        <v>167</v>
      </c>
      <c r="U2069" s="164" t="s">
        <v>750</v>
      </c>
      <c r="V2069" s="164" t="s">
        <v>751</v>
      </c>
      <c r="W2069" s="165">
        <v>2</v>
      </c>
      <c r="X2069" s="165">
        <v>2</v>
      </c>
      <c r="Y2069" s="164" t="s">
        <v>194</v>
      </c>
      <c r="Z2069" s="164" t="s">
        <v>195</v>
      </c>
      <c r="AA2069" s="164" t="s">
        <v>196</v>
      </c>
      <c r="AB2069" s="164" t="s">
        <v>209</v>
      </c>
      <c r="AC2069" s="164" t="s">
        <v>187</v>
      </c>
      <c r="AD2069" s="165">
        <v>2</v>
      </c>
      <c r="AE2069" s="164" t="s">
        <v>187</v>
      </c>
      <c r="AF2069" s="165">
        <v>6.0038799999999997</v>
      </c>
      <c r="AG2069" s="166">
        <v>121.67171</v>
      </c>
      <c r="AO2069" s="121"/>
      <c r="AT2069" s="111"/>
      <c r="AX2069" s="121"/>
    </row>
    <row r="2070" spans="1:50" s="110" customFormat="1" ht="20" customHeight="1">
      <c r="A2070" s="125" t="s">
        <v>239</v>
      </c>
      <c r="B2070" s="126" t="s">
        <v>67</v>
      </c>
      <c r="C2070" s="127">
        <v>12444</v>
      </c>
      <c r="D2070" s="163">
        <v>104452</v>
      </c>
      <c r="E2070" s="164" t="s">
        <v>876</v>
      </c>
      <c r="F2070" s="164" t="s">
        <v>876</v>
      </c>
      <c r="G2070" s="165">
        <v>95000</v>
      </c>
      <c r="H2070" s="165">
        <v>1</v>
      </c>
      <c r="I2070" s="164" t="s">
        <v>187</v>
      </c>
      <c r="J2070" s="164" t="s">
        <v>877</v>
      </c>
      <c r="K2070" s="164" t="s">
        <v>876</v>
      </c>
      <c r="L2070" s="165">
        <v>4</v>
      </c>
      <c r="M2070" s="165">
        <v>6</v>
      </c>
      <c r="N2070" s="164" t="s">
        <v>189</v>
      </c>
      <c r="O2070" s="165">
        <v>3</v>
      </c>
      <c r="P2070" s="165">
        <v>0.3</v>
      </c>
      <c r="Q2070" s="165">
        <v>17</v>
      </c>
      <c r="R2070" s="164" t="s">
        <v>190</v>
      </c>
      <c r="S2070" s="164" t="s">
        <v>191</v>
      </c>
      <c r="T2070" s="165">
        <v>167</v>
      </c>
      <c r="U2070" s="164" t="s">
        <v>750</v>
      </c>
      <c r="V2070" s="164" t="s">
        <v>751</v>
      </c>
      <c r="W2070" s="165">
        <v>1</v>
      </c>
      <c r="X2070" s="165">
        <v>2</v>
      </c>
      <c r="Y2070" s="164" t="s">
        <v>194</v>
      </c>
      <c r="Z2070" s="164" t="s">
        <v>195</v>
      </c>
      <c r="AA2070" s="164" t="s">
        <v>196</v>
      </c>
      <c r="AB2070" s="164" t="s">
        <v>209</v>
      </c>
      <c r="AC2070" s="164" t="s">
        <v>187</v>
      </c>
      <c r="AD2070" s="165">
        <v>2</v>
      </c>
      <c r="AE2070" s="164" t="s">
        <v>209</v>
      </c>
      <c r="AF2070" s="165">
        <v>7.3035199999999998</v>
      </c>
      <c r="AG2070" s="166">
        <v>125.92716</v>
      </c>
      <c r="AO2070" s="121"/>
      <c r="AT2070" s="111"/>
      <c r="AX2070" s="121"/>
    </row>
    <row r="2071" spans="1:50" s="110" customFormat="1" ht="20" customHeight="1">
      <c r="A2071" s="125" t="s">
        <v>239</v>
      </c>
      <c r="B2071" s="126" t="s">
        <v>67</v>
      </c>
      <c r="C2071" s="127">
        <v>14295</v>
      </c>
      <c r="D2071" s="163">
        <v>107839</v>
      </c>
      <c r="E2071" s="164" t="s">
        <v>1326</v>
      </c>
      <c r="F2071" s="164" t="s">
        <v>1326</v>
      </c>
      <c r="G2071" s="165">
        <v>50000</v>
      </c>
      <c r="H2071" s="165">
        <v>1</v>
      </c>
      <c r="I2071" s="164" t="s">
        <v>187</v>
      </c>
      <c r="J2071" s="164" t="s">
        <v>1327</v>
      </c>
      <c r="K2071" s="164" t="s">
        <v>1328</v>
      </c>
      <c r="L2071" s="165">
        <v>4</v>
      </c>
      <c r="M2071" s="165">
        <v>6</v>
      </c>
      <c r="N2071" s="164" t="s">
        <v>189</v>
      </c>
      <c r="O2071" s="165">
        <v>0.2</v>
      </c>
      <c r="P2071" s="165">
        <v>0.1</v>
      </c>
      <c r="Q2071" s="165">
        <v>17</v>
      </c>
      <c r="R2071" s="164" t="s">
        <v>190</v>
      </c>
      <c r="S2071" s="164" t="s">
        <v>191</v>
      </c>
      <c r="T2071" s="165">
        <v>167</v>
      </c>
      <c r="U2071" s="164" t="s">
        <v>750</v>
      </c>
      <c r="V2071" s="164" t="s">
        <v>751</v>
      </c>
      <c r="W2071" s="165">
        <v>1</v>
      </c>
      <c r="X2071" s="165">
        <v>2</v>
      </c>
      <c r="Y2071" s="164" t="s">
        <v>194</v>
      </c>
      <c r="Z2071" s="164" t="s">
        <v>195</v>
      </c>
      <c r="AA2071" s="164" t="s">
        <v>196</v>
      </c>
      <c r="AB2071" s="164" t="s">
        <v>209</v>
      </c>
      <c r="AC2071" s="164" t="s">
        <v>187</v>
      </c>
      <c r="AD2071" s="165">
        <v>1</v>
      </c>
      <c r="AE2071" s="164" t="s">
        <v>209</v>
      </c>
      <c r="AF2071" s="165">
        <v>6.2792199999999996</v>
      </c>
      <c r="AG2071" s="166">
        <v>120.54545</v>
      </c>
      <c r="AO2071" s="121"/>
      <c r="AT2071" s="111"/>
      <c r="AX2071" s="121"/>
    </row>
    <row r="2072" spans="1:50" s="110" customFormat="1" ht="20" customHeight="1">
      <c r="A2072" s="125" t="s">
        <v>239</v>
      </c>
      <c r="B2072" s="126" t="s">
        <v>67</v>
      </c>
      <c r="C2072" s="127">
        <v>10584</v>
      </c>
      <c r="D2072" s="163">
        <v>100800</v>
      </c>
      <c r="E2072" s="164" t="s">
        <v>754</v>
      </c>
      <c r="F2072" s="164" t="s">
        <v>754</v>
      </c>
      <c r="G2072" s="165">
        <v>49000</v>
      </c>
      <c r="H2072" s="165">
        <v>1</v>
      </c>
      <c r="I2072" s="164" t="s">
        <v>187</v>
      </c>
      <c r="J2072" s="164" t="s">
        <v>755</v>
      </c>
      <c r="K2072" s="164" t="s">
        <v>756</v>
      </c>
      <c r="L2072" s="165">
        <v>3</v>
      </c>
      <c r="M2072" s="165">
        <v>6</v>
      </c>
      <c r="N2072" s="164" t="s">
        <v>189</v>
      </c>
      <c r="O2072" s="165">
        <v>0</v>
      </c>
      <c r="P2072" s="165">
        <v>0</v>
      </c>
      <c r="Q2072" s="165">
        <v>17</v>
      </c>
      <c r="R2072" s="164" t="s">
        <v>190</v>
      </c>
      <c r="S2072" s="164" t="s">
        <v>191</v>
      </c>
      <c r="T2072" s="165">
        <v>167</v>
      </c>
      <c r="U2072" s="164" t="s">
        <v>750</v>
      </c>
      <c r="V2072" s="164" t="s">
        <v>751</v>
      </c>
      <c r="W2072" s="165">
        <v>2</v>
      </c>
      <c r="X2072" s="165">
        <v>2</v>
      </c>
      <c r="Y2072" s="164" t="s">
        <v>194</v>
      </c>
      <c r="Z2072" s="164" t="s">
        <v>195</v>
      </c>
      <c r="AA2072" s="164" t="s">
        <v>196</v>
      </c>
      <c r="AB2072" s="164" t="s">
        <v>209</v>
      </c>
      <c r="AC2072" s="164" t="s">
        <v>187</v>
      </c>
      <c r="AD2072" s="165">
        <v>1</v>
      </c>
      <c r="AE2072" s="164" t="s">
        <v>187</v>
      </c>
      <c r="AF2072" s="165">
        <v>7.0049400000000004</v>
      </c>
      <c r="AG2072" s="166">
        <v>118.47977</v>
      </c>
      <c r="AO2072" s="121"/>
      <c r="AT2072" s="111"/>
      <c r="AX2072" s="121"/>
    </row>
    <row r="2073" spans="1:50" s="110" customFormat="1" ht="20" customHeight="1">
      <c r="A2073" s="125" t="s">
        <v>239</v>
      </c>
      <c r="B2073" s="126" t="s">
        <v>67</v>
      </c>
      <c r="C2073" s="127">
        <v>13774</v>
      </c>
      <c r="D2073" s="163">
        <v>106729</v>
      </c>
      <c r="E2073" s="164" t="s">
        <v>1135</v>
      </c>
      <c r="F2073" s="164" t="s">
        <v>1135</v>
      </c>
      <c r="G2073" s="165">
        <v>24000</v>
      </c>
      <c r="H2073" s="165">
        <v>1</v>
      </c>
      <c r="I2073" s="164" t="s">
        <v>187</v>
      </c>
      <c r="J2073" s="164" t="s">
        <v>1136</v>
      </c>
      <c r="K2073" s="164" t="s">
        <v>1135</v>
      </c>
      <c r="L2073" s="165">
        <v>4</v>
      </c>
      <c r="M2073" s="165">
        <v>6</v>
      </c>
      <c r="N2073" s="164" t="s">
        <v>189</v>
      </c>
      <c r="O2073" s="165">
        <v>0</v>
      </c>
      <c r="P2073" s="165">
        <v>0</v>
      </c>
      <c r="Q2073" s="165">
        <v>17</v>
      </c>
      <c r="R2073" s="164" t="s">
        <v>190</v>
      </c>
      <c r="S2073" s="164" t="s">
        <v>191</v>
      </c>
      <c r="T2073" s="165">
        <v>167</v>
      </c>
      <c r="U2073" s="164" t="s">
        <v>750</v>
      </c>
      <c r="V2073" s="164" t="s">
        <v>751</v>
      </c>
      <c r="W2073" s="165">
        <v>2</v>
      </c>
      <c r="X2073" s="165">
        <v>2</v>
      </c>
      <c r="Y2073" s="164" t="s">
        <v>194</v>
      </c>
      <c r="Z2073" s="164" t="s">
        <v>195</v>
      </c>
      <c r="AA2073" s="164" t="s">
        <v>196</v>
      </c>
      <c r="AB2073" s="164" t="s">
        <v>209</v>
      </c>
      <c r="AC2073" s="164" t="s">
        <v>187</v>
      </c>
      <c r="AD2073" s="165">
        <v>1</v>
      </c>
      <c r="AE2073" s="164" t="s">
        <v>187</v>
      </c>
      <c r="AF2073" s="165">
        <v>7.9592599999999996</v>
      </c>
      <c r="AG2073" s="166">
        <v>117.02258999999999</v>
      </c>
      <c r="AO2073" s="121"/>
      <c r="AT2073" s="111"/>
      <c r="AX2073" s="121"/>
    </row>
    <row r="2074" spans="1:50" s="110" customFormat="1" ht="20" customHeight="1">
      <c r="A2074" s="125" t="s">
        <v>239</v>
      </c>
      <c r="B2074" s="126" t="s">
        <v>67</v>
      </c>
      <c r="C2074" s="127">
        <v>14724</v>
      </c>
      <c r="D2074" s="163">
        <v>108642</v>
      </c>
      <c r="E2074" s="164" t="s">
        <v>1334</v>
      </c>
      <c r="F2074" s="164" t="s">
        <v>1334</v>
      </c>
      <c r="G2074" s="165">
        <v>9500</v>
      </c>
      <c r="H2074" s="165">
        <v>1</v>
      </c>
      <c r="I2074" s="164" t="s">
        <v>187</v>
      </c>
      <c r="J2074" s="164" t="s">
        <v>1335</v>
      </c>
      <c r="K2074" s="164" t="s">
        <v>1334</v>
      </c>
      <c r="L2074" s="165">
        <v>3</v>
      </c>
      <c r="M2074" s="165">
        <v>6</v>
      </c>
      <c r="N2074" s="164" t="s">
        <v>189</v>
      </c>
      <c r="O2074" s="165">
        <v>2</v>
      </c>
      <c r="P2074" s="165">
        <v>0.1</v>
      </c>
      <c r="Q2074" s="165">
        <v>17</v>
      </c>
      <c r="R2074" s="164" t="s">
        <v>190</v>
      </c>
      <c r="S2074" s="164" t="s">
        <v>191</v>
      </c>
      <c r="T2074" s="165">
        <v>167</v>
      </c>
      <c r="U2074" s="164" t="s">
        <v>750</v>
      </c>
      <c r="V2074" s="164" t="s">
        <v>751</v>
      </c>
      <c r="W2074" s="165">
        <v>1</v>
      </c>
      <c r="X2074" s="165">
        <v>2</v>
      </c>
      <c r="Y2074" s="164" t="s">
        <v>194</v>
      </c>
      <c r="Z2074" s="164" t="s">
        <v>195</v>
      </c>
      <c r="AA2074" s="164" t="s">
        <v>196</v>
      </c>
      <c r="AB2074" s="164" t="s">
        <v>209</v>
      </c>
      <c r="AC2074" s="164" t="s">
        <v>187</v>
      </c>
      <c r="AD2074" s="165">
        <v>1</v>
      </c>
      <c r="AE2074" s="164" t="s">
        <v>209</v>
      </c>
      <c r="AF2074" s="165">
        <v>5.4006299999999996</v>
      </c>
      <c r="AG2074" s="166">
        <v>125.38746999999999</v>
      </c>
      <c r="AO2074" s="121"/>
      <c r="AT2074" s="111"/>
      <c r="AX2074" s="121"/>
    </row>
    <row r="2075" spans="1:50" s="110" customFormat="1" ht="20" customHeight="1">
      <c r="A2075" s="125" t="s">
        <v>185</v>
      </c>
      <c r="B2075" s="126" t="s">
        <v>59</v>
      </c>
      <c r="C2075" s="127">
        <v>19294</v>
      </c>
      <c r="D2075" s="163">
        <v>115368</v>
      </c>
      <c r="E2075" s="164" t="s">
        <v>744</v>
      </c>
      <c r="F2075" s="164" t="s">
        <v>744</v>
      </c>
      <c r="G2075" s="165">
        <v>17000</v>
      </c>
      <c r="H2075" s="165">
        <v>1</v>
      </c>
      <c r="I2075" s="164" t="s">
        <v>187</v>
      </c>
      <c r="J2075" s="164" t="s">
        <v>745</v>
      </c>
      <c r="K2075" s="164" t="s">
        <v>744</v>
      </c>
      <c r="L2075" s="165">
        <v>1</v>
      </c>
      <c r="M2075" s="165">
        <v>6</v>
      </c>
      <c r="N2075" s="164" t="s">
        <v>189</v>
      </c>
      <c r="O2075" s="165">
        <v>5</v>
      </c>
      <c r="P2075" s="165">
        <v>0</v>
      </c>
      <c r="Q2075" s="165">
        <v>17</v>
      </c>
      <c r="R2075" s="164" t="s">
        <v>190</v>
      </c>
      <c r="S2075" s="164" t="s">
        <v>191</v>
      </c>
      <c r="T2075" s="165">
        <v>171</v>
      </c>
      <c r="U2075" s="164" t="s">
        <v>251</v>
      </c>
      <c r="V2075" s="164" t="s">
        <v>252</v>
      </c>
      <c r="W2075" s="165">
        <v>1</v>
      </c>
      <c r="X2075" s="165">
        <v>2</v>
      </c>
      <c r="Y2075" s="164" t="s">
        <v>194</v>
      </c>
      <c r="Z2075" s="164" t="s">
        <v>195</v>
      </c>
      <c r="AA2075" s="164" t="s">
        <v>196</v>
      </c>
      <c r="AB2075" s="164" t="s">
        <v>187</v>
      </c>
      <c r="AC2075" s="164" t="s">
        <v>187</v>
      </c>
      <c r="AD2075" s="165">
        <v>1</v>
      </c>
      <c r="AE2075" s="164" t="s">
        <v>209</v>
      </c>
      <c r="AF2075" s="165">
        <v>-8.3924500000000002</v>
      </c>
      <c r="AG2075" s="166">
        <v>123.45734</v>
      </c>
      <c r="AO2075" s="121"/>
      <c r="AT2075" s="111"/>
      <c r="AX2075" s="121"/>
    </row>
    <row r="2076" spans="1:50" s="110" customFormat="1" ht="20" customHeight="1">
      <c r="A2076" s="125" t="s">
        <v>185</v>
      </c>
      <c r="B2076" s="126" t="s">
        <v>59</v>
      </c>
      <c r="C2076" s="127">
        <v>10726</v>
      </c>
      <c r="D2076" s="163">
        <v>101137</v>
      </c>
      <c r="E2076" s="164" t="s">
        <v>434</v>
      </c>
      <c r="F2076" s="164" t="s">
        <v>434</v>
      </c>
      <c r="G2076" s="165">
        <v>5400</v>
      </c>
      <c r="H2076" s="165">
        <v>1</v>
      </c>
      <c r="I2076" s="164" t="s">
        <v>187</v>
      </c>
      <c r="J2076" s="164" t="s">
        <v>435</v>
      </c>
      <c r="K2076" s="164" t="s">
        <v>434</v>
      </c>
      <c r="L2076" s="165">
        <v>1</v>
      </c>
      <c r="M2076" s="165">
        <v>6</v>
      </c>
      <c r="N2076" s="164" t="s">
        <v>189</v>
      </c>
      <c r="O2076" s="165">
        <v>0</v>
      </c>
      <c r="P2076" s="165">
        <v>0</v>
      </c>
      <c r="Q2076" s="165">
        <v>17</v>
      </c>
      <c r="R2076" s="164" t="s">
        <v>190</v>
      </c>
      <c r="S2076" s="164" t="s">
        <v>191</v>
      </c>
      <c r="T2076" s="165">
        <v>171</v>
      </c>
      <c r="U2076" s="164" t="s">
        <v>251</v>
      </c>
      <c r="V2076" s="164" t="s">
        <v>252</v>
      </c>
      <c r="W2076" s="165">
        <v>1</v>
      </c>
      <c r="X2076" s="165">
        <v>2</v>
      </c>
      <c r="Y2076" s="164" t="s">
        <v>194</v>
      </c>
      <c r="Z2076" s="164" t="s">
        <v>195</v>
      </c>
      <c r="AA2076" s="164" t="s">
        <v>196</v>
      </c>
      <c r="AB2076" s="164" t="s">
        <v>187</v>
      </c>
      <c r="AC2076" s="164" t="s">
        <v>187</v>
      </c>
      <c r="AD2076" s="165">
        <v>1</v>
      </c>
      <c r="AE2076" s="164" t="s">
        <v>187</v>
      </c>
      <c r="AF2076" s="165">
        <v>-3.6106099999999999</v>
      </c>
      <c r="AG2076" s="166">
        <v>130.81359</v>
      </c>
      <c r="AO2076" s="121"/>
      <c r="AT2076" s="111"/>
      <c r="AX2076" s="121"/>
    </row>
    <row r="2077" spans="1:50" s="110" customFormat="1" ht="20" customHeight="1">
      <c r="A2077" s="125" t="s">
        <v>185</v>
      </c>
      <c r="B2077" s="126" t="s">
        <v>59</v>
      </c>
      <c r="C2077" s="127">
        <v>19301</v>
      </c>
      <c r="D2077" s="163">
        <v>115373</v>
      </c>
      <c r="E2077" s="164" t="s">
        <v>1313</v>
      </c>
      <c r="F2077" s="164" t="s">
        <v>1313</v>
      </c>
      <c r="G2077" s="165">
        <v>4900</v>
      </c>
      <c r="H2077" s="165">
        <v>1</v>
      </c>
      <c r="I2077" s="164" t="s">
        <v>187</v>
      </c>
      <c r="J2077" s="164" t="s">
        <v>1314</v>
      </c>
      <c r="K2077" s="164" t="s">
        <v>1313</v>
      </c>
      <c r="L2077" s="165">
        <v>1</v>
      </c>
      <c r="M2077" s="165">
        <v>6</v>
      </c>
      <c r="N2077" s="164" t="s">
        <v>189</v>
      </c>
      <c r="O2077" s="165">
        <v>5</v>
      </c>
      <c r="P2077" s="165">
        <v>0.5</v>
      </c>
      <c r="Q2077" s="165">
        <v>17</v>
      </c>
      <c r="R2077" s="164" t="s">
        <v>190</v>
      </c>
      <c r="S2077" s="164" t="s">
        <v>191</v>
      </c>
      <c r="T2077" s="165">
        <v>171</v>
      </c>
      <c r="U2077" s="164" t="s">
        <v>251</v>
      </c>
      <c r="V2077" s="164" t="s">
        <v>252</v>
      </c>
      <c r="W2077" s="165">
        <v>1</v>
      </c>
      <c r="X2077" s="165">
        <v>2</v>
      </c>
      <c r="Y2077" s="164" t="s">
        <v>194</v>
      </c>
      <c r="Z2077" s="164" t="s">
        <v>195</v>
      </c>
      <c r="AA2077" s="164" t="s">
        <v>196</v>
      </c>
      <c r="AB2077" s="164" t="s">
        <v>187</v>
      </c>
      <c r="AC2077" s="164" t="s">
        <v>187</v>
      </c>
      <c r="AD2077" s="165">
        <v>1</v>
      </c>
      <c r="AE2077" s="164" t="s">
        <v>209</v>
      </c>
      <c r="AF2077" s="165">
        <v>-8.8450399999999991</v>
      </c>
      <c r="AG2077" s="166">
        <v>120.70813</v>
      </c>
      <c r="AO2077" s="121"/>
      <c r="AT2077" s="111"/>
      <c r="AX2077" s="121"/>
    </row>
    <row r="2078" spans="1:50" s="110" customFormat="1" ht="20" customHeight="1">
      <c r="A2078" s="125" t="s">
        <v>185</v>
      </c>
      <c r="B2078" s="126" t="s">
        <v>59</v>
      </c>
      <c r="C2078" s="127">
        <v>12768</v>
      </c>
      <c r="D2078" s="163">
        <v>105157</v>
      </c>
      <c r="E2078" s="164" t="s">
        <v>947</v>
      </c>
      <c r="F2078" s="164" t="s">
        <v>947</v>
      </c>
      <c r="G2078" s="165">
        <v>1800</v>
      </c>
      <c r="H2078" s="165">
        <v>1</v>
      </c>
      <c r="I2078" s="164" t="s">
        <v>187</v>
      </c>
      <c r="J2078" s="164" t="s">
        <v>948</v>
      </c>
      <c r="K2078" s="164" t="s">
        <v>947</v>
      </c>
      <c r="L2078" s="165">
        <v>1</v>
      </c>
      <c r="M2078" s="165">
        <v>6</v>
      </c>
      <c r="N2078" s="164" t="s">
        <v>189</v>
      </c>
      <c r="O2078" s="165">
        <v>0</v>
      </c>
      <c r="P2078" s="165">
        <v>0</v>
      </c>
      <c r="Q2078" s="165">
        <v>17</v>
      </c>
      <c r="R2078" s="164" t="s">
        <v>190</v>
      </c>
      <c r="S2078" s="164" t="s">
        <v>191</v>
      </c>
      <c r="T2078" s="165">
        <v>171</v>
      </c>
      <c r="U2078" s="164" t="s">
        <v>251</v>
      </c>
      <c r="V2078" s="164" t="s">
        <v>252</v>
      </c>
      <c r="W2078" s="165">
        <v>1</v>
      </c>
      <c r="X2078" s="165">
        <v>2</v>
      </c>
      <c r="Y2078" s="164" t="s">
        <v>194</v>
      </c>
      <c r="Z2078" s="164" t="s">
        <v>195</v>
      </c>
      <c r="AA2078" s="164" t="s">
        <v>196</v>
      </c>
      <c r="AB2078" s="164" t="s">
        <v>187</v>
      </c>
      <c r="AC2078" s="164" t="s">
        <v>187</v>
      </c>
      <c r="AD2078" s="165">
        <v>1</v>
      </c>
      <c r="AE2078" s="164" t="s">
        <v>187</v>
      </c>
      <c r="AF2078" s="165">
        <v>-8.5833100000000009</v>
      </c>
      <c r="AG2078" s="166">
        <v>119.44481</v>
      </c>
      <c r="AO2078" s="121"/>
      <c r="AT2078" s="111"/>
      <c r="AX2078" s="121"/>
    </row>
    <row r="2079" spans="1:50" s="110" customFormat="1" ht="20" customHeight="1">
      <c r="A2079" s="125" t="s">
        <v>185</v>
      </c>
      <c r="B2079" s="126" t="s">
        <v>59</v>
      </c>
      <c r="C2079" s="127">
        <v>19298</v>
      </c>
      <c r="D2079" s="163">
        <v>115370</v>
      </c>
      <c r="E2079" s="164" t="s">
        <v>1299</v>
      </c>
      <c r="F2079" s="164" t="s">
        <v>1299</v>
      </c>
      <c r="G2079" s="165">
        <v>900</v>
      </c>
      <c r="H2079" s="165">
        <v>1</v>
      </c>
      <c r="I2079" s="164" t="s">
        <v>187</v>
      </c>
      <c r="J2079" s="164" t="s">
        <v>1300</v>
      </c>
      <c r="K2079" s="164" t="s">
        <v>1301</v>
      </c>
      <c r="L2079" s="165">
        <v>1</v>
      </c>
      <c r="M2079" s="165">
        <v>6</v>
      </c>
      <c r="N2079" s="164" t="s">
        <v>189</v>
      </c>
      <c r="O2079" s="165">
        <v>0</v>
      </c>
      <c r="P2079" s="165">
        <v>0</v>
      </c>
      <c r="Q2079" s="165">
        <v>17</v>
      </c>
      <c r="R2079" s="164" t="s">
        <v>190</v>
      </c>
      <c r="S2079" s="164" t="s">
        <v>191</v>
      </c>
      <c r="T2079" s="165">
        <v>171</v>
      </c>
      <c r="U2079" s="164" t="s">
        <v>251</v>
      </c>
      <c r="V2079" s="164" t="s">
        <v>252</v>
      </c>
      <c r="W2079" s="165">
        <v>1</v>
      </c>
      <c r="X2079" s="165">
        <v>2</v>
      </c>
      <c r="Y2079" s="164" t="s">
        <v>194</v>
      </c>
      <c r="Z2079" s="164" t="s">
        <v>195</v>
      </c>
      <c r="AA2079" s="164" t="s">
        <v>196</v>
      </c>
      <c r="AB2079" s="164" t="s">
        <v>187</v>
      </c>
      <c r="AC2079" s="164" t="s">
        <v>187</v>
      </c>
      <c r="AD2079" s="165">
        <v>1</v>
      </c>
      <c r="AE2079" s="164" t="s">
        <v>187</v>
      </c>
      <c r="AF2079" s="165">
        <v>-8.3218879999999995</v>
      </c>
      <c r="AG2079" s="166">
        <v>124.34122000000001</v>
      </c>
      <c r="AO2079" s="121"/>
      <c r="AT2079" s="111"/>
      <c r="AX2079" s="121"/>
    </row>
    <row r="2080" spans="1:50" s="110" customFormat="1" ht="20" customHeight="1">
      <c r="A2080" s="125" t="s">
        <v>185</v>
      </c>
      <c r="B2080" s="126" t="s">
        <v>59</v>
      </c>
      <c r="C2080" s="127">
        <v>14664</v>
      </c>
      <c r="D2080" s="157">
        <v>108557</v>
      </c>
      <c r="E2080" s="158" t="s">
        <v>1319</v>
      </c>
      <c r="F2080" s="158" t="s">
        <v>1319</v>
      </c>
      <c r="G2080" s="159">
        <v>139000</v>
      </c>
      <c r="H2080" s="159">
        <v>2</v>
      </c>
      <c r="I2080" s="158" t="s">
        <v>209</v>
      </c>
      <c r="J2080" s="158" t="s">
        <v>1320</v>
      </c>
      <c r="K2080" s="158" t="s">
        <v>1321</v>
      </c>
      <c r="L2080" s="159">
        <v>5</v>
      </c>
      <c r="M2080" s="159">
        <v>6</v>
      </c>
      <c r="N2080" s="158" t="s">
        <v>189</v>
      </c>
      <c r="O2080" s="159">
        <v>20</v>
      </c>
      <c r="P2080" s="159">
        <v>0.2</v>
      </c>
      <c r="Q2080" s="159">
        <v>17</v>
      </c>
      <c r="R2080" s="158" t="s">
        <v>190</v>
      </c>
      <c r="S2080" s="158" t="s">
        <v>191</v>
      </c>
      <c r="T2080" s="159">
        <v>171</v>
      </c>
      <c r="U2080" s="158" t="s">
        <v>251</v>
      </c>
      <c r="V2080" s="158" t="s">
        <v>252</v>
      </c>
      <c r="W2080" s="159">
        <v>1</v>
      </c>
      <c r="X2080" s="159">
        <v>2</v>
      </c>
      <c r="Y2080" s="158" t="s">
        <v>194</v>
      </c>
      <c r="Z2080" s="158" t="s">
        <v>195</v>
      </c>
      <c r="AA2080" s="158" t="s">
        <v>196</v>
      </c>
      <c r="AB2080" s="158" t="s">
        <v>187</v>
      </c>
      <c r="AC2080" s="158" t="s">
        <v>187</v>
      </c>
      <c r="AD2080" s="160"/>
      <c r="AE2080" s="158" t="s">
        <v>209</v>
      </c>
      <c r="AF2080" s="159">
        <v>-1.00801000036125</v>
      </c>
      <c r="AG2080" s="161">
        <v>122.596979999827</v>
      </c>
      <c r="AO2080" s="121"/>
      <c r="AT2080" s="111"/>
      <c r="AX2080" s="121"/>
    </row>
    <row r="2081" spans="1:50" s="110" customFormat="1" ht="20" customHeight="1">
      <c r="A2081" s="125" t="s">
        <v>185</v>
      </c>
      <c r="B2081" s="126" t="s">
        <v>59</v>
      </c>
      <c r="C2081" s="127">
        <v>12631</v>
      </c>
      <c r="D2081" s="157">
        <v>104850</v>
      </c>
      <c r="E2081" s="158" t="s">
        <v>911</v>
      </c>
      <c r="F2081" s="158" t="s">
        <v>911</v>
      </c>
      <c r="G2081" s="159">
        <v>55000</v>
      </c>
      <c r="H2081" s="159">
        <v>2</v>
      </c>
      <c r="I2081" s="158" t="s">
        <v>209</v>
      </c>
      <c r="J2081" s="158" t="s">
        <v>912</v>
      </c>
      <c r="K2081" s="158" t="s">
        <v>913</v>
      </c>
      <c r="L2081" s="159">
        <v>1</v>
      </c>
      <c r="M2081" s="159">
        <v>6</v>
      </c>
      <c r="N2081" s="158" t="s">
        <v>189</v>
      </c>
      <c r="O2081" s="159">
        <v>10</v>
      </c>
      <c r="P2081" s="159">
        <v>2</v>
      </c>
      <c r="Q2081" s="159">
        <v>17</v>
      </c>
      <c r="R2081" s="158" t="s">
        <v>190</v>
      </c>
      <c r="S2081" s="158" t="s">
        <v>191</v>
      </c>
      <c r="T2081" s="159">
        <v>171</v>
      </c>
      <c r="U2081" s="158" t="s">
        <v>251</v>
      </c>
      <c r="V2081" s="158" t="s">
        <v>252</v>
      </c>
      <c r="W2081" s="159">
        <v>1</v>
      </c>
      <c r="X2081" s="159">
        <v>2</v>
      </c>
      <c r="Y2081" s="158" t="s">
        <v>194</v>
      </c>
      <c r="Z2081" s="158" t="s">
        <v>195</v>
      </c>
      <c r="AA2081" s="158" t="s">
        <v>196</v>
      </c>
      <c r="AB2081" s="158" t="s">
        <v>187</v>
      </c>
      <c r="AC2081" s="158" t="s">
        <v>187</v>
      </c>
      <c r="AD2081" s="160"/>
      <c r="AE2081" s="158" t="s">
        <v>209</v>
      </c>
      <c r="AF2081" s="159">
        <v>-8.8695500000000003</v>
      </c>
      <c r="AG2081" s="161">
        <v>121.2581</v>
      </c>
      <c r="AO2081" s="121"/>
      <c r="AT2081" s="111"/>
      <c r="AX2081" s="121"/>
    </row>
    <row r="2082" spans="1:50" s="110" customFormat="1" ht="20" customHeight="1">
      <c r="A2082" s="125" t="s">
        <v>185</v>
      </c>
      <c r="B2082" s="126" t="s">
        <v>59</v>
      </c>
      <c r="C2082" s="127">
        <v>14562</v>
      </c>
      <c r="D2082" s="157">
        <v>108384</v>
      </c>
      <c r="E2082" s="158" t="s">
        <v>1302</v>
      </c>
      <c r="F2082" s="158" t="s">
        <v>1302</v>
      </c>
      <c r="G2082" s="159">
        <v>25000</v>
      </c>
      <c r="H2082" s="159">
        <v>2</v>
      </c>
      <c r="I2082" s="158" t="s">
        <v>209</v>
      </c>
      <c r="J2082" s="158" t="s">
        <v>1303</v>
      </c>
      <c r="K2082" s="158" t="s">
        <v>1302</v>
      </c>
      <c r="L2082" s="159">
        <v>1</v>
      </c>
      <c r="M2082" s="159">
        <v>6</v>
      </c>
      <c r="N2082" s="158" t="s">
        <v>189</v>
      </c>
      <c r="O2082" s="159">
        <v>10</v>
      </c>
      <c r="P2082" s="159">
        <v>2</v>
      </c>
      <c r="Q2082" s="159">
        <v>17</v>
      </c>
      <c r="R2082" s="158" t="s">
        <v>190</v>
      </c>
      <c r="S2082" s="158" t="s">
        <v>191</v>
      </c>
      <c r="T2082" s="159">
        <v>171</v>
      </c>
      <c r="U2082" s="158" t="s">
        <v>251</v>
      </c>
      <c r="V2082" s="158" t="s">
        <v>252</v>
      </c>
      <c r="W2082" s="159">
        <v>1</v>
      </c>
      <c r="X2082" s="159">
        <v>2</v>
      </c>
      <c r="Y2082" s="158" t="s">
        <v>194</v>
      </c>
      <c r="Z2082" s="158" t="s">
        <v>195</v>
      </c>
      <c r="AA2082" s="158" t="s">
        <v>196</v>
      </c>
      <c r="AB2082" s="158" t="s">
        <v>187</v>
      </c>
      <c r="AC2082" s="158" t="s">
        <v>187</v>
      </c>
      <c r="AD2082" s="160"/>
      <c r="AE2082" s="158" t="s">
        <v>209</v>
      </c>
      <c r="AF2082" s="159">
        <v>-8.5051500000000004</v>
      </c>
      <c r="AG2082" s="161">
        <v>121.15357</v>
      </c>
      <c r="AO2082" s="121"/>
      <c r="AT2082" s="111"/>
      <c r="AX2082" s="121"/>
    </row>
    <row r="2083" spans="1:50" s="110" customFormat="1" ht="20" customHeight="1">
      <c r="A2083" s="125" t="s">
        <v>185</v>
      </c>
      <c r="B2083" s="126" t="s">
        <v>59</v>
      </c>
      <c r="C2083" s="127">
        <v>12633</v>
      </c>
      <c r="D2083" s="157">
        <v>104853</v>
      </c>
      <c r="E2083" s="158" t="s">
        <v>914</v>
      </c>
      <c r="F2083" s="158" t="s">
        <v>914</v>
      </c>
      <c r="G2083" s="159">
        <v>6800</v>
      </c>
      <c r="H2083" s="159">
        <v>2</v>
      </c>
      <c r="I2083" s="158" t="s">
        <v>209</v>
      </c>
      <c r="J2083" s="158" t="s">
        <v>915</v>
      </c>
      <c r="K2083" s="158" t="s">
        <v>914</v>
      </c>
      <c r="L2083" s="159">
        <v>1</v>
      </c>
      <c r="M2083" s="159">
        <v>6</v>
      </c>
      <c r="N2083" s="158" t="s">
        <v>189</v>
      </c>
      <c r="O2083" s="159">
        <v>10</v>
      </c>
      <c r="P2083" s="159">
        <v>2</v>
      </c>
      <c r="Q2083" s="159">
        <v>17</v>
      </c>
      <c r="R2083" s="158" t="s">
        <v>190</v>
      </c>
      <c r="S2083" s="158" t="s">
        <v>191</v>
      </c>
      <c r="T2083" s="159">
        <v>171</v>
      </c>
      <c r="U2083" s="158" t="s">
        <v>251</v>
      </c>
      <c r="V2083" s="158" t="s">
        <v>252</v>
      </c>
      <c r="W2083" s="159">
        <v>1</v>
      </c>
      <c r="X2083" s="159">
        <v>2</v>
      </c>
      <c r="Y2083" s="158" t="s">
        <v>194</v>
      </c>
      <c r="Z2083" s="158" t="s">
        <v>195</v>
      </c>
      <c r="AA2083" s="158" t="s">
        <v>196</v>
      </c>
      <c r="AB2083" s="158" t="s">
        <v>187</v>
      </c>
      <c r="AC2083" s="158" t="s">
        <v>187</v>
      </c>
      <c r="AD2083" s="160"/>
      <c r="AE2083" s="158" t="s">
        <v>209</v>
      </c>
      <c r="AF2083" s="159">
        <v>-8.5741999999999994</v>
      </c>
      <c r="AG2083" s="161">
        <v>120.84363</v>
      </c>
      <c r="AO2083" s="121"/>
      <c r="AT2083" s="111"/>
      <c r="AX2083" s="121"/>
    </row>
    <row r="2084" spans="1:50" s="110" customFormat="1" ht="20" customHeight="1">
      <c r="A2084" s="125" t="s">
        <v>185</v>
      </c>
      <c r="B2084" s="126" t="s">
        <v>59</v>
      </c>
      <c r="C2084" s="127">
        <v>19299</v>
      </c>
      <c r="D2084" s="157">
        <v>115371</v>
      </c>
      <c r="E2084" s="158" t="s">
        <v>1223</v>
      </c>
      <c r="F2084" s="158" t="s">
        <v>1223</v>
      </c>
      <c r="G2084" s="159">
        <v>6800</v>
      </c>
      <c r="H2084" s="159">
        <v>2</v>
      </c>
      <c r="I2084" s="158" t="s">
        <v>209</v>
      </c>
      <c r="J2084" s="158" t="s">
        <v>1224</v>
      </c>
      <c r="K2084" s="158" t="s">
        <v>1223</v>
      </c>
      <c r="L2084" s="159">
        <v>1</v>
      </c>
      <c r="M2084" s="159">
        <v>6</v>
      </c>
      <c r="N2084" s="158" t="s">
        <v>189</v>
      </c>
      <c r="O2084" s="159">
        <v>8</v>
      </c>
      <c r="P2084" s="159">
        <v>1</v>
      </c>
      <c r="Q2084" s="159">
        <v>17</v>
      </c>
      <c r="R2084" s="158" t="s">
        <v>190</v>
      </c>
      <c r="S2084" s="158" t="s">
        <v>191</v>
      </c>
      <c r="T2084" s="159">
        <v>171</v>
      </c>
      <c r="U2084" s="158" t="s">
        <v>251</v>
      </c>
      <c r="V2084" s="158" t="s">
        <v>252</v>
      </c>
      <c r="W2084" s="159">
        <v>1</v>
      </c>
      <c r="X2084" s="159">
        <v>2</v>
      </c>
      <c r="Y2084" s="158" t="s">
        <v>194</v>
      </c>
      <c r="Z2084" s="158" t="s">
        <v>195</v>
      </c>
      <c r="AA2084" s="158" t="s">
        <v>196</v>
      </c>
      <c r="AB2084" s="158" t="s">
        <v>187</v>
      </c>
      <c r="AC2084" s="158" t="s">
        <v>187</v>
      </c>
      <c r="AD2084" s="160"/>
      <c r="AE2084" s="158" t="s">
        <v>209</v>
      </c>
      <c r="AF2084" s="159">
        <v>-8.7798400000000001</v>
      </c>
      <c r="AG2084" s="161">
        <v>120.70237</v>
      </c>
      <c r="AO2084" s="121"/>
      <c r="AT2084" s="111"/>
      <c r="AX2084" s="121"/>
    </row>
    <row r="2085" spans="1:50" s="110" customFormat="1" ht="20" customHeight="1">
      <c r="A2085" s="125" t="s">
        <v>185</v>
      </c>
      <c r="B2085" s="126" t="s">
        <v>59</v>
      </c>
      <c r="C2085" s="127">
        <v>19290</v>
      </c>
      <c r="D2085" s="145">
        <v>115034</v>
      </c>
      <c r="E2085" s="146" t="s">
        <v>248</v>
      </c>
      <c r="F2085" s="146" t="s">
        <v>248</v>
      </c>
      <c r="G2085" s="147">
        <v>42000</v>
      </c>
      <c r="H2085" s="147">
        <v>4</v>
      </c>
      <c r="I2085" s="146" t="s">
        <v>209</v>
      </c>
      <c r="J2085" s="146" t="s">
        <v>249</v>
      </c>
      <c r="K2085" s="146" t="s">
        <v>250</v>
      </c>
      <c r="L2085" s="147">
        <v>1</v>
      </c>
      <c r="M2085" s="147">
        <v>6</v>
      </c>
      <c r="N2085" s="146" t="s">
        <v>189</v>
      </c>
      <c r="O2085" s="147">
        <v>14</v>
      </c>
      <c r="P2085" s="147">
        <v>4</v>
      </c>
      <c r="Q2085" s="147">
        <v>17</v>
      </c>
      <c r="R2085" s="146" t="s">
        <v>190</v>
      </c>
      <c r="S2085" s="146" t="s">
        <v>191</v>
      </c>
      <c r="T2085" s="147">
        <v>171</v>
      </c>
      <c r="U2085" s="146" t="s">
        <v>251</v>
      </c>
      <c r="V2085" s="146" t="s">
        <v>252</v>
      </c>
      <c r="W2085" s="147">
        <v>1</v>
      </c>
      <c r="X2085" s="147">
        <v>2</v>
      </c>
      <c r="Y2085" s="146" t="s">
        <v>194</v>
      </c>
      <c r="Z2085" s="146" t="s">
        <v>195</v>
      </c>
      <c r="AA2085" s="146" t="s">
        <v>196</v>
      </c>
      <c r="AB2085" s="146" t="s">
        <v>187</v>
      </c>
      <c r="AC2085" s="146" t="s">
        <v>187</v>
      </c>
      <c r="AD2085" s="148"/>
      <c r="AE2085" s="146" t="s">
        <v>209</v>
      </c>
      <c r="AF2085" s="147">
        <v>-8.2211700000000008</v>
      </c>
      <c r="AG2085" s="149">
        <v>124.26291000000001</v>
      </c>
      <c r="AO2085" s="121"/>
      <c r="AT2085" s="111"/>
      <c r="AX2085" s="121"/>
    </row>
    <row r="2086" spans="1:50" s="110" customFormat="1" ht="20" customHeight="1">
      <c r="A2086" s="125" t="s">
        <v>185</v>
      </c>
      <c r="B2086" s="126" t="s">
        <v>59</v>
      </c>
      <c r="C2086" s="127">
        <v>11931</v>
      </c>
      <c r="D2086" s="163">
        <v>103453</v>
      </c>
      <c r="E2086" s="164" t="s">
        <v>528</v>
      </c>
      <c r="F2086" s="164" t="s">
        <v>528</v>
      </c>
      <c r="G2086" s="165">
        <v>1143000</v>
      </c>
      <c r="H2086" s="165">
        <v>1</v>
      </c>
      <c r="I2086" s="164" t="s">
        <v>187</v>
      </c>
      <c r="J2086" s="164" t="s">
        <v>527</v>
      </c>
      <c r="K2086" s="164" t="s">
        <v>528</v>
      </c>
      <c r="L2086" s="165">
        <v>4</v>
      </c>
      <c r="M2086" s="165">
        <v>6</v>
      </c>
      <c r="N2086" s="164" t="s">
        <v>189</v>
      </c>
      <c r="O2086" s="165">
        <v>1.8</v>
      </c>
      <c r="P2086" s="165">
        <v>0.04</v>
      </c>
      <c r="Q2086" s="165">
        <v>17</v>
      </c>
      <c r="R2086" s="164" t="s">
        <v>190</v>
      </c>
      <c r="S2086" s="164" t="s">
        <v>191</v>
      </c>
      <c r="T2086" s="165">
        <v>177</v>
      </c>
      <c r="U2086" s="164" t="s">
        <v>519</v>
      </c>
      <c r="V2086" s="164" t="s">
        <v>520</v>
      </c>
      <c r="W2086" s="165">
        <v>1</v>
      </c>
      <c r="X2086" s="165">
        <v>2</v>
      </c>
      <c r="Y2086" s="164" t="s">
        <v>194</v>
      </c>
      <c r="Z2086" s="164" t="s">
        <v>195</v>
      </c>
      <c r="AA2086" s="164" t="s">
        <v>196</v>
      </c>
      <c r="AB2086" s="164" t="s">
        <v>187</v>
      </c>
      <c r="AC2086" s="164" t="s">
        <v>187</v>
      </c>
      <c r="AD2086" s="165">
        <v>23</v>
      </c>
      <c r="AE2086" s="164" t="s">
        <v>209</v>
      </c>
      <c r="AF2086" s="165">
        <v>0.60412363509766498</v>
      </c>
      <c r="AG2086" s="166">
        <v>123.033518077797</v>
      </c>
      <c r="AO2086" s="121"/>
      <c r="AT2086" s="111"/>
      <c r="AX2086" s="121"/>
    </row>
    <row r="2087" spans="1:50" s="110" customFormat="1" ht="20" customHeight="1">
      <c r="A2087" s="125" t="s">
        <v>185</v>
      </c>
      <c r="B2087" s="126" t="s">
        <v>59</v>
      </c>
      <c r="C2087" s="127">
        <v>20295</v>
      </c>
      <c r="D2087" s="163">
        <v>116023</v>
      </c>
      <c r="E2087" s="164" t="s">
        <v>526</v>
      </c>
      <c r="F2087" s="164" t="s">
        <v>526</v>
      </c>
      <c r="G2087" s="165">
        <v>31000</v>
      </c>
      <c r="H2087" s="165">
        <v>1</v>
      </c>
      <c r="I2087" s="164" t="s">
        <v>187</v>
      </c>
      <c r="J2087" s="164" t="s">
        <v>527</v>
      </c>
      <c r="K2087" s="164" t="s">
        <v>528</v>
      </c>
      <c r="L2087" s="165">
        <v>4</v>
      </c>
      <c r="M2087" s="165">
        <v>6</v>
      </c>
      <c r="N2087" s="164" t="s">
        <v>189</v>
      </c>
      <c r="O2087" s="165">
        <v>2.8</v>
      </c>
      <c r="P2087" s="165">
        <v>0</v>
      </c>
      <c r="Q2087" s="165">
        <v>17</v>
      </c>
      <c r="R2087" s="164" t="s">
        <v>190</v>
      </c>
      <c r="S2087" s="164" t="s">
        <v>191</v>
      </c>
      <c r="T2087" s="165">
        <v>177</v>
      </c>
      <c r="U2087" s="164" t="s">
        <v>519</v>
      </c>
      <c r="V2087" s="164" t="s">
        <v>520</v>
      </c>
      <c r="W2087" s="165">
        <v>1</v>
      </c>
      <c r="X2087" s="165">
        <v>2</v>
      </c>
      <c r="Y2087" s="164" t="s">
        <v>194</v>
      </c>
      <c r="Z2087" s="164" t="s">
        <v>195</v>
      </c>
      <c r="AA2087" s="164" t="s">
        <v>196</v>
      </c>
      <c r="AB2087" s="164" t="s">
        <v>187</v>
      </c>
      <c r="AC2087" s="164" t="s">
        <v>187</v>
      </c>
      <c r="AD2087" s="165">
        <v>1</v>
      </c>
      <c r="AE2087" s="164" t="s">
        <v>209</v>
      </c>
      <c r="AF2087" s="165">
        <v>0.87400999999999995</v>
      </c>
      <c r="AG2087" s="166">
        <v>123.006219</v>
      </c>
      <c r="AO2087" s="121"/>
      <c r="AT2087" s="111"/>
      <c r="AX2087" s="121"/>
    </row>
    <row r="2088" spans="1:50" s="110" customFormat="1" ht="20" customHeight="1">
      <c r="A2088" s="125" t="s">
        <v>185</v>
      </c>
      <c r="B2088" s="126" t="s">
        <v>59</v>
      </c>
      <c r="C2088" s="127">
        <v>10997</v>
      </c>
      <c r="D2088" s="163">
        <v>101721</v>
      </c>
      <c r="E2088" s="164" t="s">
        <v>552</v>
      </c>
      <c r="F2088" s="164" t="s">
        <v>553</v>
      </c>
      <c r="G2088" s="165">
        <v>23000</v>
      </c>
      <c r="H2088" s="165">
        <v>1</v>
      </c>
      <c r="I2088" s="164" t="s">
        <v>187</v>
      </c>
      <c r="J2088" s="164" t="s">
        <v>554</v>
      </c>
      <c r="K2088" s="164" t="s">
        <v>526</v>
      </c>
      <c r="L2088" s="165">
        <v>1</v>
      </c>
      <c r="M2088" s="165">
        <v>6</v>
      </c>
      <c r="N2088" s="164" t="s">
        <v>189</v>
      </c>
      <c r="O2088" s="165">
        <v>4</v>
      </c>
      <c r="P2088" s="165">
        <v>1</v>
      </c>
      <c r="Q2088" s="165">
        <v>17</v>
      </c>
      <c r="R2088" s="164" t="s">
        <v>190</v>
      </c>
      <c r="S2088" s="164" t="s">
        <v>191</v>
      </c>
      <c r="T2088" s="165">
        <v>177</v>
      </c>
      <c r="U2088" s="164" t="s">
        <v>519</v>
      </c>
      <c r="V2088" s="164" t="s">
        <v>520</v>
      </c>
      <c r="W2088" s="165">
        <v>1</v>
      </c>
      <c r="X2088" s="165">
        <v>2</v>
      </c>
      <c r="Y2088" s="164" t="s">
        <v>194</v>
      </c>
      <c r="Z2088" s="164" t="s">
        <v>195</v>
      </c>
      <c r="AA2088" s="164" t="s">
        <v>196</v>
      </c>
      <c r="AB2088" s="164" t="s">
        <v>187</v>
      </c>
      <c r="AC2088" s="164" t="s">
        <v>187</v>
      </c>
      <c r="AD2088" s="165">
        <v>1</v>
      </c>
      <c r="AE2088" s="164" t="s">
        <v>209</v>
      </c>
      <c r="AF2088" s="165">
        <v>0.82728000000000002</v>
      </c>
      <c r="AG2088" s="166">
        <v>123.07751</v>
      </c>
      <c r="AO2088" s="121"/>
      <c r="AT2088" s="111"/>
      <c r="AX2088" s="121"/>
    </row>
    <row r="2089" spans="1:50" s="110" customFormat="1" ht="20" customHeight="1">
      <c r="A2089" s="125" t="s">
        <v>185</v>
      </c>
      <c r="B2089" s="126" t="s">
        <v>59</v>
      </c>
      <c r="C2089" s="127">
        <v>13093</v>
      </c>
      <c r="D2089" s="163">
        <v>105832</v>
      </c>
      <c r="E2089" s="164" t="s">
        <v>1013</v>
      </c>
      <c r="F2089" s="164" t="s">
        <v>1013</v>
      </c>
      <c r="G2089" s="165">
        <v>17000</v>
      </c>
      <c r="H2089" s="165">
        <v>1</v>
      </c>
      <c r="I2089" s="164" t="s">
        <v>187</v>
      </c>
      <c r="J2089" s="164" t="s">
        <v>747</v>
      </c>
      <c r="K2089" s="164" t="s">
        <v>746</v>
      </c>
      <c r="L2089" s="165">
        <v>5</v>
      </c>
      <c r="M2089" s="165">
        <v>6</v>
      </c>
      <c r="N2089" s="164" t="s">
        <v>189</v>
      </c>
      <c r="O2089" s="165">
        <v>1.0999999999999999E-2</v>
      </c>
      <c r="P2089" s="165">
        <v>1.0999999999999999E-2</v>
      </c>
      <c r="Q2089" s="165">
        <v>17</v>
      </c>
      <c r="R2089" s="164" t="s">
        <v>190</v>
      </c>
      <c r="S2089" s="164" t="s">
        <v>191</v>
      </c>
      <c r="T2089" s="165">
        <v>177</v>
      </c>
      <c r="U2089" s="164" t="s">
        <v>519</v>
      </c>
      <c r="V2089" s="164" t="s">
        <v>520</v>
      </c>
      <c r="W2089" s="165">
        <v>1</v>
      </c>
      <c r="X2089" s="165">
        <v>2</v>
      </c>
      <c r="Y2089" s="164" t="s">
        <v>194</v>
      </c>
      <c r="Z2089" s="164" t="s">
        <v>195</v>
      </c>
      <c r="AA2089" s="164" t="s">
        <v>196</v>
      </c>
      <c r="AB2089" s="164" t="s">
        <v>187</v>
      </c>
      <c r="AC2089" s="164" t="s">
        <v>187</v>
      </c>
      <c r="AD2089" s="165">
        <v>1</v>
      </c>
      <c r="AE2089" s="164" t="s">
        <v>187</v>
      </c>
      <c r="AF2089" s="165">
        <v>0.87005999999999994</v>
      </c>
      <c r="AG2089" s="166">
        <v>124.11895</v>
      </c>
      <c r="AO2089" s="121"/>
      <c r="AT2089" s="111"/>
      <c r="AX2089" s="121"/>
    </row>
    <row r="2090" spans="1:50" s="110" customFormat="1" ht="20" customHeight="1">
      <c r="A2090" s="125" t="s">
        <v>185</v>
      </c>
      <c r="B2090" s="126" t="s">
        <v>59</v>
      </c>
      <c r="C2090" s="127">
        <v>19538</v>
      </c>
      <c r="D2090" s="163">
        <v>115052</v>
      </c>
      <c r="E2090" s="164" t="s">
        <v>517</v>
      </c>
      <c r="F2090" s="164" t="s">
        <v>517</v>
      </c>
      <c r="G2090" s="165">
        <v>2000</v>
      </c>
      <c r="H2090" s="165">
        <v>1</v>
      </c>
      <c r="I2090" s="164" t="s">
        <v>187</v>
      </c>
      <c r="J2090" s="164" t="s">
        <v>518</v>
      </c>
      <c r="K2090" s="164" t="s">
        <v>517</v>
      </c>
      <c r="L2090" s="165">
        <v>1</v>
      </c>
      <c r="M2090" s="165">
        <v>6</v>
      </c>
      <c r="N2090" s="164" t="s">
        <v>189</v>
      </c>
      <c r="O2090" s="165">
        <v>0</v>
      </c>
      <c r="P2090" s="165">
        <v>0</v>
      </c>
      <c r="Q2090" s="165">
        <v>17</v>
      </c>
      <c r="R2090" s="164" t="s">
        <v>190</v>
      </c>
      <c r="S2090" s="164" t="s">
        <v>191</v>
      </c>
      <c r="T2090" s="165">
        <v>177</v>
      </c>
      <c r="U2090" s="164" t="s">
        <v>519</v>
      </c>
      <c r="V2090" s="164" t="s">
        <v>520</v>
      </c>
      <c r="W2090" s="165">
        <v>1</v>
      </c>
      <c r="X2090" s="165">
        <v>2</v>
      </c>
      <c r="Y2090" s="164" t="s">
        <v>194</v>
      </c>
      <c r="Z2090" s="164" t="s">
        <v>195</v>
      </c>
      <c r="AA2090" s="164" t="s">
        <v>196</v>
      </c>
      <c r="AB2090" s="164" t="s">
        <v>187</v>
      </c>
      <c r="AC2090" s="164" t="s">
        <v>187</v>
      </c>
      <c r="AD2090" s="165">
        <v>1</v>
      </c>
      <c r="AE2090" s="164" t="s">
        <v>187</v>
      </c>
      <c r="AF2090" s="165">
        <v>-0.35199999999999998</v>
      </c>
      <c r="AG2090" s="166">
        <v>121.90143999999999</v>
      </c>
      <c r="AO2090" s="121"/>
      <c r="AT2090" s="111"/>
      <c r="AX2090" s="121"/>
    </row>
    <row r="2091" spans="1:50" s="110" customFormat="1" ht="20" customHeight="1">
      <c r="A2091" s="125" t="s">
        <v>185</v>
      </c>
      <c r="B2091" s="126" t="s">
        <v>59</v>
      </c>
      <c r="C2091" s="127">
        <v>12418</v>
      </c>
      <c r="D2091" s="157">
        <v>104413</v>
      </c>
      <c r="E2091" s="158" t="s">
        <v>859</v>
      </c>
      <c r="F2091" s="158" t="s">
        <v>859</v>
      </c>
      <c r="G2091" s="159">
        <v>11000</v>
      </c>
      <c r="H2091" s="159">
        <v>2</v>
      </c>
      <c r="I2091" s="158" t="s">
        <v>209</v>
      </c>
      <c r="J2091" s="158" t="s">
        <v>860</v>
      </c>
      <c r="K2091" s="158" t="s">
        <v>859</v>
      </c>
      <c r="L2091" s="159">
        <v>0</v>
      </c>
      <c r="M2091" s="159">
        <v>6</v>
      </c>
      <c r="N2091" s="158" t="s">
        <v>189</v>
      </c>
      <c r="O2091" s="159">
        <v>7</v>
      </c>
      <c r="P2091" s="159">
        <v>0.40899999999999997</v>
      </c>
      <c r="Q2091" s="159">
        <v>17</v>
      </c>
      <c r="R2091" s="158" t="s">
        <v>190</v>
      </c>
      <c r="S2091" s="158" t="s">
        <v>191</v>
      </c>
      <c r="T2091" s="159">
        <v>177</v>
      </c>
      <c r="U2091" s="158" t="s">
        <v>519</v>
      </c>
      <c r="V2091" s="158" t="s">
        <v>520</v>
      </c>
      <c r="W2091" s="159">
        <v>1</v>
      </c>
      <c r="X2091" s="159">
        <v>2</v>
      </c>
      <c r="Y2091" s="158" t="s">
        <v>194</v>
      </c>
      <c r="Z2091" s="158" t="s">
        <v>195</v>
      </c>
      <c r="AA2091" s="158" t="s">
        <v>196</v>
      </c>
      <c r="AB2091" s="158" t="s">
        <v>187</v>
      </c>
      <c r="AC2091" s="158" t="s">
        <v>187</v>
      </c>
      <c r="AD2091" s="160"/>
      <c r="AE2091" s="158" t="s">
        <v>209</v>
      </c>
      <c r="AF2091" s="159">
        <v>0.84845000000000004</v>
      </c>
      <c r="AG2091" s="161">
        <v>123.23857</v>
      </c>
      <c r="AO2091" s="121"/>
      <c r="AT2091" s="111"/>
      <c r="AX2091" s="121"/>
    </row>
    <row r="2092" spans="1:50" s="110" customFormat="1" ht="20" customHeight="1">
      <c r="A2092" s="125" t="s">
        <v>237</v>
      </c>
      <c r="B2092" s="126" t="s">
        <v>60</v>
      </c>
      <c r="C2092" s="127">
        <v>12140</v>
      </c>
      <c r="D2092" s="163">
        <v>103896</v>
      </c>
      <c r="E2092" s="164" t="s">
        <v>736</v>
      </c>
      <c r="F2092" s="164" t="s">
        <v>737</v>
      </c>
      <c r="G2092" s="165">
        <v>15000</v>
      </c>
      <c r="H2092" s="165">
        <v>1</v>
      </c>
      <c r="I2092" s="164" t="s">
        <v>187</v>
      </c>
      <c r="J2092" s="164" t="s">
        <v>738</v>
      </c>
      <c r="K2092" s="164" t="s">
        <v>739</v>
      </c>
      <c r="L2092" s="165">
        <v>5</v>
      </c>
      <c r="M2092" s="165">
        <v>6</v>
      </c>
      <c r="N2092" s="164" t="s">
        <v>189</v>
      </c>
      <c r="O2092" s="165">
        <v>0</v>
      </c>
      <c r="P2092" s="165">
        <v>0</v>
      </c>
      <c r="Q2092" s="165">
        <v>11</v>
      </c>
      <c r="R2092" s="164" t="s">
        <v>740</v>
      </c>
      <c r="S2092" s="164" t="s">
        <v>741</v>
      </c>
      <c r="T2092" s="165">
        <v>162</v>
      </c>
      <c r="U2092" s="164" t="s">
        <v>742</v>
      </c>
      <c r="V2092" s="164" t="s">
        <v>743</v>
      </c>
      <c r="W2092" s="165">
        <v>10</v>
      </c>
      <c r="X2092" s="165">
        <v>2</v>
      </c>
      <c r="Y2092" s="164" t="s">
        <v>194</v>
      </c>
      <c r="Z2092" s="164" t="s">
        <v>195</v>
      </c>
      <c r="AA2092" s="164" t="s">
        <v>196</v>
      </c>
      <c r="AB2092" s="164" t="s">
        <v>187</v>
      </c>
      <c r="AC2092" s="164" t="s">
        <v>209</v>
      </c>
      <c r="AD2092" s="165">
        <v>1</v>
      </c>
      <c r="AE2092" s="164" t="s">
        <v>187</v>
      </c>
      <c r="AF2092" s="165">
        <v>3.1456262273685001</v>
      </c>
      <c r="AG2092" s="166">
        <v>101.662339520652</v>
      </c>
      <c r="AO2092" s="121"/>
      <c r="AT2092" s="111"/>
      <c r="AX2092" s="121"/>
    </row>
    <row r="2093" spans="1:50" s="110" customFormat="1" ht="20" customHeight="1">
      <c r="A2093" s="125" t="s">
        <v>1620</v>
      </c>
      <c r="B2093" s="126" t="s">
        <v>61</v>
      </c>
      <c r="C2093" s="127">
        <v>12140</v>
      </c>
      <c r="D2093" s="163">
        <v>103896</v>
      </c>
      <c r="E2093" s="164" t="s">
        <v>736</v>
      </c>
      <c r="F2093" s="164" t="s">
        <v>737</v>
      </c>
      <c r="G2093" s="165">
        <v>8900</v>
      </c>
      <c r="H2093" s="165">
        <v>1</v>
      </c>
      <c r="I2093" s="164" t="s">
        <v>187</v>
      </c>
      <c r="J2093" s="164" t="s">
        <v>738</v>
      </c>
      <c r="K2093" s="164" t="s">
        <v>739</v>
      </c>
      <c r="L2093" s="165">
        <v>5</v>
      </c>
      <c r="M2093" s="165">
        <v>6</v>
      </c>
      <c r="N2093" s="164" t="s">
        <v>189</v>
      </c>
      <c r="O2093" s="165">
        <v>0</v>
      </c>
      <c r="P2093" s="165">
        <v>0</v>
      </c>
      <c r="Q2093" s="165">
        <v>11</v>
      </c>
      <c r="R2093" s="164" t="s">
        <v>740</v>
      </c>
      <c r="S2093" s="164" t="s">
        <v>741</v>
      </c>
      <c r="T2093" s="165">
        <v>162</v>
      </c>
      <c r="U2093" s="164" t="s">
        <v>742</v>
      </c>
      <c r="V2093" s="164" t="s">
        <v>743</v>
      </c>
      <c r="W2093" s="165">
        <v>10</v>
      </c>
      <c r="X2093" s="165">
        <v>2</v>
      </c>
      <c r="Y2093" s="164" t="s">
        <v>194</v>
      </c>
      <c r="Z2093" s="164" t="s">
        <v>195</v>
      </c>
      <c r="AA2093" s="164" t="s">
        <v>196</v>
      </c>
      <c r="AB2093" s="164" t="s">
        <v>187</v>
      </c>
      <c r="AC2093" s="164" t="s">
        <v>209</v>
      </c>
      <c r="AD2093" s="165">
        <v>1</v>
      </c>
      <c r="AE2093" s="164" t="s">
        <v>187</v>
      </c>
      <c r="AF2093" s="165">
        <v>16.755454442968102</v>
      </c>
      <c r="AG2093" s="166">
        <v>96.138490219647906</v>
      </c>
      <c r="AO2093" s="121"/>
      <c r="AT2093" s="111"/>
      <c r="AX2093" s="121"/>
    </row>
    <row r="2094" spans="1:50" s="110" customFormat="1" ht="20" customHeight="1">
      <c r="A2094" s="125" t="s">
        <v>408</v>
      </c>
      <c r="B2094" s="126" t="s">
        <v>64</v>
      </c>
      <c r="C2094" s="127">
        <v>12140</v>
      </c>
      <c r="D2094" s="163">
        <v>103896</v>
      </c>
      <c r="E2094" s="164" t="s">
        <v>736</v>
      </c>
      <c r="F2094" s="164" t="s">
        <v>743</v>
      </c>
      <c r="G2094" s="165">
        <v>16000</v>
      </c>
      <c r="H2094" s="165">
        <v>1</v>
      </c>
      <c r="I2094" s="164" t="s">
        <v>187</v>
      </c>
      <c r="J2094" s="164" t="s">
        <v>738</v>
      </c>
      <c r="K2094" s="164" t="s">
        <v>739</v>
      </c>
      <c r="L2094" s="165">
        <v>5</v>
      </c>
      <c r="M2094" s="165">
        <v>6</v>
      </c>
      <c r="N2094" s="164" t="s">
        <v>189</v>
      </c>
      <c r="O2094" s="165">
        <v>0</v>
      </c>
      <c r="P2094" s="165">
        <v>0</v>
      </c>
      <c r="Q2094" s="165">
        <v>11</v>
      </c>
      <c r="R2094" s="164" t="s">
        <v>740</v>
      </c>
      <c r="S2094" s="164" t="s">
        <v>741</v>
      </c>
      <c r="T2094" s="165">
        <v>162</v>
      </c>
      <c r="U2094" s="164" t="s">
        <v>742</v>
      </c>
      <c r="V2094" s="164" t="s">
        <v>743</v>
      </c>
      <c r="W2094" s="165">
        <v>10</v>
      </c>
      <c r="X2094" s="165">
        <v>2</v>
      </c>
      <c r="Y2094" s="164" t="s">
        <v>194</v>
      </c>
      <c r="Z2094" s="164" t="s">
        <v>195</v>
      </c>
      <c r="AA2094" s="164" t="s">
        <v>196</v>
      </c>
      <c r="AB2094" s="164" t="s">
        <v>209</v>
      </c>
      <c r="AC2094" s="164" t="s">
        <v>209</v>
      </c>
      <c r="AD2094" s="165">
        <v>1</v>
      </c>
      <c r="AE2094" s="164" t="s">
        <v>187</v>
      </c>
      <c r="AF2094" s="165">
        <v>1.32824489168837</v>
      </c>
      <c r="AG2094" s="166">
        <v>103.678925945176</v>
      </c>
      <c r="AO2094" s="121"/>
      <c r="AT2094" s="111"/>
      <c r="AX2094" s="121"/>
    </row>
    <row r="2095" spans="1:50" s="110" customFormat="1" ht="20" customHeight="1">
      <c r="A2095" s="125" t="s">
        <v>478</v>
      </c>
      <c r="B2095" s="126" t="s">
        <v>56</v>
      </c>
      <c r="C2095" s="127">
        <v>12140</v>
      </c>
      <c r="D2095" s="163">
        <v>103896</v>
      </c>
      <c r="E2095" s="164" t="s">
        <v>736</v>
      </c>
      <c r="F2095" s="164" t="s">
        <v>737</v>
      </c>
      <c r="G2095" s="165">
        <v>76000</v>
      </c>
      <c r="H2095" s="165">
        <v>1</v>
      </c>
      <c r="I2095" s="164" t="s">
        <v>187</v>
      </c>
      <c r="J2095" s="164" t="s">
        <v>738</v>
      </c>
      <c r="K2095" s="164" t="s">
        <v>739</v>
      </c>
      <c r="L2095" s="165">
        <v>5</v>
      </c>
      <c r="M2095" s="165">
        <v>6</v>
      </c>
      <c r="N2095" s="164" t="s">
        <v>189</v>
      </c>
      <c r="O2095" s="165">
        <v>0</v>
      </c>
      <c r="P2095" s="165">
        <v>0</v>
      </c>
      <c r="Q2095" s="165">
        <v>11</v>
      </c>
      <c r="R2095" s="164" t="s">
        <v>740</v>
      </c>
      <c r="S2095" s="164" t="s">
        <v>741</v>
      </c>
      <c r="T2095" s="165">
        <v>162</v>
      </c>
      <c r="U2095" s="164" t="s">
        <v>742</v>
      </c>
      <c r="V2095" s="164" t="s">
        <v>743</v>
      </c>
      <c r="W2095" s="165">
        <v>10</v>
      </c>
      <c r="X2095" s="165">
        <v>2</v>
      </c>
      <c r="Y2095" s="164" t="s">
        <v>194</v>
      </c>
      <c r="Z2095" s="164" t="s">
        <v>195</v>
      </c>
      <c r="AA2095" s="164" t="s">
        <v>196</v>
      </c>
      <c r="AB2095" s="164" t="s">
        <v>187</v>
      </c>
      <c r="AC2095" s="164" t="s">
        <v>209</v>
      </c>
      <c r="AD2095" s="165">
        <v>2</v>
      </c>
      <c r="AE2095" s="164" t="s">
        <v>187</v>
      </c>
      <c r="AF2095" s="165">
        <v>13.73181411423</v>
      </c>
      <c r="AG2095" s="166">
        <v>100.540363754084</v>
      </c>
      <c r="AO2095" s="121"/>
      <c r="AT2095" s="111"/>
      <c r="AX2095" s="121"/>
    </row>
    <row r="2096" spans="1:50" s="110" customFormat="1" ht="20" customHeight="1">
      <c r="A2096" s="125" t="s">
        <v>185</v>
      </c>
      <c r="B2096" s="126" t="s">
        <v>59</v>
      </c>
      <c r="C2096" s="127">
        <v>12334</v>
      </c>
      <c r="D2096" s="163">
        <v>104221</v>
      </c>
      <c r="E2096" s="164" t="s">
        <v>848</v>
      </c>
      <c r="F2096" s="164" t="s">
        <v>848</v>
      </c>
      <c r="G2096" s="165">
        <v>36694000</v>
      </c>
      <c r="H2096" s="165">
        <v>1</v>
      </c>
      <c r="I2096" s="164" t="s">
        <v>187</v>
      </c>
      <c r="J2096" s="164" t="s">
        <v>840</v>
      </c>
      <c r="K2096" s="164" t="s">
        <v>841</v>
      </c>
      <c r="L2096" s="165">
        <v>5</v>
      </c>
      <c r="M2096" s="165">
        <v>6</v>
      </c>
      <c r="N2096" s="164" t="s">
        <v>189</v>
      </c>
      <c r="O2096" s="165">
        <v>2.8</v>
      </c>
      <c r="P2096" s="165">
        <v>0.01</v>
      </c>
      <c r="Q2096" s="165">
        <v>17</v>
      </c>
      <c r="R2096" s="164" t="s">
        <v>190</v>
      </c>
      <c r="S2096" s="164" t="s">
        <v>191</v>
      </c>
      <c r="T2096" s="165">
        <v>196</v>
      </c>
      <c r="U2096" s="164" t="s">
        <v>842</v>
      </c>
      <c r="V2096" s="164" t="s">
        <v>843</v>
      </c>
      <c r="W2096" s="165">
        <v>1</v>
      </c>
      <c r="X2096" s="165">
        <v>2</v>
      </c>
      <c r="Y2096" s="164" t="s">
        <v>194</v>
      </c>
      <c r="Z2096" s="164" t="s">
        <v>195</v>
      </c>
      <c r="AA2096" s="164" t="s">
        <v>196</v>
      </c>
      <c r="AB2096" s="164" t="s">
        <v>187</v>
      </c>
      <c r="AC2096" s="164" t="s">
        <v>187</v>
      </c>
      <c r="AD2096" s="165">
        <v>734</v>
      </c>
      <c r="AE2096" s="164" t="s">
        <v>209</v>
      </c>
      <c r="AF2096" s="165">
        <v>-6.9590553298396003</v>
      </c>
      <c r="AG2096" s="166">
        <v>109.10684252116501</v>
      </c>
      <c r="AO2096" s="121"/>
      <c r="AT2096" s="111"/>
      <c r="AX2096" s="121"/>
    </row>
    <row r="2097" spans="1:50" s="110" customFormat="1" ht="20" customHeight="1">
      <c r="A2097" s="125" t="s">
        <v>185</v>
      </c>
      <c r="B2097" s="126" t="s">
        <v>59</v>
      </c>
      <c r="C2097" s="127">
        <v>12331</v>
      </c>
      <c r="D2097" s="163">
        <v>104218</v>
      </c>
      <c r="E2097" s="164" t="s">
        <v>844</v>
      </c>
      <c r="F2097" s="164" t="s">
        <v>844</v>
      </c>
      <c r="G2097" s="165">
        <v>9043000</v>
      </c>
      <c r="H2097" s="165">
        <v>1</v>
      </c>
      <c r="I2097" s="164" t="s">
        <v>187</v>
      </c>
      <c r="J2097" s="164" t="s">
        <v>840</v>
      </c>
      <c r="K2097" s="164" t="s">
        <v>841</v>
      </c>
      <c r="L2097" s="165">
        <v>5</v>
      </c>
      <c r="M2097" s="165">
        <v>6</v>
      </c>
      <c r="N2097" s="164" t="s">
        <v>189</v>
      </c>
      <c r="O2097" s="165">
        <v>2.5</v>
      </c>
      <c r="P2097" s="165">
        <v>0.20200000000000001</v>
      </c>
      <c r="Q2097" s="165">
        <v>17</v>
      </c>
      <c r="R2097" s="164" t="s">
        <v>190</v>
      </c>
      <c r="S2097" s="164" t="s">
        <v>191</v>
      </c>
      <c r="T2097" s="165">
        <v>196</v>
      </c>
      <c r="U2097" s="164" t="s">
        <v>842</v>
      </c>
      <c r="V2097" s="164" t="s">
        <v>843</v>
      </c>
      <c r="W2097" s="165">
        <v>1</v>
      </c>
      <c r="X2097" s="165">
        <v>2</v>
      </c>
      <c r="Y2097" s="164" t="s">
        <v>194</v>
      </c>
      <c r="Z2097" s="164" t="s">
        <v>195</v>
      </c>
      <c r="AA2097" s="164" t="s">
        <v>196</v>
      </c>
      <c r="AB2097" s="164" t="s">
        <v>187</v>
      </c>
      <c r="AC2097" s="164" t="s">
        <v>187</v>
      </c>
      <c r="AD2097" s="165">
        <v>181</v>
      </c>
      <c r="AE2097" s="164" t="s">
        <v>209</v>
      </c>
      <c r="AF2097" s="165">
        <v>-7.62366671994317</v>
      </c>
      <c r="AG2097" s="166">
        <v>109.236518911918</v>
      </c>
      <c r="AO2097" s="121"/>
      <c r="AT2097" s="111"/>
      <c r="AX2097" s="121"/>
    </row>
    <row r="2098" spans="1:50" s="110" customFormat="1" ht="20" customHeight="1">
      <c r="A2098" s="125" t="s">
        <v>185</v>
      </c>
      <c r="B2098" s="126" t="s">
        <v>59</v>
      </c>
      <c r="C2098" s="127">
        <v>12333</v>
      </c>
      <c r="D2098" s="163">
        <v>104220</v>
      </c>
      <c r="E2098" s="164" t="s">
        <v>847</v>
      </c>
      <c r="F2098" s="164" t="s">
        <v>847</v>
      </c>
      <c r="G2098" s="165">
        <v>5096000</v>
      </c>
      <c r="H2098" s="165">
        <v>1</v>
      </c>
      <c r="I2098" s="164" t="s">
        <v>187</v>
      </c>
      <c r="J2098" s="164" t="s">
        <v>840</v>
      </c>
      <c r="K2098" s="164" t="s">
        <v>841</v>
      </c>
      <c r="L2098" s="165">
        <v>5</v>
      </c>
      <c r="M2098" s="165">
        <v>6</v>
      </c>
      <c r="N2098" s="164" t="s">
        <v>189</v>
      </c>
      <c r="O2098" s="165">
        <v>2</v>
      </c>
      <c r="P2098" s="165">
        <v>0.108</v>
      </c>
      <c r="Q2098" s="165">
        <v>17</v>
      </c>
      <c r="R2098" s="164" t="s">
        <v>190</v>
      </c>
      <c r="S2098" s="164" t="s">
        <v>191</v>
      </c>
      <c r="T2098" s="165">
        <v>196</v>
      </c>
      <c r="U2098" s="164" t="s">
        <v>842</v>
      </c>
      <c r="V2098" s="164" t="s">
        <v>843</v>
      </c>
      <c r="W2098" s="165">
        <v>1</v>
      </c>
      <c r="X2098" s="165">
        <v>2</v>
      </c>
      <c r="Y2098" s="164" t="s">
        <v>194</v>
      </c>
      <c r="Z2098" s="164" t="s">
        <v>195</v>
      </c>
      <c r="AA2098" s="164" t="s">
        <v>196</v>
      </c>
      <c r="AB2098" s="164" t="s">
        <v>187</v>
      </c>
      <c r="AC2098" s="164" t="s">
        <v>187</v>
      </c>
      <c r="AD2098" s="165">
        <v>102</v>
      </c>
      <c r="AE2098" s="164" t="s">
        <v>209</v>
      </c>
      <c r="AF2098" s="165">
        <v>-6.7687634496734903</v>
      </c>
      <c r="AG2098" s="166">
        <v>108.52149204772</v>
      </c>
      <c r="AO2098" s="121"/>
      <c r="AT2098" s="111"/>
      <c r="AX2098" s="121"/>
    </row>
    <row r="2099" spans="1:50" s="110" customFormat="1" ht="20" customHeight="1">
      <c r="A2099" s="125" t="s">
        <v>185</v>
      </c>
      <c r="B2099" s="126" t="s">
        <v>59</v>
      </c>
      <c r="C2099" s="127">
        <v>10666</v>
      </c>
      <c r="D2099" s="163">
        <v>101020</v>
      </c>
      <c r="E2099" s="164" t="s">
        <v>1171</v>
      </c>
      <c r="F2099" s="164" t="s">
        <v>1171</v>
      </c>
      <c r="G2099" s="165">
        <v>336000</v>
      </c>
      <c r="H2099" s="165">
        <v>1</v>
      </c>
      <c r="I2099" s="164" t="s">
        <v>187</v>
      </c>
      <c r="J2099" s="164" t="s">
        <v>1172</v>
      </c>
      <c r="K2099" s="164" t="s">
        <v>1171</v>
      </c>
      <c r="L2099" s="165">
        <v>0</v>
      </c>
      <c r="M2099" s="165">
        <v>6</v>
      </c>
      <c r="N2099" s="164" t="s">
        <v>189</v>
      </c>
      <c r="O2099" s="165">
        <v>2</v>
      </c>
      <c r="P2099" s="165">
        <v>0.9</v>
      </c>
      <c r="Q2099" s="165">
        <v>17</v>
      </c>
      <c r="R2099" s="164" t="s">
        <v>190</v>
      </c>
      <c r="S2099" s="164" t="s">
        <v>191</v>
      </c>
      <c r="T2099" s="165">
        <v>196</v>
      </c>
      <c r="U2099" s="164" t="s">
        <v>842</v>
      </c>
      <c r="V2099" s="164" t="s">
        <v>843</v>
      </c>
      <c r="W2099" s="165">
        <v>1</v>
      </c>
      <c r="X2099" s="165">
        <v>2</v>
      </c>
      <c r="Y2099" s="164" t="s">
        <v>194</v>
      </c>
      <c r="Z2099" s="164" t="s">
        <v>195</v>
      </c>
      <c r="AA2099" s="164" t="s">
        <v>196</v>
      </c>
      <c r="AB2099" s="164" t="s">
        <v>187</v>
      </c>
      <c r="AC2099" s="164" t="s">
        <v>187</v>
      </c>
      <c r="AD2099" s="165">
        <v>7</v>
      </c>
      <c r="AE2099" s="164" t="s">
        <v>209</v>
      </c>
      <c r="AF2099" s="165">
        <v>-8.2638300000000005</v>
      </c>
      <c r="AG2099" s="166">
        <v>114.29508</v>
      </c>
      <c r="AO2099" s="121"/>
      <c r="AT2099" s="111"/>
      <c r="AX2099" s="121"/>
    </row>
    <row r="2100" spans="1:50" s="110" customFormat="1" ht="20" customHeight="1">
      <c r="A2100" s="125" t="s">
        <v>185</v>
      </c>
      <c r="B2100" s="126" t="s">
        <v>59</v>
      </c>
      <c r="C2100" s="127">
        <v>10661</v>
      </c>
      <c r="D2100" s="163">
        <v>101015</v>
      </c>
      <c r="E2100" s="164" t="s">
        <v>839</v>
      </c>
      <c r="F2100" s="164" t="s">
        <v>839</v>
      </c>
      <c r="G2100" s="165">
        <v>317000</v>
      </c>
      <c r="H2100" s="165">
        <v>1</v>
      </c>
      <c r="I2100" s="164" t="s">
        <v>187</v>
      </c>
      <c r="J2100" s="164" t="s">
        <v>840</v>
      </c>
      <c r="K2100" s="164" t="s">
        <v>841</v>
      </c>
      <c r="L2100" s="165">
        <v>5</v>
      </c>
      <c r="M2100" s="165">
        <v>6</v>
      </c>
      <c r="N2100" s="164" t="s">
        <v>189</v>
      </c>
      <c r="O2100" s="165">
        <v>1.9</v>
      </c>
      <c r="P2100" s="165">
        <v>0.98199999999999998</v>
      </c>
      <c r="Q2100" s="165">
        <v>17</v>
      </c>
      <c r="R2100" s="164" t="s">
        <v>190</v>
      </c>
      <c r="S2100" s="164" t="s">
        <v>191</v>
      </c>
      <c r="T2100" s="165">
        <v>196</v>
      </c>
      <c r="U2100" s="164" t="s">
        <v>842</v>
      </c>
      <c r="V2100" s="164" t="s">
        <v>843</v>
      </c>
      <c r="W2100" s="165">
        <v>1</v>
      </c>
      <c r="X2100" s="165">
        <v>2</v>
      </c>
      <c r="Y2100" s="164" t="s">
        <v>194</v>
      </c>
      <c r="Z2100" s="164" t="s">
        <v>195</v>
      </c>
      <c r="AA2100" s="164" t="s">
        <v>196</v>
      </c>
      <c r="AB2100" s="164" t="s">
        <v>187</v>
      </c>
      <c r="AC2100" s="164" t="s">
        <v>187</v>
      </c>
      <c r="AD2100" s="165">
        <v>6</v>
      </c>
      <c r="AE2100" s="164" t="s">
        <v>209</v>
      </c>
      <c r="AF2100" s="165">
        <v>-5.9807842465957002</v>
      </c>
      <c r="AG2100" s="166">
        <v>106.03390665307001</v>
      </c>
      <c r="AO2100" s="121"/>
      <c r="AT2100" s="111"/>
      <c r="AX2100" s="121"/>
    </row>
    <row r="2101" spans="1:50" s="110" customFormat="1" ht="20" customHeight="1">
      <c r="A2101" s="125" t="s">
        <v>185</v>
      </c>
      <c r="B2101" s="126" t="s">
        <v>59</v>
      </c>
      <c r="C2101" s="127">
        <v>19029</v>
      </c>
      <c r="D2101" s="157">
        <v>114982</v>
      </c>
      <c r="E2101" s="158" t="s">
        <v>845</v>
      </c>
      <c r="F2101" s="158" t="s">
        <v>845</v>
      </c>
      <c r="G2101" s="159">
        <v>20566000</v>
      </c>
      <c r="H2101" s="159">
        <v>2</v>
      </c>
      <c r="I2101" s="158" t="s">
        <v>209</v>
      </c>
      <c r="J2101" s="158" t="s">
        <v>840</v>
      </c>
      <c r="K2101" s="158" t="s">
        <v>841</v>
      </c>
      <c r="L2101" s="159">
        <v>5</v>
      </c>
      <c r="M2101" s="159">
        <v>6</v>
      </c>
      <c r="N2101" s="158" t="s">
        <v>189</v>
      </c>
      <c r="O2101" s="159">
        <v>19</v>
      </c>
      <c r="P2101" s="159">
        <v>0.13300000000000001</v>
      </c>
      <c r="Q2101" s="159">
        <v>17</v>
      </c>
      <c r="R2101" s="158" t="s">
        <v>190</v>
      </c>
      <c r="S2101" s="158" t="s">
        <v>191</v>
      </c>
      <c r="T2101" s="159">
        <v>196</v>
      </c>
      <c r="U2101" s="158" t="s">
        <v>842</v>
      </c>
      <c r="V2101" s="158" t="s">
        <v>843</v>
      </c>
      <c r="W2101" s="159">
        <v>1</v>
      </c>
      <c r="X2101" s="159">
        <v>2</v>
      </c>
      <c r="Y2101" s="158" t="s">
        <v>194</v>
      </c>
      <c r="Z2101" s="158" t="s">
        <v>195</v>
      </c>
      <c r="AA2101" s="158" t="s">
        <v>196</v>
      </c>
      <c r="AB2101" s="158" t="s">
        <v>187</v>
      </c>
      <c r="AC2101" s="158" t="s">
        <v>187</v>
      </c>
      <c r="AD2101" s="160"/>
      <c r="AE2101" s="158" t="s">
        <v>209</v>
      </c>
      <c r="AF2101" s="159">
        <v>-7.9585959703277904</v>
      </c>
      <c r="AG2101" s="161">
        <v>112.619060922024</v>
      </c>
      <c r="AO2101" s="121"/>
      <c r="AT2101" s="111"/>
      <c r="AX2101" s="121"/>
    </row>
    <row r="2102" spans="1:50" s="110" customFormat="1" ht="20" customHeight="1">
      <c r="A2102" s="125" t="s">
        <v>185</v>
      </c>
      <c r="B2102" s="126" t="s">
        <v>59</v>
      </c>
      <c r="C2102" s="127">
        <v>20286</v>
      </c>
      <c r="D2102" s="157">
        <v>116016</v>
      </c>
      <c r="E2102" s="158" t="s">
        <v>849</v>
      </c>
      <c r="F2102" s="158" t="s">
        <v>849</v>
      </c>
      <c r="G2102" s="159">
        <v>565000</v>
      </c>
      <c r="H2102" s="159">
        <v>2</v>
      </c>
      <c r="I2102" s="158" t="s">
        <v>209</v>
      </c>
      <c r="J2102" s="158" t="s">
        <v>840</v>
      </c>
      <c r="K2102" s="158" t="s">
        <v>841</v>
      </c>
      <c r="L2102" s="159">
        <v>5</v>
      </c>
      <c r="M2102" s="159">
        <v>6</v>
      </c>
      <c r="N2102" s="158" t="s">
        <v>189</v>
      </c>
      <c r="O2102" s="159">
        <v>12</v>
      </c>
      <c r="P2102" s="159">
        <v>0.113</v>
      </c>
      <c r="Q2102" s="159">
        <v>17</v>
      </c>
      <c r="R2102" s="158" t="s">
        <v>190</v>
      </c>
      <c r="S2102" s="158" t="s">
        <v>191</v>
      </c>
      <c r="T2102" s="159">
        <v>196</v>
      </c>
      <c r="U2102" s="158" t="s">
        <v>842</v>
      </c>
      <c r="V2102" s="158" t="s">
        <v>843</v>
      </c>
      <c r="W2102" s="159">
        <v>1</v>
      </c>
      <c r="X2102" s="159">
        <v>2</v>
      </c>
      <c r="Y2102" s="158" t="s">
        <v>194</v>
      </c>
      <c r="Z2102" s="158" t="s">
        <v>195</v>
      </c>
      <c r="AA2102" s="158" t="s">
        <v>196</v>
      </c>
      <c r="AB2102" s="158" t="s">
        <v>187</v>
      </c>
      <c r="AC2102" s="158" t="s">
        <v>187</v>
      </c>
      <c r="AD2102" s="160"/>
      <c r="AE2102" s="158" t="s">
        <v>209</v>
      </c>
      <c r="AF2102" s="159">
        <v>-6.2613349999999999</v>
      </c>
      <c r="AG2102" s="161">
        <v>106.140049</v>
      </c>
      <c r="AO2102" s="121"/>
      <c r="AT2102" s="111"/>
      <c r="AX2102" s="121"/>
    </row>
    <row r="2103" spans="1:50" s="110" customFormat="1" ht="20" customHeight="1">
      <c r="A2103" s="125" t="s">
        <v>185</v>
      </c>
      <c r="B2103" s="126" t="s">
        <v>59</v>
      </c>
      <c r="C2103" s="127">
        <v>17000</v>
      </c>
      <c r="D2103" s="145">
        <v>112316</v>
      </c>
      <c r="E2103" s="146" t="s">
        <v>841</v>
      </c>
      <c r="F2103" s="146" t="s">
        <v>841</v>
      </c>
      <c r="G2103" s="147">
        <v>17175000</v>
      </c>
      <c r="H2103" s="147">
        <v>4</v>
      </c>
      <c r="I2103" s="146" t="s">
        <v>209</v>
      </c>
      <c r="J2103" s="146" t="s">
        <v>840</v>
      </c>
      <c r="K2103" s="146" t="s">
        <v>841</v>
      </c>
      <c r="L2103" s="147">
        <v>5</v>
      </c>
      <c r="M2103" s="147">
        <v>6</v>
      </c>
      <c r="N2103" s="146" t="s">
        <v>189</v>
      </c>
      <c r="O2103" s="147">
        <v>19</v>
      </c>
      <c r="P2103" s="147">
        <v>9.4390000000000001</v>
      </c>
      <c r="Q2103" s="147">
        <v>17</v>
      </c>
      <c r="R2103" s="146" t="s">
        <v>190</v>
      </c>
      <c r="S2103" s="146" t="s">
        <v>191</v>
      </c>
      <c r="T2103" s="147">
        <v>196</v>
      </c>
      <c r="U2103" s="146" t="s">
        <v>842</v>
      </c>
      <c r="V2103" s="146" t="s">
        <v>843</v>
      </c>
      <c r="W2103" s="147">
        <v>9</v>
      </c>
      <c r="X2103" s="147">
        <v>2</v>
      </c>
      <c r="Y2103" s="146" t="s">
        <v>194</v>
      </c>
      <c r="Z2103" s="146" t="s">
        <v>195</v>
      </c>
      <c r="AA2103" s="146" t="s">
        <v>196</v>
      </c>
      <c r="AB2103" s="146" t="s">
        <v>187</v>
      </c>
      <c r="AC2103" s="146" t="s">
        <v>187</v>
      </c>
      <c r="AD2103" s="148"/>
      <c r="AE2103" s="146" t="s">
        <v>209</v>
      </c>
      <c r="AF2103" s="147">
        <v>-7.40618</v>
      </c>
      <c r="AG2103" s="149">
        <v>111.07143000000001</v>
      </c>
      <c r="AO2103" s="121"/>
      <c r="AT2103" s="111"/>
      <c r="AX2103" s="121"/>
    </row>
    <row r="2104" spans="1:50" s="110" customFormat="1" ht="20" customHeight="1">
      <c r="A2104" s="125" t="s">
        <v>185</v>
      </c>
      <c r="B2104" s="126" t="s">
        <v>59</v>
      </c>
      <c r="C2104" s="127">
        <v>20063</v>
      </c>
      <c r="D2104" s="128">
        <v>115281</v>
      </c>
      <c r="E2104" s="129" t="s">
        <v>846</v>
      </c>
      <c r="F2104" s="129" t="s">
        <v>846</v>
      </c>
      <c r="G2104" s="130">
        <v>23999000</v>
      </c>
      <c r="H2104" s="130">
        <v>5</v>
      </c>
      <c r="I2104" s="129" t="s">
        <v>209</v>
      </c>
      <c r="J2104" s="129" t="s">
        <v>840</v>
      </c>
      <c r="K2104" s="129" t="s">
        <v>841</v>
      </c>
      <c r="L2104" s="130">
        <v>5</v>
      </c>
      <c r="M2104" s="130">
        <v>6</v>
      </c>
      <c r="N2104" s="129" t="s">
        <v>189</v>
      </c>
      <c r="O2104" s="130">
        <v>20</v>
      </c>
      <c r="P2104" s="130">
        <v>10.619</v>
      </c>
      <c r="Q2104" s="130">
        <v>17</v>
      </c>
      <c r="R2104" s="129" t="s">
        <v>190</v>
      </c>
      <c r="S2104" s="129" t="s">
        <v>191</v>
      </c>
      <c r="T2104" s="130">
        <v>196</v>
      </c>
      <c r="U2104" s="129" t="s">
        <v>842</v>
      </c>
      <c r="V2104" s="129" t="s">
        <v>843</v>
      </c>
      <c r="W2104" s="130">
        <v>1</v>
      </c>
      <c r="X2104" s="130">
        <v>2</v>
      </c>
      <c r="Y2104" s="129" t="s">
        <v>194</v>
      </c>
      <c r="Z2104" s="129" t="s">
        <v>195</v>
      </c>
      <c r="AA2104" s="129" t="s">
        <v>196</v>
      </c>
      <c r="AB2104" s="129" t="s">
        <v>187</v>
      </c>
      <c r="AC2104" s="129" t="s">
        <v>187</v>
      </c>
      <c r="AD2104" s="131"/>
      <c r="AE2104" s="129" t="s">
        <v>209</v>
      </c>
      <c r="AF2104" s="130">
        <v>-7.3087710000000001</v>
      </c>
      <c r="AG2104" s="132">
        <v>112.73646599999999</v>
      </c>
      <c r="AO2104" s="121"/>
      <c r="AT2104" s="111"/>
      <c r="AX2104" s="121"/>
    </row>
    <row r="2105" spans="1:50" s="110" customFormat="1" ht="20" customHeight="1">
      <c r="A2105" s="125" t="s">
        <v>237</v>
      </c>
      <c r="B2105" s="126" t="s">
        <v>60</v>
      </c>
      <c r="C2105" s="127">
        <v>17000</v>
      </c>
      <c r="D2105" s="145">
        <v>112316</v>
      </c>
      <c r="E2105" s="146" t="s">
        <v>841</v>
      </c>
      <c r="F2105" s="146" t="s">
        <v>850</v>
      </c>
      <c r="G2105" s="147">
        <v>661000</v>
      </c>
      <c r="H2105" s="147">
        <v>4</v>
      </c>
      <c r="I2105" s="146" t="s">
        <v>209</v>
      </c>
      <c r="J2105" s="146" t="s">
        <v>840</v>
      </c>
      <c r="K2105" s="146" t="s">
        <v>841</v>
      </c>
      <c r="L2105" s="147">
        <v>5</v>
      </c>
      <c r="M2105" s="147">
        <v>6</v>
      </c>
      <c r="N2105" s="146" t="s">
        <v>189</v>
      </c>
      <c r="O2105" s="147">
        <v>14</v>
      </c>
      <c r="P2105" s="147">
        <v>7</v>
      </c>
      <c r="Q2105" s="147">
        <v>17</v>
      </c>
      <c r="R2105" s="146" t="s">
        <v>190</v>
      </c>
      <c r="S2105" s="146" t="s">
        <v>191</v>
      </c>
      <c r="T2105" s="147">
        <v>196</v>
      </c>
      <c r="U2105" s="146" t="s">
        <v>842</v>
      </c>
      <c r="V2105" s="146" t="s">
        <v>843</v>
      </c>
      <c r="W2105" s="147">
        <v>9</v>
      </c>
      <c r="X2105" s="147">
        <v>2</v>
      </c>
      <c r="Y2105" s="146" t="s">
        <v>194</v>
      </c>
      <c r="Z2105" s="146" t="s">
        <v>195</v>
      </c>
      <c r="AA2105" s="146" t="s">
        <v>196</v>
      </c>
      <c r="AB2105" s="146" t="s">
        <v>187</v>
      </c>
      <c r="AC2105" s="146" t="s">
        <v>209</v>
      </c>
      <c r="AD2105" s="148"/>
      <c r="AE2105" s="146" t="s">
        <v>209</v>
      </c>
      <c r="AF2105" s="147">
        <v>4.3254000000000001</v>
      </c>
      <c r="AG2105" s="149">
        <v>117.90436</v>
      </c>
      <c r="AO2105" s="121"/>
      <c r="AT2105" s="111"/>
      <c r="AX2105" s="121"/>
    </row>
    <row r="2106" spans="1:50" s="110" customFormat="1" ht="20" customHeight="1">
      <c r="A2106" s="125" t="s">
        <v>408</v>
      </c>
      <c r="B2106" s="126" t="s">
        <v>64</v>
      </c>
      <c r="C2106" s="127">
        <v>17000</v>
      </c>
      <c r="D2106" s="145">
        <v>112316</v>
      </c>
      <c r="E2106" s="146" t="s">
        <v>841</v>
      </c>
      <c r="F2106" s="146" t="s">
        <v>841</v>
      </c>
      <c r="G2106" s="147">
        <v>91000</v>
      </c>
      <c r="H2106" s="147">
        <v>4</v>
      </c>
      <c r="I2106" s="146" t="s">
        <v>209</v>
      </c>
      <c r="J2106" s="146" t="s">
        <v>840</v>
      </c>
      <c r="K2106" s="146" t="s">
        <v>841</v>
      </c>
      <c r="L2106" s="147">
        <v>5</v>
      </c>
      <c r="M2106" s="147">
        <v>6</v>
      </c>
      <c r="N2106" s="146" t="s">
        <v>189</v>
      </c>
      <c r="O2106" s="147">
        <v>15</v>
      </c>
      <c r="P2106" s="147">
        <v>7</v>
      </c>
      <c r="Q2106" s="147">
        <v>17</v>
      </c>
      <c r="R2106" s="146" t="s">
        <v>190</v>
      </c>
      <c r="S2106" s="146" t="s">
        <v>191</v>
      </c>
      <c r="T2106" s="147">
        <v>196</v>
      </c>
      <c r="U2106" s="146" t="s">
        <v>842</v>
      </c>
      <c r="V2106" s="146" t="s">
        <v>843</v>
      </c>
      <c r="W2106" s="147">
        <v>9</v>
      </c>
      <c r="X2106" s="147">
        <v>2</v>
      </c>
      <c r="Y2106" s="146" t="s">
        <v>194</v>
      </c>
      <c r="Z2106" s="146" t="s">
        <v>195</v>
      </c>
      <c r="AA2106" s="146" t="s">
        <v>196</v>
      </c>
      <c r="AB2106" s="146" t="s">
        <v>209</v>
      </c>
      <c r="AC2106" s="146" t="s">
        <v>209</v>
      </c>
      <c r="AD2106" s="148"/>
      <c r="AE2106" s="146" t="s">
        <v>209</v>
      </c>
      <c r="AF2106" s="147">
        <v>1.3638600000000001</v>
      </c>
      <c r="AG2106" s="149">
        <v>103.67874</v>
      </c>
      <c r="AO2106" s="121"/>
      <c r="AT2106" s="111"/>
      <c r="AX2106" s="121"/>
    </row>
    <row r="2107" spans="1:50" s="110" customFormat="1" ht="20" customHeight="1">
      <c r="A2107" s="125" t="s">
        <v>224</v>
      </c>
      <c r="B2107" s="126" t="s">
        <v>68</v>
      </c>
      <c r="C2107" s="127">
        <v>17000</v>
      </c>
      <c r="D2107" s="163">
        <v>112316</v>
      </c>
      <c r="E2107" s="164" t="s">
        <v>841</v>
      </c>
      <c r="F2107" s="164" t="s">
        <v>841</v>
      </c>
      <c r="G2107" s="165">
        <v>8400</v>
      </c>
      <c r="H2107" s="165">
        <v>1</v>
      </c>
      <c r="I2107" s="164" t="s">
        <v>187</v>
      </c>
      <c r="J2107" s="164" t="s">
        <v>840</v>
      </c>
      <c r="K2107" s="164" t="s">
        <v>841</v>
      </c>
      <c r="L2107" s="165">
        <v>5</v>
      </c>
      <c r="M2107" s="165">
        <v>6</v>
      </c>
      <c r="N2107" s="164" t="s">
        <v>189</v>
      </c>
      <c r="O2107" s="165">
        <v>0</v>
      </c>
      <c r="P2107" s="165">
        <v>0</v>
      </c>
      <c r="Q2107" s="165">
        <v>17</v>
      </c>
      <c r="R2107" s="164" t="s">
        <v>190</v>
      </c>
      <c r="S2107" s="164" t="s">
        <v>191</v>
      </c>
      <c r="T2107" s="165">
        <v>196</v>
      </c>
      <c r="U2107" s="164" t="s">
        <v>842</v>
      </c>
      <c r="V2107" s="164" t="s">
        <v>843</v>
      </c>
      <c r="W2107" s="165">
        <v>9</v>
      </c>
      <c r="X2107" s="165">
        <v>4</v>
      </c>
      <c r="Y2107" s="164" t="s">
        <v>203</v>
      </c>
      <c r="Z2107" s="164" t="s">
        <v>195</v>
      </c>
      <c r="AA2107" s="164" t="s">
        <v>196</v>
      </c>
      <c r="AB2107" s="164" t="s">
        <v>187</v>
      </c>
      <c r="AC2107" s="164" t="s">
        <v>209</v>
      </c>
      <c r="AD2107" s="165">
        <v>1</v>
      </c>
      <c r="AE2107" s="164" t="s">
        <v>187</v>
      </c>
      <c r="AF2107" s="165">
        <v>7.2260840063896898</v>
      </c>
      <c r="AG2107" s="166">
        <v>81.555669474487502</v>
      </c>
      <c r="AO2107" s="121"/>
      <c r="AT2107" s="111"/>
      <c r="AX2107" s="121"/>
    </row>
    <row r="2108" spans="1:50" s="110" customFormat="1" ht="20" customHeight="1">
      <c r="A2108" s="125" t="s">
        <v>185</v>
      </c>
      <c r="B2108" s="126" t="s">
        <v>59</v>
      </c>
      <c r="C2108" s="127">
        <v>12423</v>
      </c>
      <c r="D2108" s="163">
        <v>104421</v>
      </c>
      <c r="E2108" s="164" t="s">
        <v>861</v>
      </c>
      <c r="F2108" s="164" t="s">
        <v>861</v>
      </c>
      <c r="G2108" s="165">
        <v>388000</v>
      </c>
      <c r="H2108" s="165">
        <v>1</v>
      </c>
      <c r="I2108" s="164" t="s">
        <v>187</v>
      </c>
      <c r="J2108" s="164" t="s">
        <v>862</v>
      </c>
      <c r="K2108" s="164" t="s">
        <v>863</v>
      </c>
      <c r="L2108" s="165">
        <v>4</v>
      </c>
      <c r="M2108" s="165">
        <v>6</v>
      </c>
      <c r="N2108" s="164" t="s">
        <v>189</v>
      </c>
      <c r="O2108" s="165">
        <v>2</v>
      </c>
      <c r="P2108" s="165">
        <v>1.0999999999999999E-2</v>
      </c>
      <c r="Q2108" s="165">
        <v>17</v>
      </c>
      <c r="R2108" s="164" t="s">
        <v>190</v>
      </c>
      <c r="S2108" s="164" t="s">
        <v>191</v>
      </c>
      <c r="T2108" s="165">
        <v>198</v>
      </c>
      <c r="U2108" s="164" t="s">
        <v>263</v>
      </c>
      <c r="V2108" s="164" t="s">
        <v>264</v>
      </c>
      <c r="W2108" s="165">
        <v>1</v>
      </c>
      <c r="X2108" s="165">
        <v>2</v>
      </c>
      <c r="Y2108" s="164" t="s">
        <v>194</v>
      </c>
      <c r="Z2108" s="164" t="s">
        <v>195</v>
      </c>
      <c r="AA2108" s="164" t="s">
        <v>196</v>
      </c>
      <c r="AB2108" s="164" t="s">
        <v>187</v>
      </c>
      <c r="AC2108" s="164" t="s">
        <v>187</v>
      </c>
      <c r="AD2108" s="165">
        <v>8</v>
      </c>
      <c r="AE2108" s="164" t="s">
        <v>209</v>
      </c>
      <c r="AF2108" s="165">
        <v>-0.96845999999999999</v>
      </c>
      <c r="AG2108" s="166">
        <v>120.1006</v>
      </c>
      <c r="AO2108" s="121"/>
      <c r="AT2108" s="111"/>
      <c r="AX2108" s="121"/>
    </row>
    <row r="2109" spans="1:50" s="110" customFormat="1" ht="20" customHeight="1">
      <c r="A2109" s="125" t="s">
        <v>185</v>
      </c>
      <c r="B2109" s="126" t="s">
        <v>59</v>
      </c>
      <c r="C2109" s="127">
        <v>11021</v>
      </c>
      <c r="D2109" s="163">
        <v>101758</v>
      </c>
      <c r="E2109" s="164" t="s">
        <v>562</v>
      </c>
      <c r="F2109" s="164" t="s">
        <v>562</v>
      </c>
      <c r="G2109" s="165">
        <v>112000</v>
      </c>
      <c r="H2109" s="165">
        <v>1</v>
      </c>
      <c r="I2109" s="164" t="s">
        <v>187</v>
      </c>
      <c r="J2109" s="164" t="s">
        <v>563</v>
      </c>
      <c r="K2109" s="164" t="s">
        <v>562</v>
      </c>
      <c r="L2109" s="165">
        <v>1</v>
      </c>
      <c r="M2109" s="165">
        <v>6</v>
      </c>
      <c r="N2109" s="164" t="s">
        <v>189</v>
      </c>
      <c r="O2109" s="165">
        <v>0.01</v>
      </c>
      <c r="P2109" s="165">
        <v>0.01</v>
      </c>
      <c r="Q2109" s="165">
        <v>17</v>
      </c>
      <c r="R2109" s="164" t="s">
        <v>190</v>
      </c>
      <c r="S2109" s="164" t="s">
        <v>191</v>
      </c>
      <c r="T2109" s="165">
        <v>198</v>
      </c>
      <c r="U2109" s="164" t="s">
        <v>263</v>
      </c>
      <c r="V2109" s="164" t="s">
        <v>264</v>
      </c>
      <c r="W2109" s="165">
        <v>1</v>
      </c>
      <c r="X2109" s="165">
        <v>2</v>
      </c>
      <c r="Y2109" s="164" t="s">
        <v>194</v>
      </c>
      <c r="Z2109" s="164" t="s">
        <v>195</v>
      </c>
      <c r="AA2109" s="164" t="s">
        <v>196</v>
      </c>
      <c r="AB2109" s="164" t="s">
        <v>187</v>
      </c>
      <c r="AC2109" s="164" t="s">
        <v>187</v>
      </c>
      <c r="AD2109" s="165">
        <v>2</v>
      </c>
      <c r="AE2109" s="164" t="s">
        <v>187</v>
      </c>
      <c r="AF2109" s="165">
        <v>0.98709000000000002</v>
      </c>
      <c r="AG2109" s="166">
        <v>121.38885000000001</v>
      </c>
      <c r="AO2109" s="121"/>
      <c r="AT2109" s="111"/>
      <c r="AX2109" s="121"/>
    </row>
    <row r="2110" spans="1:50" s="110" customFormat="1" ht="20" customHeight="1">
      <c r="A2110" s="125" t="s">
        <v>185</v>
      </c>
      <c r="B2110" s="126" t="s">
        <v>59</v>
      </c>
      <c r="C2110" s="127">
        <v>12422</v>
      </c>
      <c r="D2110" s="163">
        <v>104420</v>
      </c>
      <c r="E2110" s="164" t="s">
        <v>864</v>
      </c>
      <c r="F2110" s="164" t="s">
        <v>864</v>
      </c>
      <c r="G2110" s="165">
        <v>32000</v>
      </c>
      <c r="H2110" s="165">
        <v>1</v>
      </c>
      <c r="I2110" s="164" t="s">
        <v>187</v>
      </c>
      <c r="J2110" s="164" t="s">
        <v>865</v>
      </c>
      <c r="K2110" s="164" t="s">
        <v>866</v>
      </c>
      <c r="L2110" s="165">
        <v>1</v>
      </c>
      <c r="M2110" s="165">
        <v>6</v>
      </c>
      <c r="N2110" s="164" t="s">
        <v>189</v>
      </c>
      <c r="O2110" s="165">
        <v>0</v>
      </c>
      <c r="P2110" s="165">
        <v>0</v>
      </c>
      <c r="Q2110" s="165">
        <v>17</v>
      </c>
      <c r="R2110" s="164" t="s">
        <v>190</v>
      </c>
      <c r="S2110" s="164" t="s">
        <v>191</v>
      </c>
      <c r="T2110" s="165">
        <v>198</v>
      </c>
      <c r="U2110" s="164" t="s">
        <v>263</v>
      </c>
      <c r="V2110" s="164" t="s">
        <v>264</v>
      </c>
      <c r="W2110" s="165">
        <v>1</v>
      </c>
      <c r="X2110" s="165">
        <v>2</v>
      </c>
      <c r="Y2110" s="164" t="s">
        <v>194</v>
      </c>
      <c r="Z2110" s="164" t="s">
        <v>195</v>
      </c>
      <c r="AA2110" s="164" t="s">
        <v>196</v>
      </c>
      <c r="AB2110" s="164" t="s">
        <v>187</v>
      </c>
      <c r="AC2110" s="164" t="s">
        <v>187</v>
      </c>
      <c r="AD2110" s="165">
        <v>1</v>
      </c>
      <c r="AE2110" s="164" t="s">
        <v>187</v>
      </c>
      <c r="AF2110" s="165">
        <v>-0.85192000000000001</v>
      </c>
      <c r="AG2110" s="166">
        <v>119.68241999999999</v>
      </c>
      <c r="AO2110" s="121"/>
      <c r="AT2110" s="111"/>
      <c r="AX2110" s="121"/>
    </row>
    <row r="2111" spans="1:50" s="110" customFormat="1" ht="20" customHeight="1">
      <c r="A2111" s="125" t="s">
        <v>185</v>
      </c>
      <c r="B2111" s="126" t="s">
        <v>59</v>
      </c>
      <c r="C2111" s="127">
        <v>15550</v>
      </c>
      <c r="D2111" s="163">
        <v>110149</v>
      </c>
      <c r="E2111" s="164" t="s">
        <v>1464</v>
      </c>
      <c r="F2111" s="164" t="s">
        <v>1464</v>
      </c>
      <c r="G2111" s="165">
        <v>31000</v>
      </c>
      <c r="H2111" s="165">
        <v>1</v>
      </c>
      <c r="I2111" s="164" t="s">
        <v>187</v>
      </c>
      <c r="J2111" s="164" t="s">
        <v>1465</v>
      </c>
      <c r="K2111" s="164" t="s">
        <v>1464</v>
      </c>
      <c r="L2111" s="165">
        <v>1</v>
      </c>
      <c r="M2111" s="165">
        <v>6</v>
      </c>
      <c r="N2111" s="164" t="s">
        <v>189</v>
      </c>
      <c r="O2111" s="165">
        <v>0</v>
      </c>
      <c r="P2111" s="165">
        <v>0</v>
      </c>
      <c r="Q2111" s="165">
        <v>17</v>
      </c>
      <c r="R2111" s="164" t="s">
        <v>190</v>
      </c>
      <c r="S2111" s="164" t="s">
        <v>191</v>
      </c>
      <c r="T2111" s="165">
        <v>198</v>
      </c>
      <c r="U2111" s="164" t="s">
        <v>263</v>
      </c>
      <c r="V2111" s="164" t="s">
        <v>264</v>
      </c>
      <c r="W2111" s="165">
        <v>1</v>
      </c>
      <c r="X2111" s="165">
        <v>2</v>
      </c>
      <c r="Y2111" s="164" t="s">
        <v>194</v>
      </c>
      <c r="Z2111" s="164" t="s">
        <v>195</v>
      </c>
      <c r="AA2111" s="164" t="s">
        <v>196</v>
      </c>
      <c r="AB2111" s="164" t="s">
        <v>187</v>
      </c>
      <c r="AC2111" s="164" t="s">
        <v>187</v>
      </c>
      <c r="AD2111" s="165">
        <v>1</v>
      </c>
      <c r="AE2111" s="164" t="s">
        <v>187</v>
      </c>
      <c r="AF2111" s="165">
        <v>0.56450999999999996</v>
      </c>
      <c r="AG2111" s="166">
        <v>120.88825</v>
      </c>
      <c r="AO2111" s="121"/>
      <c r="AT2111" s="111"/>
      <c r="AX2111" s="121"/>
    </row>
    <row r="2112" spans="1:50" s="110" customFormat="1" ht="20" customHeight="1">
      <c r="A2112" s="125" t="s">
        <v>185</v>
      </c>
      <c r="B2112" s="126" t="s">
        <v>59</v>
      </c>
      <c r="C2112" s="127">
        <v>15542</v>
      </c>
      <c r="D2112" s="163">
        <v>110139</v>
      </c>
      <c r="E2112" s="164" t="s">
        <v>1457</v>
      </c>
      <c r="F2112" s="164" t="s">
        <v>1457</v>
      </c>
      <c r="G2112" s="165">
        <v>23000</v>
      </c>
      <c r="H2112" s="165">
        <v>1</v>
      </c>
      <c r="I2112" s="164" t="s">
        <v>187</v>
      </c>
      <c r="J2112" s="164" t="s">
        <v>1458</v>
      </c>
      <c r="K2112" s="164" t="s">
        <v>1459</v>
      </c>
      <c r="L2112" s="165">
        <v>0</v>
      </c>
      <c r="M2112" s="165">
        <v>6</v>
      </c>
      <c r="N2112" s="164" t="s">
        <v>189</v>
      </c>
      <c r="O2112" s="165">
        <v>5.6000000000000001E-2</v>
      </c>
      <c r="P2112" s="165">
        <v>5.6000000000000001E-2</v>
      </c>
      <c r="Q2112" s="165">
        <v>17</v>
      </c>
      <c r="R2112" s="164" t="s">
        <v>190</v>
      </c>
      <c r="S2112" s="164" t="s">
        <v>191</v>
      </c>
      <c r="T2112" s="165">
        <v>198</v>
      </c>
      <c r="U2112" s="164" t="s">
        <v>263</v>
      </c>
      <c r="V2112" s="164" t="s">
        <v>264</v>
      </c>
      <c r="W2112" s="165">
        <v>1</v>
      </c>
      <c r="X2112" s="165">
        <v>2</v>
      </c>
      <c r="Y2112" s="164" t="s">
        <v>194</v>
      </c>
      <c r="Z2112" s="164" t="s">
        <v>195</v>
      </c>
      <c r="AA2112" s="164" t="s">
        <v>196</v>
      </c>
      <c r="AB2112" s="164" t="s">
        <v>187</v>
      </c>
      <c r="AC2112" s="164" t="s">
        <v>187</v>
      </c>
      <c r="AD2112" s="165">
        <v>1</v>
      </c>
      <c r="AE2112" s="164" t="s">
        <v>187</v>
      </c>
      <c r="AF2112" s="165">
        <v>1.10758</v>
      </c>
      <c r="AG2112" s="166">
        <v>120.82792999999999</v>
      </c>
      <c r="AO2112" s="121"/>
      <c r="AT2112" s="111"/>
      <c r="AX2112" s="121"/>
    </row>
    <row r="2113" spans="1:50" s="110" customFormat="1" ht="20" customHeight="1">
      <c r="A2113" s="125" t="s">
        <v>185</v>
      </c>
      <c r="B2113" s="126" t="s">
        <v>59</v>
      </c>
      <c r="C2113" s="127">
        <v>11604</v>
      </c>
      <c r="D2113" s="163">
        <v>102701</v>
      </c>
      <c r="E2113" s="164" t="s">
        <v>661</v>
      </c>
      <c r="F2113" s="164" t="s">
        <v>661</v>
      </c>
      <c r="G2113" s="165">
        <v>15000</v>
      </c>
      <c r="H2113" s="165">
        <v>1</v>
      </c>
      <c r="I2113" s="164" t="s">
        <v>187</v>
      </c>
      <c r="J2113" s="164" t="s">
        <v>662</v>
      </c>
      <c r="K2113" s="164" t="s">
        <v>661</v>
      </c>
      <c r="L2113" s="165">
        <v>2</v>
      </c>
      <c r="M2113" s="165">
        <v>6</v>
      </c>
      <c r="N2113" s="164" t="s">
        <v>189</v>
      </c>
      <c r="O2113" s="165">
        <v>0</v>
      </c>
      <c r="P2113" s="165">
        <v>0</v>
      </c>
      <c r="Q2113" s="165">
        <v>17</v>
      </c>
      <c r="R2113" s="164" t="s">
        <v>190</v>
      </c>
      <c r="S2113" s="164" t="s">
        <v>191</v>
      </c>
      <c r="T2113" s="165">
        <v>198</v>
      </c>
      <c r="U2113" s="164" t="s">
        <v>263</v>
      </c>
      <c r="V2113" s="164" t="s">
        <v>264</v>
      </c>
      <c r="W2113" s="165">
        <v>1</v>
      </c>
      <c r="X2113" s="165">
        <v>2</v>
      </c>
      <c r="Y2113" s="164" t="s">
        <v>194</v>
      </c>
      <c r="Z2113" s="164" t="s">
        <v>195</v>
      </c>
      <c r="AA2113" s="164" t="s">
        <v>196</v>
      </c>
      <c r="AB2113" s="164" t="s">
        <v>187</v>
      </c>
      <c r="AC2113" s="164" t="s">
        <v>187</v>
      </c>
      <c r="AD2113" s="165">
        <v>1</v>
      </c>
      <c r="AE2113" s="164" t="s">
        <v>187</v>
      </c>
      <c r="AF2113" s="165">
        <v>0.79851000000000005</v>
      </c>
      <c r="AG2113" s="166">
        <v>120.74005</v>
      </c>
      <c r="AO2113" s="121"/>
      <c r="AT2113" s="111"/>
      <c r="AX2113" s="121"/>
    </row>
    <row r="2114" spans="1:50" s="110" customFormat="1" ht="20" customHeight="1">
      <c r="A2114" s="125" t="s">
        <v>185</v>
      </c>
      <c r="B2114" s="126" t="s">
        <v>59</v>
      </c>
      <c r="C2114" s="127">
        <v>11484</v>
      </c>
      <c r="D2114" s="163">
        <v>102416</v>
      </c>
      <c r="E2114" s="164" t="s">
        <v>602</v>
      </c>
      <c r="F2114" s="164" t="s">
        <v>602</v>
      </c>
      <c r="G2114" s="165">
        <v>12000</v>
      </c>
      <c r="H2114" s="165">
        <v>1</v>
      </c>
      <c r="I2114" s="164" t="s">
        <v>187</v>
      </c>
      <c r="J2114" s="164" t="s">
        <v>603</v>
      </c>
      <c r="K2114" s="164" t="s">
        <v>602</v>
      </c>
      <c r="L2114" s="165">
        <v>0</v>
      </c>
      <c r="M2114" s="165">
        <v>6</v>
      </c>
      <c r="N2114" s="164" t="s">
        <v>189</v>
      </c>
      <c r="O2114" s="165">
        <v>8.0000000000000002E-3</v>
      </c>
      <c r="P2114" s="165">
        <v>8.0000000000000002E-3</v>
      </c>
      <c r="Q2114" s="165">
        <v>17</v>
      </c>
      <c r="R2114" s="164" t="s">
        <v>190</v>
      </c>
      <c r="S2114" s="164" t="s">
        <v>191</v>
      </c>
      <c r="T2114" s="165">
        <v>198</v>
      </c>
      <c r="U2114" s="164" t="s">
        <v>263</v>
      </c>
      <c r="V2114" s="164" t="s">
        <v>264</v>
      </c>
      <c r="W2114" s="165">
        <v>1</v>
      </c>
      <c r="X2114" s="165">
        <v>2</v>
      </c>
      <c r="Y2114" s="164" t="s">
        <v>194</v>
      </c>
      <c r="Z2114" s="164" t="s">
        <v>195</v>
      </c>
      <c r="AA2114" s="164" t="s">
        <v>196</v>
      </c>
      <c r="AB2114" s="164" t="s">
        <v>187</v>
      </c>
      <c r="AC2114" s="164" t="s">
        <v>187</v>
      </c>
      <c r="AD2114" s="165">
        <v>1</v>
      </c>
      <c r="AE2114" s="164" t="s">
        <v>187</v>
      </c>
      <c r="AF2114" s="165">
        <v>0.67652000000000001</v>
      </c>
      <c r="AG2114" s="166">
        <v>120.18504</v>
      </c>
      <c r="AO2114" s="121"/>
      <c r="AT2114" s="111"/>
      <c r="AX2114" s="121"/>
    </row>
    <row r="2115" spans="1:50" s="110" customFormat="1" ht="20" customHeight="1">
      <c r="A2115" s="125" t="s">
        <v>185</v>
      </c>
      <c r="B2115" s="126" t="s">
        <v>59</v>
      </c>
      <c r="C2115" s="127">
        <v>15548</v>
      </c>
      <c r="D2115" s="163">
        <v>110146</v>
      </c>
      <c r="E2115" s="164" t="s">
        <v>1462</v>
      </c>
      <c r="F2115" s="164" t="s">
        <v>1462</v>
      </c>
      <c r="G2115" s="165">
        <v>7100</v>
      </c>
      <c r="H2115" s="165">
        <v>1</v>
      </c>
      <c r="I2115" s="164" t="s">
        <v>187</v>
      </c>
      <c r="J2115" s="164" t="s">
        <v>1463</v>
      </c>
      <c r="K2115" s="164" t="s">
        <v>1462</v>
      </c>
      <c r="L2115" s="165">
        <v>1</v>
      </c>
      <c r="M2115" s="165">
        <v>6</v>
      </c>
      <c r="N2115" s="164" t="s">
        <v>189</v>
      </c>
      <c r="O2115" s="165">
        <v>0</v>
      </c>
      <c r="P2115" s="165">
        <v>0</v>
      </c>
      <c r="Q2115" s="165">
        <v>17</v>
      </c>
      <c r="R2115" s="164" t="s">
        <v>190</v>
      </c>
      <c r="S2115" s="164" t="s">
        <v>191</v>
      </c>
      <c r="T2115" s="165">
        <v>198</v>
      </c>
      <c r="U2115" s="164" t="s">
        <v>263</v>
      </c>
      <c r="V2115" s="164" t="s">
        <v>264</v>
      </c>
      <c r="W2115" s="165">
        <v>1</v>
      </c>
      <c r="X2115" s="165">
        <v>2</v>
      </c>
      <c r="Y2115" s="164" t="s">
        <v>194</v>
      </c>
      <c r="Z2115" s="164" t="s">
        <v>195</v>
      </c>
      <c r="AA2115" s="164" t="s">
        <v>196</v>
      </c>
      <c r="AB2115" s="164" t="s">
        <v>187</v>
      </c>
      <c r="AC2115" s="164" t="s">
        <v>187</v>
      </c>
      <c r="AD2115" s="165">
        <v>1</v>
      </c>
      <c r="AE2115" s="164" t="s">
        <v>187</v>
      </c>
      <c r="AF2115" s="165">
        <v>-2.5112000000000001</v>
      </c>
      <c r="AG2115" s="166">
        <v>121.91525</v>
      </c>
      <c r="AO2115" s="121"/>
      <c r="AT2115" s="111"/>
      <c r="AX2115" s="121"/>
    </row>
    <row r="2116" spans="1:50" s="110" customFormat="1" ht="20" customHeight="1">
      <c r="A2116" s="125" t="s">
        <v>185</v>
      </c>
      <c r="B2116" s="126" t="s">
        <v>59</v>
      </c>
      <c r="C2116" s="127">
        <v>10600</v>
      </c>
      <c r="D2116" s="163">
        <v>100831</v>
      </c>
      <c r="E2116" s="164" t="s">
        <v>342</v>
      </c>
      <c r="F2116" s="164" t="s">
        <v>342</v>
      </c>
      <c r="G2116" s="165">
        <v>6700</v>
      </c>
      <c r="H2116" s="165">
        <v>1</v>
      </c>
      <c r="I2116" s="164" t="s">
        <v>187</v>
      </c>
      <c r="J2116" s="164" t="s">
        <v>343</v>
      </c>
      <c r="K2116" s="164" t="s">
        <v>344</v>
      </c>
      <c r="L2116" s="165">
        <v>0</v>
      </c>
      <c r="M2116" s="165">
        <v>6</v>
      </c>
      <c r="N2116" s="164" t="s">
        <v>189</v>
      </c>
      <c r="O2116" s="165">
        <v>0</v>
      </c>
      <c r="P2116" s="165">
        <v>0</v>
      </c>
      <c r="Q2116" s="165">
        <v>17</v>
      </c>
      <c r="R2116" s="164" t="s">
        <v>190</v>
      </c>
      <c r="S2116" s="164" t="s">
        <v>191</v>
      </c>
      <c r="T2116" s="165">
        <v>198</v>
      </c>
      <c r="U2116" s="164" t="s">
        <v>263</v>
      </c>
      <c r="V2116" s="164" t="s">
        <v>264</v>
      </c>
      <c r="W2116" s="165">
        <v>1</v>
      </c>
      <c r="X2116" s="165">
        <v>2</v>
      </c>
      <c r="Y2116" s="164" t="s">
        <v>194</v>
      </c>
      <c r="Z2116" s="164" t="s">
        <v>195</v>
      </c>
      <c r="AA2116" s="164" t="s">
        <v>196</v>
      </c>
      <c r="AB2116" s="164" t="s">
        <v>187</v>
      </c>
      <c r="AC2116" s="164" t="s">
        <v>187</v>
      </c>
      <c r="AD2116" s="165">
        <v>1</v>
      </c>
      <c r="AE2116" s="164" t="s">
        <v>187</v>
      </c>
      <c r="AF2116" s="165">
        <v>-5.5E-2</v>
      </c>
      <c r="AG2116" s="166">
        <v>119.69167</v>
      </c>
      <c r="AO2116" s="121"/>
      <c r="AT2116" s="111"/>
      <c r="AX2116" s="121"/>
    </row>
    <row r="2117" spans="1:50" s="110" customFormat="1" ht="20" customHeight="1">
      <c r="A2117" s="125" t="s">
        <v>185</v>
      </c>
      <c r="B2117" s="126" t="s">
        <v>59</v>
      </c>
      <c r="C2117" s="127">
        <v>14773</v>
      </c>
      <c r="D2117" s="163">
        <v>108732</v>
      </c>
      <c r="E2117" s="164" t="s">
        <v>1344</v>
      </c>
      <c r="F2117" s="164" t="s">
        <v>1344</v>
      </c>
      <c r="G2117" s="165">
        <v>6000</v>
      </c>
      <c r="H2117" s="165">
        <v>1</v>
      </c>
      <c r="I2117" s="164" t="s">
        <v>187</v>
      </c>
      <c r="J2117" s="164" t="s">
        <v>1345</v>
      </c>
      <c r="K2117" s="164" t="s">
        <v>1344</v>
      </c>
      <c r="L2117" s="165">
        <v>1</v>
      </c>
      <c r="M2117" s="165">
        <v>6</v>
      </c>
      <c r="N2117" s="164" t="s">
        <v>189</v>
      </c>
      <c r="O2117" s="165">
        <v>0.5</v>
      </c>
      <c r="P2117" s="165">
        <v>0.2</v>
      </c>
      <c r="Q2117" s="165">
        <v>17</v>
      </c>
      <c r="R2117" s="164" t="s">
        <v>190</v>
      </c>
      <c r="S2117" s="164" t="s">
        <v>191</v>
      </c>
      <c r="T2117" s="165">
        <v>198</v>
      </c>
      <c r="U2117" s="164" t="s">
        <v>263</v>
      </c>
      <c r="V2117" s="164" t="s">
        <v>264</v>
      </c>
      <c r="W2117" s="165">
        <v>1</v>
      </c>
      <c r="X2117" s="165">
        <v>2</v>
      </c>
      <c r="Y2117" s="164" t="s">
        <v>194</v>
      </c>
      <c r="Z2117" s="164" t="s">
        <v>195</v>
      </c>
      <c r="AA2117" s="164" t="s">
        <v>196</v>
      </c>
      <c r="AB2117" s="164" t="s">
        <v>187</v>
      </c>
      <c r="AC2117" s="164" t="s">
        <v>187</v>
      </c>
      <c r="AD2117" s="165">
        <v>1</v>
      </c>
      <c r="AE2117" s="164" t="s">
        <v>209</v>
      </c>
      <c r="AF2117" s="165">
        <v>-1.70245</v>
      </c>
      <c r="AG2117" s="166">
        <v>119.34263</v>
      </c>
      <c r="AO2117" s="121"/>
      <c r="AT2117" s="111"/>
      <c r="AX2117" s="121"/>
    </row>
    <row r="2118" spans="1:50" s="110" customFormat="1" ht="20" customHeight="1">
      <c r="A2118" s="125" t="s">
        <v>185</v>
      </c>
      <c r="B2118" s="126" t="s">
        <v>59</v>
      </c>
      <c r="C2118" s="127">
        <v>14359</v>
      </c>
      <c r="D2118" s="163">
        <v>107970</v>
      </c>
      <c r="E2118" s="164" t="s">
        <v>1198</v>
      </c>
      <c r="F2118" s="164" t="s">
        <v>1199</v>
      </c>
      <c r="G2118" s="165">
        <v>5200</v>
      </c>
      <c r="H2118" s="165">
        <v>1</v>
      </c>
      <c r="I2118" s="164" t="s">
        <v>187</v>
      </c>
      <c r="J2118" s="164" t="s">
        <v>1200</v>
      </c>
      <c r="K2118" s="164" t="s">
        <v>1198</v>
      </c>
      <c r="L2118" s="165">
        <v>3</v>
      </c>
      <c r="M2118" s="165">
        <v>6</v>
      </c>
      <c r="N2118" s="164" t="s">
        <v>189</v>
      </c>
      <c r="O2118" s="165">
        <v>2</v>
      </c>
      <c r="P2118" s="165">
        <v>0</v>
      </c>
      <c r="Q2118" s="165">
        <v>17</v>
      </c>
      <c r="R2118" s="164" t="s">
        <v>190</v>
      </c>
      <c r="S2118" s="164" t="s">
        <v>191</v>
      </c>
      <c r="T2118" s="165">
        <v>198</v>
      </c>
      <c r="U2118" s="164" t="s">
        <v>263</v>
      </c>
      <c r="V2118" s="164" t="s">
        <v>264</v>
      </c>
      <c r="W2118" s="165">
        <v>1</v>
      </c>
      <c r="X2118" s="165">
        <v>2</v>
      </c>
      <c r="Y2118" s="164" t="s">
        <v>194</v>
      </c>
      <c r="Z2118" s="164" t="s">
        <v>195</v>
      </c>
      <c r="AA2118" s="164" t="s">
        <v>196</v>
      </c>
      <c r="AB2118" s="164" t="s">
        <v>187</v>
      </c>
      <c r="AC2118" s="164" t="s">
        <v>187</v>
      </c>
      <c r="AD2118" s="165">
        <v>1</v>
      </c>
      <c r="AE2118" s="164" t="s">
        <v>209</v>
      </c>
      <c r="AF2118" s="165">
        <v>0.19495999999999999</v>
      </c>
      <c r="AG2118" s="166">
        <v>119.90273000000001</v>
      </c>
      <c r="AO2118" s="121"/>
      <c r="AT2118" s="111"/>
      <c r="AX2118" s="121"/>
    </row>
    <row r="2119" spans="1:50" s="110" customFormat="1" ht="20" customHeight="1">
      <c r="A2119" s="125" t="s">
        <v>185</v>
      </c>
      <c r="B2119" s="126" t="s">
        <v>59</v>
      </c>
      <c r="C2119" s="127">
        <v>10913</v>
      </c>
      <c r="D2119" s="163">
        <v>101561</v>
      </c>
      <c r="E2119" s="164" t="s">
        <v>529</v>
      </c>
      <c r="F2119" s="164" t="s">
        <v>529</v>
      </c>
      <c r="G2119" s="165">
        <v>3500</v>
      </c>
      <c r="H2119" s="165">
        <v>1</v>
      </c>
      <c r="I2119" s="164" t="s">
        <v>187</v>
      </c>
      <c r="J2119" s="164" t="s">
        <v>530</v>
      </c>
      <c r="K2119" s="164" t="s">
        <v>515</v>
      </c>
      <c r="L2119" s="165">
        <v>1</v>
      </c>
      <c r="M2119" s="165">
        <v>6</v>
      </c>
      <c r="N2119" s="164" t="s">
        <v>189</v>
      </c>
      <c r="O2119" s="165">
        <v>9.0999999999999998E-2</v>
      </c>
      <c r="P2119" s="165">
        <v>9.0999999999999998E-2</v>
      </c>
      <c r="Q2119" s="165">
        <v>17</v>
      </c>
      <c r="R2119" s="164" t="s">
        <v>190</v>
      </c>
      <c r="S2119" s="164" t="s">
        <v>191</v>
      </c>
      <c r="T2119" s="165">
        <v>198</v>
      </c>
      <c r="U2119" s="164" t="s">
        <v>263</v>
      </c>
      <c r="V2119" s="164" t="s">
        <v>264</v>
      </c>
      <c r="W2119" s="165">
        <v>1</v>
      </c>
      <c r="X2119" s="165">
        <v>2</v>
      </c>
      <c r="Y2119" s="164" t="s">
        <v>194</v>
      </c>
      <c r="Z2119" s="164" t="s">
        <v>195</v>
      </c>
      <c r="AA2119" s="164" t="s">
        <v>196</v>
      </c>
      <c r="AB2119" s="164" t="s">
        <v>187</v>
      </c>
      <c r="AC2119" s="164" t="s">
        <v>187</v>
      </c>
      <c r="AD2119" s="165">
        <v>1</v>
      </c>
      <c r="AE2119" s="164" t="s">
        <v>187</v>
      </c>
      <c r="AF2119" s="165">
        <v>0.50116000000000005</v>
      </c>
      <c r="AG2119" s="166">
        <v>120.99321999999999</v>
      </c>
      <c r="AO2119" s="121"/>
      <c r="AT2119" s="111"/>
      <c r="AX2119" s="121"/>
    </row>
    <row r="2120" spans="1:50" s="110" customFormat="1" ht="20" customHeight="1">
      <c r="A2120" s="125" t="s">
        <v>185</v>
      </c>
      <c r="B2120" s="126" t="s">
        <v>59</v>
      </c>
      <c r="C2120" s="127">
        <v>10312</v>
      </c>
      <c r="D2120" s="163">
        <v>100330</v>
      </c>
      <c r="E2120" s="164" t="s">
        <v>260</v>
      </c>
      <c r="F2120" s="164" t="s">
        <v>261</v>
      </c>
      <c r="G2120" s="165">
        <v>2600</v>
      </c>
      <c r="H2120" s="165">
        <v>1</v>
      </c>
      <c r="I2120" s="164" t="s">
        <v>187</v>
      </c>
      <c r="J2120" s="164" t="s">
        <v>262</v>
      </c>
      <c r="K2120" s="164" t="s">
        <v>260</v>
      </c>
      <c r="L2120" s="165">
        <v>0</v>
      </c>
      <c r="M2120" s="165">
        <v>6</v>
      </c>
      <c r="N2120" s="164" t="s">
        <v>189</v>
      </c>
      <c r="O2120" s="165">
        <v>0</v>
      </c>
      <c r="P2120" s="165">
        <v>0</v>
      </c>
      <c r="Q2120" s="165">
        <v>17</v>
      </c>
      <c r="R2120" s="164" t="s">
        <v>190</v>
      </c>
      <c r="S2120" s="164" t="s">
        <v>191</v>
      </c>
      <c r="T2120" s="165">
        <v>198</v>
      </c>
      <c r="U2120" s="164" t="s">
        <v>263</v>
      </c>
      <c r="V2120" s="164" t="s">
        <v>264</v>
      </c>
      <c r="W2120" s="165">
        <v>1</v>
      </c>
      <c r="X2120" s="165">
        <v>2</v>
      </c>
      <c r="Y2120" s="164" t="s">
        <v>194</v>
      </c>
      <c r="Z2120" s="164" t="s">
        <v>195</v>
      </c>
      <c r="AA2120" s="164" t="s">
        <v>196</v>
      </c>
      <c r="AB2120" s="164" t="s">
        <v>187</v>
      </c>
      <c r="AC2120" s="164" t="s">
        <v>187</v>
      </c>
      <c r="AD2120" s="165">
        <v>1</v>
      </c>
      <c r="AE2120" s="164" t="s">
        <v>187</v>
      </c>
      <c r="AF2120" s="165">
        <v>-0.88263000000000003</v>
      </c>
      <c r="AG2120" s="166">
        <v>123.17591</v>
      </c>
      <c r="AO2120" s="121"/>
      <c r="AT2120" s="111"/>
      <c r="AX2120" s="121"/>
    </row>
    <row r="2121" spans="1:50" s="110" customFormat="1" ht="20" customHeight="1">
      <c r="A2121" s="125" t="s">
        <v>185</v>
      </c>
      <c r="B2121" s="126" t="s">
        <v>59</v>
      </c>
      <c r="C2121" s="127">
        <v>15200</v>
      </c>
      <c r="D2121" s="163">
        <v>109731</v>
      </c>
      <c r="E2121" s="164" t="s">
        <v>1401</v>
      </c>
      <c r="F2121" s="164" t="s">
        <v>1402</v>
      </c>
      <c r="G2121" s="165">
        <v>500</v>
      </c>
      <c r="H2121" s="165">
        <v>1</v>
      </c>
      <c r="I2121" s="164" t="s">
        <v>187</v>
      </c>
      <c r="J2121" s="164" t="s">
        <v>747</v>
      </c>
      <c r="K2121" s="164" t="s">
        <v>746</v>
      </c>
      <c r="L2121" s="165">
        <v>5</v>
      </c>
      <c r="M2121" s="165">
        <v>6</v>
      </c>
      <c r="N2121" s="164" t="s">
        <v>189</v>
      </c>
      <c r="O2121" s="165">
        <v>0</v>
      </c>
      <c r="P2121" s="165">
        <v>0</v>
      </c>
      <c r="Q2121" s="165">
        <v>17</v>
      </c>
      <c r="R2121" s="164" t="s">
        <v>190</v>
      </c>
      <c r="S2121" s="164" t="s">
        <v>191</v>
      </c>
      <c r="T2121" s="165">
        <v>198</v>
      </c>
      <c r="U2121" s="164" t="s">
        <v>263</v>
      </c>
      <c r="V2121" s="164" t="s">
        <v>264</v>
      </c>
      <c r="W2121" s="165">
        <v>1</v>
      </c>
      <c r="X2121" s="165">
        <v>2</v>
      </c>
      <c r="Y2121" s="164" t="s">
        <v>194</v>
      </c>
      <c r="Z2121" s="164" t="s">
        <v>195</v>
      </c>
      <c r="AA2121" s="164" t="s">
        <v>196</v>
      </c>
      <c r="AB2121" s="164" t="s">
        <v>187</v>
      </c>
      <c r="AC2121" s="164" t="s">
        <v>187</v>
      </c>
      <c r="AD2121" s="165">
        <v>1</v>
      </c>
      <c r="AE2121" s="164" t="s">
        <v>187</v>
      </c>
      <c r="AF2121" s="165">
        <v>-0.69123000000000001</v>
      </c>
      <c r="AG2121" s="166">
        <v>120.07023</v>
      </c>
      <c r="AO2121" s="121"/>
      <c r="AT2121" s="111"/>
      <c r="AX2121" s="121"/>
    </row>
    <row r="2122" spans="1:50" s="110" customFormat="1" ht="20" customHeight="1">
      <c r="A2122" s="125" t="s">
        <v>185</v>
      </c>
      <c r="B2122" s="126" t="s">
        <v>59</v>
      </c>
      <c r="C2122" s="127">
        <v>15562</v>
      </c>
      <c r="D2122" s="163">
        <v>110165</v>
      </c>
      <c r="E2122" s="164" t="s">
        <v>1466</v>
      </c>
      <c r="F2122" s="164" t="s">
        <v>1466</v>
      </c>
      <c r="G2122" s="165">
        <v>500</v>
      </c>
      <c r="H2122" s="165">
        <v>1</v>
      </c>
      <c r="I2122" s="164" t="s">
        <v>187</v>
      </c>
      <c r="J2122" s="164" t="s">
        <v>1467</v>
      </c>
      <c r="K2122" s="164" t="s">
        <v>1466</v>
      </c>
      <c r="L2122" s="165">
        <v>0</v>
      </c>
      <c r="M2122" s="165">
        <v>6</v>
      </c>
      <c r="N2122" s="164" t="s">
        <v>189</v>
      </c>
      <c r="O2122" s="165">
        <v>0</v>
      </c>
      <c r="P2122" s="165">
        <v>0</v>
      </c>
      <c r="Q2122" s="165">
        <v>17</v>
      </c>
      <c r="R2122" s="164" t="s">
        <v>190</v>
      </c>
      <c r="S2122" s="164" t="s">
        <v>191</v>
      </c>
      <c r="T2122" s="165">
        <v>198</v>
      </c>
      <c r="U2122" s="164" t="s">
        <v>263</v>
      </c>
      <c r="V2122" s="164" t="s">
        <v>264</v>
      </c>
      <c r="W2122" s="165">
        <v>1</v>
      </c>
      <c r="X2122" s="165">
        <v>2</v>
      </c>
      <c r="Y2122" s="164" t="s">
        <v>194</v>
      </c>
      <c r="Z2122" s="164" t="s">
        <v>195</v>
      </c>
      <c r="AA2122" s="164" t="s">
        <v>196</v>
      </c>
      <c r="AB2122" s="164" t="s">
        <v>187</v>
      </c>
      <c r="AC2122" s="164" t="s">
        <v>187</v>
      </c>
      <c r="AD2122" s="165">
        <v>1</v>
      </c>
      <c r="AE2122" s="164" t="s">
        <v>187</v>
      </c>
      <c r="AF2122" s="165">
        <v>-2.0670200000729402</v>
      </c>
      <c r="AG2122" s="166">
        <v>119.313839999716</v>
      </c>
      <c r="AO2122" s="121"/>
      <c r="AT2122" s="111"/>
      <c r="AX2122" s="121"/>
    </row>
    <row r="2123" spans="1:50" s="110" customFormat="1" ht="20" customHeight="1">
      <c r="A2123" s="125" t="s">
        <v>185</v>
      </c>
      <c r="B2123" s="126" t="s">
        <v>59</v>
      </c>
      <c r="C2123" s="127">
        <v>10681</v>
      </c>
      <c r="D2123" s="163">
        <v>101044</v>
      </c>
      <c r="E2123" s="164" t="s">
        <v>422</v>
      </c>
      <c r="F2123" s="164" t="s">
        <v>422</v>
      </c>
      <c r="G2123" s="165">
        <v>400</v>
      </c>
      <c r="H2123" s="165">
        <v>1</v>
      </c>
      <c r="I2123" s="164" t="s">
        <v>187</v>
      </c>
      <c r="J2123" s="164" t="s">
        <v>423</v>
      </c>
      <c r="K2123" s="164" t="s">
        <v>422</v>
      </c>
      <c r="L2123" s="165">
        <v>3</v>
      </c>
      <c r="M2123" s="165">
        <v>6</v>
      </c>
      <c r="N2123" s="164" t="s">
        <v>189</v>
      </c>
      <c r="O2123" s="165">
        <v>0</v>
      </c>
      <c r="P2123" s="165">
        <v>0</v>
      </c>
      <c r="Q2123" s="165">
        <v>17</v>
      </c>
      <c r="R2123" s="164" t="s">
        <v>190</v>
      </c>
      <c r="S2123" s="164" t="s">
        <v>191</v>
      </c>
      <c r="T2123" s="165">
        <v>198</v>
      </c>
      <c r="U2123" s="164" t="s">
        <v>263</v>
      </c>
      <c r="V2123" s="164" t="s">
        <v>264</v>
      </c>
      <c r="W2123" s="165">
        <v>1</v>
      </c>
      <c r="X2123" s="165">
        <v>2</v>
      </c>
      <c r="Y2123" s="164" t="s">
        <v>194</v>
      </c>
      <c r="Z2123" s="164" t="s">
        <v>195</v>
      </c>
      <c r="AA2123" s="164" t="s">
        <v>196</v>
      </c>
      <c r="AB2123" s="164" t="s">
        <v>187</v>
      </c>
      <c r="AC2123" s="164" t="s">
        <v>187</v>
      </c>
      <c r="AD2123" s="165">
        <v>1</v>
      </c>
      <c r="AE2123" s="164" t="s">
        <v>187</v>
      </c>
      <c r="AF2123" s="165">
        <v>-1.5652299999999999</v>
      </c>
      <c r="AG2123" s="166">
        <v>119.34186</v>
      </c>
      <c r="AO2123" s="121"/>
      <c r="AT2123" s="111"/>
      <c r="AX2123" s="121"/>
    </row>
    <row r="2124" spans="1:50" s="110" customFormat="1" ht="20" customHeight="1">
      <c r="A2124" s="125" t="s">
        <v>185</v>
      </c>
      <c r="B2124" s="126" t="s">
        <v>59</v>
      </c>
      <c r="C2124" s="127">
        <v>15167</v>
      </c>
      <c r="D2124" s="157">
        <v>109682</v>
      </c>
      <c r="E2124" s="158" t="s">
        <v>1406</v>
      </c>
      <c r="F2124" s="158" t="s">
        <v>1407</v>
      </c>
      <c r="G2124" s="159">
        <v>12000</v>
      </c>
      <c r="H2124" s="159">
        <v>2</v>
      </c>
      <c r="I2124" s="158" t="s">
        <v>209</v>
      </c>
      <c r="J2124" s="158" t="s">
        <v>1408</v>
      </c>
      <c r="K2124" s="158" t="s">
        <v>1406</v>
      </c>
      <c r="L2124" s="159">
        <v>3</v>
      </c>
      <c r="M2124" s="159">
        <v>6</v>
      </c>
      <c r="N2124" s="158" t="s">
        <v>189</v>
      </c>
      <c r="O2124" s="159">
        <v>12</v>
      </c>
      <c r="P2124" s="159">
        <v>2</v>
      </c>
      <c r="Q2124" s="159">
        <v>17</v>
      </c>
      <c r="R2124" s="158" t="s">
        <v>190</v>
      </c>
      <c r="S2124" s="158" t="s">
        <v>191</v>
      </c>
      <c r="T2124" s="159">
        <v>198</v>
      </c>
      <c r="U2124" s="158" t="s">
        <v>263</v>
      </c>
      <c r="V2124" s="158" t="s">
        <v>264</v>
      </c>
      <c r="W2124" s="159">
        <v>1</v>
      </c>
      <c r="X2124" s="159">
        <v>2</v>
      </c>
      <c r="Y2124" s="158" t="s">
        <v>194</v>
      </c>
      <c r="Z2124" s="158" t="s">
        <v>195</v>
      </c>
      <c r="AA2124" s="158" t="s">
        <v>196</v>
      </c>
      <c r="AB2124" s="158" t="s">
        <v>187</v>
      </c>
      <c r="AC2124" s="158" t="s">
        <v>187</v>
      </c>
      <c r="AD2124" s="160"/>
      <c r="AE2124" s="158" t="s">
        <v>209</v>
      </c>
      <c r="AF2124" s="159">
        <v>-0.10549</v>
      </c>
      <c r="AG2124" s="161">
        <v>120.00893000000001</v>
      </c>
      <c r="AO2124" s="121"/>
      <c r="AT2124" s="111"/>
      <c r="AX2124" s="121"/>
    </row>
    <row r="2125" spans="1:50" s="110" customFormat="1" ht="20" customHeight="1">
      <c r="A2125" s="125" t="s">
        <v>185</v>
      </c>
      <c r="B2125" s="126" t="s">
        <v>59</v>
      </c>
      <c r="C2125" s="127">
        <v>14665</v>
      </c>
      <c r="D2125" s="157">
        <v>108558</v>
      </c>
      <c r="E2125" s="158" t="s">
        <v>1322</v>
      </c>
      <c r="F2125" s="158" t="s">
        <v>1322</v>
      </c>
      <c r="G2125" s="159">
        <v>2800</v>
      </c>
      <c r="H2125" s="159">
        <v>2</v>
      </c>
      <c r="I2125" s="158" t="s">
        <v>209</v>
      </c>
      <c r="J2125" s="158" t="s">
        <v>1320</v>
      </c>
      <c r="K2125" s="158" t="s">
        <v>1321</v>
      </c>
      <c r="L2125" s="159">
        <v>5</v>
      </c>
      <c r="M2125" s="159">
        <v>6</v>
      </c>
      <c r="N2125" s="158" t="s">
        <v>189</v>
      </c>
      <c r="O2125" s="159">
        <v>15</v>
      </c>
      <c r="P2125" s="159">
        <v>0.1</v>
      </c>
      <c r="Q2125" s="159">
        <v>17</v>
      </c>
      <c r="R2125" s="158" t="s">
        <v>190</v>
      </c>
      <c r="S2125" s="158" t="s">
        <v>191</v>
      </c>
      <c r="T2125" s="159">
        <v>198</v>
      </c>
      <c r="U2125" s="158" t="s">
        <v>263</v>
      </c>
      <c r="V2125" s="158" t="s">
        <v>264</v>
      </c>
      <c r="W2125" s="159">
        <v>1</v>
      </c>
      <c r="X2125" s="159">
        <v>2</v>
      </c>
      <c r="Y2125" s="158" t="s">
        <v>194</v>
      </c>
      <c r="Z2125" s="158" t="s">
        <v>195</v>
      </c>
      <c r="AA2125" s="158" t="s">
        <v>196</v>
      </c>
      <c r="AB2125" s="158" t="s">
        <v>187</v>
      </c>
      <c r="AC2125" s="158" t="s">
        <v>187</v>
      </c>
      <c r="AD2125" s="160"/>
      <c r="AE2125" s="158" t="s">
        <v>209</v>
      </c>
      <c r="AF2125" s="159">
        <v>-2.7480000001998501</v>
      </c>
      <c r="AG2125" s="161">
        <v>121.2999999996</v>
      </c>
      <c r="AO2125" s="121"/>
      <c r="AT2125" s="111"/>
      <c r="AX2125" s="121"/>
    </row>
    <row r="2126" spans="1:50" s="110" customFormat="1" ht="20" customHeight="1">
      <c r="A2126" s="125" t="s">
        <v>185</v>
      </c>
      <c r="B2126" s="126" t="s">
        <v>59</v>
      </c>
      <c r="C2126" s="127">
        <v>12976</v>
      </c>
      <c r="D2126" s="163">
        <v>105625</v>
      </c>
      <c r="E2126" s="164" t="s">
        <v>976</v>
      </c>
      <c r="F2126" s="164" t="s">
        <v>976</v>
      </c>
      <c r="G2126" s="165">
        <v>561000</v>
      </c>
      <c r="H2126" s="165">
        <v>1</v>
      </c>
      <c r="I2126" s="164" t="s">
        <v>187</v>
      </c>
      <c r="J2126" s="164" t="s">
        <v>616</v>
      </c>
      <c r="K2126" s="164" t="s">
        <v>617</v>
      </c>
      <c r="L2126" s="165">
        <v>4</v>
      </c>
      <c r="M2126" s="165">
        <v>6</v>
      </c>
      <c r="N2126" s="164" t="s">
        <v>189</v>
      </c>
      <c r="O2126" s="165">
        <v>0.1</v>
      </c>
      <c r="P2126" s="165">
        <v>4.0000000000000001E-3</v>
      </c>
      <c r="Q2126" s="165">
        <v>17</v>
      </c>
      <c r="R2126" s="164" t="s">
        <v>190</v>
      </c>
      <c r="S2126" s="164" t="s">
        <v>191</v>
      </c>
      <c r="T2126" s="165">
        <v>209</v>
      </c>
      <c r="U2126" s="164" t="s">
        <v>618</v>
      </c>
      <c r="V2126" s="164" t="s">
        <v>619</v>
      </c>
      <c r="W2126" s="165">
        <v>1</v>
      </c>
      <c r="X2126" s="165">
        <v>2</v>
      </c>
      <c r="Y2126" s="164" t="s">
        <v>194</v>
      </c>
      <c r="Z2126" s="164" t="s">
        <v>195</v>
      </c>
      <c r="AA2126" s="164" t="s">
        <v>196</v>
      </c>
      <c r="AB2126" s="164" t="s">
        <v>187</v>
      </c>
      <c r="AC2126" s="164" t="s">
        <v>187</v>
      </c>
      <c r="AD2126" s="165">
        <v>11</v>
      </c>
      <c r="AE2126" s="164" t="s">
        <v>187</v>
      </c>
      <c r="AF2126" s="165">
        <v>-5.7044641601928596</v>
      </c>
      <c r="AG2126" s="166">
        <v>105.734115900728</v>
      </c>
      <c r="AO2126" s="121"/>
      <c r="AT2126" s="111"/>
      <c r="AX2126" s="121"/>
    </row>
    <row r="2127" spans="1:50" s="110" customFormat="1" ht="20" customHeight="1">
      <c r="A2127" s="125" t="s">
        <v>185</v>
      </c>
      <c r="B2127" s="126" t="s">
        <v>59</v>
      </c>
      <c r="C2127" s="127">
        <v>12761</v>
      </c>
      <c r="D2127" s="163">
        <v>105149</v>
      </c>
      <c r="E2127" s="164" t="s">
        <v>905</v>
      </c>
      <c r="F2127" s="164" t="s">
        <v>905</v>
      </c>
      <c r="G2127" s="165">
        <v>510000</v>
      </c>
      <c r="H2127" s="165">
        <v>1</v>
      </c>
      <c r="I2127" s="164" t="s">
        <v>187</v>
      </c>
      <c r="J2127" s="164" t="s">
        <v>904</v>
      </c>
      <c r="K2127" s="164" t="s">
        <v>905</v>
      </c>
      <c r="L2127" s="165">
        <v>3</v>
      </c>
      <c r="M2127" s="165">
        <v>6</v>
      </c>
      <c r="N2127" s="164" t="s">
        <v>189</v>
      </c>
      <c r="O2127" s="165">
        <v>0.06</v>
      </c>
      <c r="P2127" s="165">
        <v>1.7999999999999999E-2</v>
      </c>
      <c r="Q2127" s="165">
        <v>17</v>
      </c>
      <c r="R2127" s="164" t="s">
        <v>190</v>
      </c>
      <c r="S2127" s="164" t="s">
        <v>191</v>
      </c>
      <c r="T2127" s="165">
        <v>209</v>
      </c>
      <c r="U2127" s="164" t="s">
        <v>618</v>
      </c>
      <c r="V2127" s="164" t="s">
        <v>619</v>
      </c>
      <c r="W2127" s="165">
        <v>1</v>
      </c>
      <c r="X2127" s="165">
        <v>2</v>
      </c>
      <c r="Y2127" s="164" t="s">
        <v>194</v>
      </c>
      <c r="Z2127" s="164" t="s">
        <v>195</v>
      </c>
      <c r="AA2127" s="164" t="s">
        <v>196</v>
      </c>
      <c r="AB2127" s="164" t="s">
        <v>187</v>
      </c>
      <c r="AC2127" s="164" t="s">
        <v>187</v>
      </c>
      <c r="AD2127" s="165">
        <v>10</v>
      </c>
      <c r="AE2127" s="164" t="s">
        <v>187</v>
      </c>
      <c r="AF2127" s="165">
        <v>-4.08527883265202</v>
      </c>
      <c r="AG2127" s="166">
        <v>104.46300795865</v>
      </c>
      <c r="AO2127" s="121"/>
      <c r="AT2127" s="111"/>
      <c r="AX2127" s="121"/>
    </row>
    <row r="2128" spans="1:50" s="110" customFormat="1" ht="20" customHeight="1">
      <c r="A2128" s="125" t="s">
        <v>185</v>
      </c>
      <c r="B2128" s="126" t="s">
        <v>59</v>
      </c>
      <c r="C2128" s="127">
        <v>10140</v>
      </c>
      <c r="D2128" s="163">
        <v>100031</v>
      </c>
      <c r="E2128" s="164" t="s">
        <v>973</v>
      </c>
      <c r="F2128" s="164" t="s">
        <v>973</v>
      </c>
      <c r="G2128" s="165">
        <v>204000</v>
      </c>
      <c r="H2128" s="165">
        <v>1</v>
      </c>
      <c r="I2128" s="164" t="s">
        <v>187</v>
      </c>
      <c r="J2128" s="164" t="s">
        <v>974</v>
      </c>
      <c r="K2128" s="164" t="s">
        <v>975</v>
      </c>
      <c r="L2128" s="165">
        <v>3</v>
      </c>
      <c r="M2128" s="165">
        <v>6</v>
      </c>
      <c r="N2128" s="164" t="s">
        <v>189</v>
      </c>
      <c r="O2128" s="165">
        <v>8.9999999999999993E-3</v>
      </c>
      <c r="P2128" s="165">
        <v>8.9999999999999993E-3</v>
      </c>
      <c r="Q2128" s="165">
        <v>17</v>
      </c>
      <c r="R2128" s="164" t="s">
        <v>190</v>
      </c>
      <c r="S2128" s="164" t="s">
        <v>191</v>
      </c>
      <c r="T2128" s="165">
        <v>209</v>
      </c>
      <c r="U2128" s="164" t="s">
        <v>618</v>
      </c>
      <c r="V2128" s="164" t="s">
        <v>619</v>
      </c>
      <c r="W2128" s="165">
        <v>1</v>
      </c>
      <c r="X2128" s="165">
        <v>2</v>
      </c>
      <c r="Y2128" s="164" t="s">
        <v>194</v>
      </c>
      <c r="Z2128" s="164" t="s">
        <v>195</v>
      </c>
      <c r="AA2128" s="164" t="s">
        <v>196</v>
      </c>
      <c r="AB2128" s="164" t="s">
        <v>187</v>
      </c>
      <c r="AC2128" s="164" t="s">
        <v>187</v>
      </c>
      <c r="AD2128" s="165">
        <v>4</v>
      </c>
      <c r="AE2128" s="164" t="s">
        <v>187</v>
      </c>
      <c r="AF2128" s="165">
        <v>-4.5909199999999997</v>
      </c>
      <c r="AG2128" s="166">
        <v>105.26235</v>
      </c>
      <c r="AO2128" s="121"/>
      <c r="AT2128" s="111"/>
      <c r="AX2128" s="121"/>
    </row>
    <row r="2129" spans="1:50" s="110" customFormat="1" ht="20" customHeight="1">
      <c r="A2129" s="125" t="s">
        <v>185</v>
      </c>
      <c r="B2129" s="126" t="s">
        <v>59</v>
      </c>
      <c r="C2129" s="127">
        <v>14465</v>
      </c>
      <c r="D2129" s="163">
        <v>108155</v>
      </c>
      <c r="E2129" s="164" t="s">
        <v>977</v>
      </c>
      <c r="F2129" s="164" t="s">
        <v>977</v>
      </c>
      <c r="G2129" s="165">
        <v>112000</v>
      </c>
      <c r="H2129" s="165">
        <v>1</v>
      </c>
      <c r="I2129" s="164" t="s">
        <v>187</v>
      </c>
      <c r="J2129" s="164" t="s">
        <v>616</v>
      </c>
      <c r="K2129" s="164" t="s">
        <v>617</v>
      </c>
      <c r="L2129" s="165">
        <v>4</v>
      </c>
      <c r="M2129" s="165">
        <v>6</v>
      </c>
      <c r="N2129" s="164" t="s">
        <v>189</v>
      </c>
      <c r="O2129" s="165">
        <v>1.6E-2</v>
      </c>
      <c r="P2129" s="165">
        <v>1.6E-2</v>
      </c>
      <c r="Q2129" s="165">
        <v>17</v>
      </c>
      <c r="R2129" s="164" t="s">
        <v>190</v>
      </c>
      <c r="S2129" s="164" t="s">
        <v>191</v>
      </c>
      <c r="T2129" s="165">
        <v>209</v>
      </c>
      <c r="U2129" s="164" t="s">
        <v>618</v>
      </c>
      <c r="V2129" s="164" t="s">
        <v>619</v>
      </c>
      <c r="W2129" s="165">
        <v>1</v>
      </c>
      <c r="X2129" s="165">
        <v>2</v>
      </c>
      <c r="Y2129" s="164" t="s">
        <v>194</v>
      </c>
      <c r="Z2129" s="164" t="s">
        <v>195</v>
      </c>
      <c r="AA2129" s="164" t="s">
        <v>196</v>
      </c>
      <c r="AB2129" s="164" t="s">
        <v>187</v>
      </c>
      <c r="AC2129" s="164" t="s">
        <v>187</v>
      </c>
      <c r="AD2129" s="165">
        <v>2</v>
      </c>
      <c r="AE2129" s="164" t="s">
        <v>187</v>
      </c>
      <c r="AF2129" s="165">
        <v>-5.2212084576042299</v>
      </c>
      <c r="AG2129" s="166">
        <v>105.16552687466501</v>
      </c>
      <c r="AO2129" s="121"/>
      <c r="AT2129" s="111"/>
      <c r="AX2129" s="121"/>
    </row>
    <row r="2130" spans="1:50" s="110" customFormat="1" ht="20" customHeight="1">
      <c r="A2130" s="125" t="s">
        <v>185</v>
      </c>
      <c r="B2130" s="126" t="s">
        <v>59</v>
      </c>
      <c r="C2130" s="127">
        <v>15124</v>
      </c>
      <c r="D2130" s="163">
        <v>109608</v>
      </c>
      <c r="E2130" s="164" t="s">
        <v>978</v>
      </c>
      <c r="F2130" s="164" t="s">
        <v>978</v>
      </c>
      <c r="G2130" s="165">
        <v>102000</v>
      </c>
      <c r="H2130" s="165">
        <v>1</v>
      </c>
      <c r="I2130" s="164" t="s">
        <v>187</v>
      </c>
      <c r="J2130" s="164" t="s">
        <v>616</v>
      </c>
      <c r="K2130" s="164" t="s">
        <v>617</v>
      </c>
      <c r="L2130" s="165">
        <v>4</v>
      </c>
      <c r="M2130" s="165">
        <v>6</v>
      </c>
      <c r="N2130" s="164" t="s">
        <v>189</v>
      </c>
      <c r="O2130" s="165">
        <v>0.5</v>
      </c>
      <c r="P2130" s="165">
        <v>0</v>
      </c>
      <c r="Q2130" s="165">
        <v>17</v>
      </c>
      <c r="R2130" s="164" t="s">
        <v>190</v>
      </c>
      <c r="S2130" s="164" t="s">
        <v>191</v>
      </c>
      <c r="T2130" s="165">
        <v>209</v>
      </c>
      <c r="U2130" s="164" t="s">
        <v>618</v>
      </c>
      <c r="V2130" s="164" t="s">
        <v>619</v>
      </c>
      <c r="W2130" s="165">
        <v>1</v>
      </c>
      <c r="X2130" s="165">
        <v>2</v>
      </c>
      <c r="Y2130" s="164" t="s">
        <v>194</v>
      </c>
      <c r="Z2130" s="164" t="s">
        <v>195</v>
      </c>
      <c r="AA2130" s="164" t="s">
        <v>196</v>
      </c>
      <c r="AB2130" s="164" t="s">
        <v>187</v>
      </c>
      <c r="AC2130" s="164" t="s">
        <v>187</v>
      </c>
      <c r="AD2130" s="165">
        <v>2</v>
      </c>
      <c r="AE2130" s="164" t="s">
        <v>209</v>
      </c>
      <c r="AF2130" s="165">
        <v>-5.7346300000000001</v>
      </c>
      <c r="AG2130" s="166">
        <v>105.03657</v>
      </c>
      <c r="AO2130" s="121"/>
      <c r="AT2130" s="111"/>
      <c r="AX2130" s="121"/>
    </row>
    <row r="2131" spans="1:50" s="110" customFormat="1" ht="20" customHeight="1">
      <c r="A2131" s="125" t="s">
        <v>185</v>
      </c>
      <c r="B2131" s="126" t="s">
        <v>59</v>
      </c>
      <c r="C2131" s="127">
        <v>11516</v>
      </c>
      <c r="D2131" s="163">
        <v>102481</v>
      </c>
      <c r="E2131" s="164" t="s">
        <v>615</v>
      </c>
      <c r="F2131" s="164" t="s">
        <v>615</v>
      </c>
      <c r="G2131" s="165">
        <v>92000</v>
      </c>
      <c r="H2131" s="165">
        <v>1</v>
      </c>
      <c r="I2131" s="164" t="s">
        <v>187</v>
      </c>
      <c r="J2131" s="164" t="s">
        <v>616</v>
      </c>
      <c r="K2131" s="164" t="s">
        <v>617</v>
      </c>
      <c r="L2131" s="165">
        <v>4</v>
      </c>
      <c r="M2131" s="165">
        <v>6</v>
      </c>
      <c r="N2131" s="164" t="s">
        <v>189</v>
      </c>
      <c r="O2131" s="165">
        <v>0.02</v>
      </c>
      <c r="P2131" s="165">
        <v>0.01</v>
      </c>
      <c r="Q2131" s="165">
        <v>17</v>
      </c>
      <c r="R2131" s="164" t="s">
        <v>190</v>
      </c>
      <c r="S2131" s="164" t="s">
        <v>191</v>
      </c>
      <c r="T2131" s="165">
        <v>209</v>
      </c>
      <c r="U2131" s="164" t="s">
        <v>618</v>
      </c>
      <c r="V2131" s="164" t="s">
        <v>619</v>
      </c>
      <c r="W2131" s="165">
        <v>1</v>
      </c>
      <c r="X2131" s="165">
        <v>2</v>
      </c>
      <c r="Y2131" s="164" t="s">
        <v>194</v>
      </c>
      <c r="Z2131" s="164" t="s">
        <v>195</v>
      </c>
      <c r="AA2131" s="164" t="s">
        <v>196</v>
      </c>
      <c r="AB2131" s="164" t="s">
        <v>187</v>
      </c>
      <c r="AC2131" s="164" t="s">
        <v>187</v>
      </c>
      <c r="AD2131" s="165">
        <v>2</v>
      </c>
      <c r="AE2131" s="164" t="s">
        <v>187</v>
      </c>
      <c r="AF2131" s="165">
        <v>-4.5155937612431103</v>
      </c>
      <c r="AG2131" s="166">
        <v>104.074354459291</v>
      </c>
      <c r="AO2131" s="121"/>
      <c r="AT2131" s="111"/>
      <c r="AX2131" s="121"/>
    </row>
    <row r="2132" spans="1:50" s="110" customFormat="1" ht="20" customHeight="1">
      <c r="A2132" s="125" t="s">
        <v>185</v>
      </c>
      <c r="B2132" s="126" t="s">
        <v>59</v>
      </c>
      <c r="C2132" s="127">
        <v>14518</v>
      </c>
      <c r="D2132" s="163">
        <v>108294</v>
      </c>
      <c r="E2132" s="164" t="s">
        <v>1291</v>
      </c>
      <c r="F2132" s="164" t="s">
        <v>1291</v>
      </c>
      <c r="G2132" s="165">
        <v>67000</v>
      </c>
      <c r="H2132" s="165">
        <v>1</v>
      </c>
      <c r="I2132" s="164" t="s">
        <v>187</v>
      </c>
      <c r="J2132" s="164" t="s">
        <v>616</v>
      </c>
      <c r="K2132" s="164" t="s">
        <v>617</v>
      </c>
      <c r="L2132" s="165">
        <v>4</v>
      </c>
      <c r="M2132" s="165">
        <v>6</v>
      </c>
      <c r="N2132" s="164" t="s">
        <v>189</v>
      </c>
      <c r="O2132" s="165">
        <v>0.05</v>
      </c>
      <c r="P2132" s="165">
        <v>0</v>
      </c>
      <c r="Q2132" s="165">
        <v>17</v>
      </c>
      <c r="R2132" s="164" t="s">
        <v>190</v>
      </c>
      <c r="S2132" s="164" t="s">
        <v>191</v>
      </c>
      <c r="T2132" s="165">
        <v>209</v>
      </c>
      <c r="U2132" s="164" t="s">
        <v>618</v>
      </c>
      <c r="V2132" s="164" t="s">
        <v>619</v>
      </c>
      <c r="W2132" s="165">
        <v>1</v>
      </c>
      <c r="X2132" s="165">
        <v>2</v>
      </c>
      <c r="Y2132" s="164" t="s">
        <v>194</v>
      </c>
      <c r="Z2132" s="164" t="s">
        <v>195</v>
      </c>
      <c r="AA2132" s="164" t="s">
        <v>196</v>
      </c>
      <c r="AB2132" s="164" t="s">
        <v>187</v>
      </c>
      <c r="AC2132" s="164" t="s">
        <v>187</v>
      </c>
      <c r="AD2132" s="165">
        <v>1</v>
      </c>
      <c r="AE2132" s="164" t="s">
        <v>187</v>
      </c>
      <c r="AF2132" s="165">
        <v>-4.7212900001334202</v>
      </c>
      <c r="AG2132" s="166">
        <v>104.032490000013</v>
      </c>
      <c r="AO2132" s="121"/>
      <c r="AT2132" s="111"/>
      <c r="AX2132" s="121"/>
    </row>
    <row r="2133" spans="1:50" s="110" customFormat="1" ht="20" customHeight="1">
      <c r="A2133" s="125" t="s">
        <v>185</v>
      </c>
      <c r="B2133" s="126" t="s">
        <v>59</v>
      </c>
      <c r="C2133" s="127">
        <v>20287</v>
      </c>
      <c r="D2133" s="163">
        <v>116017</v>
      </c>
      <c r="E2133" s="164" t="s">
        <v>979</v>
      </c>
      <c r="F2133" s="164" t="s">
        <v>979</v>
      </c>
      <c r="G2133" s="165">
        <v>45000</v>
      </c>
      <c r="H2133" s="165">
        <v>1</v>
      </c>
      <c r="I2133" s="164" t="s">
        <v>187</v>
      </c>
      <c r="J2133" s="164" t="s">
        <v>616</v>
      </c>
      <c r="K2133" s="164" t="s">
        <v>617</v>
      </c>
      <c r="L2133" s="165">
        <v>4</v>
      </c>
      <c r="M2133" s="165">
        <v>6</v>
      </c>
      <c r="N2133" s="164" t="s">
        <v>189</v>
      </c>
      <c r="O2133" s="165">
        <v>0</v>
      </c>
      <c r="P2133" s="165">
        <v>0</v>
      </c>
      <c r="Q2133" s="165">
        <v>17</v>
      </c>
      <c r="R2133" s="164" t="s">
        <v>190</v>
      </c>
      <c r="S2133" s="164" t="s">
        <v>191</v>
      </c>
      <c r="T2133" s="165">
        <v>209</v>
      </c>
      <c r="U2133" s="164" t="s">
        <v>618</v>
      </c>
      <c r="V2133" s="164" t="s">
        <v>619</v>
      </c>
      <c r="W2133" s="165">
        <v>1</v>
      </c>
      <c r="X2133" s="165">
        <v>2</v>
      </c>
      <c r="Y2133" s="164" t="s">
        <v>194</v>
      </c>
      <c r="Z2133" s="164" t="s">
        <v>195</v>
      </c>
      <c r="AA2133" s="164" t="s">
        <v>196</v>
      </c>
      <c r="AB2133" s="164" t="s">
        <v>187</v>
      </c>
      <c r="AC2133" s="164" t="s">
        <v>187</v>
      </c>
      <c r="AD2133" s="165">
        <v>1</v>
      </c>
      <c r="AE2133" s="164" t="s">
        <v>187</v>
      </c>
      <c r="AF2133" s="165">
        <v>-4.470237</v>
      </c>
      <c r="AG2133" s="166">
        <v>104.665738</v>
      </c>
      <c r="AO2133" s="121"/>
      <c r="AT2133" s="111"/>
      <c r="AX2133" s="121"/>
    </row>
    <row r="2134" spans="1:50" s="110" customFormat="1" ht="20" customHeight="1">
      <c r="A2134" s="125" t="s">
        <v>185</v>
      </c>
      <c r="B2134" s="126" t="s">
        <v>59</v>
      </c>
      <c r="C2134" s="127">
        <v>12597</v>
      </c>
      <c r="D2134" s="163">
        <v>104789</v>
      </c>
      <c r="E2134" s="164" t="s">
        <v>903</v>
      </c>
      <c r="F2134" s="164" t="s">
        <v>903</v>
      </c>
      <c r="G2134" s="165">
        <v>23000</v>
      </c>
      <c r="H2134" s="165">
        <v>1</v>
      </c>
      <c r="I2134" s="164" t="s">
        <v>187</v>
      </c>
      <c r="J2134" s="164" t="s">
        <v>904</v>
      </c>
      <c r="K2134" s="164" t="s">
        <v>905</v>
      </c>
      <c r="L2134" s="165">
        <v>3</v>
      </c>
      <c r="M2134" s="165">
        <v>6</v>
      </c>
      <c r="N2134" s="164" t="s">
        <v>189</v>
      </c>
      <c r="O2134" s="165">
        <v>0.1</v>
      </c>
      <c r="P2134" s="165">
        <v>1.7000000000000001E-2</v>
      </c>
      <c r="Q2134" s="165">
        <v>17</v>
      </c>
      <c r="R2134" s="164" t="s">
        <v>190</v>
      </c>
      <c r="S2134" s="164" t="s">
        <v>191</v>
      </c>
      <c r="T2134" s="165">
        <v>209</v>
      </c>
      <c r="U2134" s="164" t="s">
        <v>618</v>
      </c>
      <c r="V2134" s="164" t="s">
        <v>619</v>
      </c>
      <c r="W2134" s="165">
        <v>1</v>
      </c>
      <c r="X2134" s="165">
        <v>2</v>
      </c>
      <c r="Y2134" s="164" t="s">
        <v>194</v>
      </c>
      <c r="Z2134" s="164" t="s">
        <v>195</v>
      </c>
      <c r="AA2134" s="164" t="s">
        <v>196</v>
      </c>
      <c r="AB2134" s="164" t="s">
        <v>187</v>
      </c>
      <c r="AC2134" s="164" t="s">
        <v>187</v>
      </c>
      <c r="AD2134" s="165">
        <v>1</v>
      </c>
      <c r="AE2134" s="164" t="s">
        <v>187</v>
      </c>
      <c r="AF2134" s="165">
        <v>-3.4022504997607799</v>
      </c>
      <c r="AG2134" s="166">
        <v>104.890151750003</v>
      </c>
      <c r="AO2134" s="121"/>
      <c r="AT2134" s="111"/>
      <c r="AX2134" s="121"/>
    </row>
    <row r="2135" spans="1:50" s="110" customFormat="1" ht="20" customHeight="1">
      <c r="A2135" s="125" t="s">
        <v>185</v>
      </c>
      <c r="B2135" s="126" t="s">
        <v>59</v>
      </c>
      <c r="C2135" s="127">
        <v>13199</v>
      </c>
      <c r="D2135" s="163">
        <v>105999</v>
      </c>
      <c r="E2135" s="164" t="s">
        <v>442</v>
      </c>
      <c r="F2135" s="164" t="s">
        <v>442</v>
      </c>
      <c r="G2135" s="165">
        <v>7490000</v>
      </c>
      <c r="H2135" s="165">
        <v>1</v>
      </c>
      <c r="I2135" s="164" t="s">
        <v>187</v>
      </c>
      <c r="J2135" s="164" t="s">
        <v>441</v>
      </c>
      <c r="K2135" s="164" t="s">
        <v>442</v>
      </c>
      <c r="L2135" s="165">
        <v>5</v>
      </c>
      <c r="M2135" s="165">
        <v>6</v>
      </c>
      <c r="N2135" s="164" t="s">
        <v>189</v>
      </c>
      <c r="O2135" s="165">
        <v>0.11</v>
      </c>
      <c r="P2135" s="165">
        <v>1.2E-2</v>
      </c>
      <c r="Q2135" s="165">
        <v>17</v>
      </c>
      <c r="R2135" s="164" t="s">
        <v>190</v>
      </c>
      <c r="S2135" s="164" t="s">
        <v>191</v>
      </c>
      <c r="T2135" s="165">
        <v>213</v>
      </c>
      <c r="U2135" s="164" t="s">
        <v>443</v>
      </c>
      <c r="V2135" s="164" t="s">
        <v>444</v>
      </c>
      <c r="W2135" s="165">
        <v>1</v>
      </c>
      <c r="X2135" s="165">
        <v>2</v>
      </c>
      <c r="Y2135" s="164" t="s">
        <v>194</v>
      </c>
      <c r="Z2135" s="164" t="s">
        <v>195</v>
      </c>
      <c r="AA2135" s="164" t="s">
        <v>196</v>
      </c>
      <c r="AB2135" s="164" t="s">
        <v>187</v>
      </c>
      <c r="AC2135" s="164" t="s">
        <v>187</v>
      </c>
      <c r="AD2135" s="165">
        <v>150</v>
      </c>
      <c r="AE2135" s="164" t="s">
        <v>209</v>
      </c>
      <c r="AF2135" s="165">
        <v>-7.5385948455756902</v>
      </c>
      <c r="AG2135" s="166">
        <v>112.232494497323</v>
      </c>
      <c r="AO2135" s="121"/>
      <c r="AT2135" s="111"/>
      <c r="AX2135" s="121"/>
    </row>
    <row r="2136" spans="1:50" s="110" customFormat="1" ht="20" customHeight="1">
      <c r="A2136" s="125" t="s">
        <v>185</v>
      </c>
      <c r="B2136" s="126" t="s">
        <v>59</v>
      </c>
      <c r="C2136" s="127">
        <v>18746</v>
      </c>
      <c r="D2136" s="163">
        <v>114384</v>
      </c>
      <c r="E2136" s="164" t="s">
        <v>889</v>
      </c>
      <c r="F2136" s="164" t="s">
        <v>889</v>
      </c>
      <c r="G2136" s="165">
        <v>122000</v>
      </c>
      <c r="H2136" s="165">
        <v>1</v>
      </c>
      <c r="I2136" s="164" t="s">
        <v>187</v>
      </c>
      <c r="J2136" s="164" t="s">
        <v>890</v>
      </c>
      <c r="K2136" s="164" t="s">
        <v>889</v>
      </c>
      <c r="L2136" s="165">
        <v>1</v>
      </c>
      <c r="M2136" s="165">
        <v>6</v>
      </c>
      <c r="N2136" s="164" t="s">
        <v>189</v>
      </c>
      <c r="O2136" s="165">
        <v>0</v>
      </c>
      <c r="P2136" s="165">
        <v>0</v>
      </c>
      <c r="Q2136" s="165">
        <v>17</v>
      </c>
      <c r="R2136" s="164" t="s">
        <v>190</v>
      </c>
      <c r="S2136" s="164" t="s">
        <v>191</v>
      </c>
      <c r="T2136" s="165">
        <v>213</v>
      </c>
      <c r="U2136" s="164" t="s">
        <v>443</v>
      </c>
      <c r="V2136" s="164" t="s">
        <v>444</v>
      </c>
      <c r="W2136" s="165">
        <v>1</v>
      </c>
      <c r="X2136" s="165">
        <v>2</v>
      </c>
      <c r="Y2136" s="164" t="s">
        <v>194</v>
      </c>
      <c r="Z2136" s="164" t="s">
        <v>195</v>
      </c>
      <c r="AA2136" s="164" t="s">
        <v>196</v>
      </c>
      <c r="AB2136" s="164" t="s">
        <v>187</v>
      </c>
      <c r="AC2136" s="164" t="s">
        <v>187</v>
      </c>
      <c r="AD2136" s="165">
        <v>2</v>
      </c>
      <c r="AE2136" s="164" t="s">
        <v>187</v>
      </c>
      <c r="AF2136" s="165">
        <v>-6.9756999999999998</v>
      </c>
      <c r="AG2136" s="166">
        <v>115.34721</v>
      </c>
      <c r="AO2136" s="121"/>
      <c r="AT2136" s="111"/>
      <c r="AX2136" s="121"/>
    </row>
    <row r="2137" spans="1:50" s="110" customFormat="1" ht="20" customHeight="1">
      <c r="A2137" s="125" t="s">
        <v>185</v>
      </c>
      <c r="B2137" s="126" t="s">
        <v>59</v>
      </c>
      <c r="C2137" s="127">
        <v>10740</v>
      </c>
      <c r="D2137" s="163">
        <v>101162</v>
      </c>
      <c r="E2137" s="164" t="s">
        <v>440</v>
      </c>
      <c r="F2137" s="164" t="s">
        <v>440</v>
      </c>
      <c r="G2137" s="165">
        <v>102000</v>
      </c>
      <c r="H2137" s="165">
        <v>1</v>
      </c>
      <c r="I2137" s="164" t="s">
        <v>187</v>
      </c>
      <c r="J2137" s="164" t="s">
        <v>441</v>
      </c>
      <c r="K2137" s="164" t="s">
        <v>442</v>
      </c>
      <c r="L2137" s="165">
        <v>5</v>
      </c>
      <c r="M2137" s="165">
        <v>6</v>
      </c>
      <c r="N2137" s="164" t="s">
        <v>189</v>
      </c>
      <c r="O2137" s="165">
        <v>0.5</v>
      </c>
      <c r="P2137" s="165">
        <v>8.0000000000000002E-3</v>
      </c>
      <c r="Q2137" s="165">
        <v>17</v>
      </c>
      <c r="R2137" s="164" t="s">
        <v>190</v>
      </c>
      <c r="S2137" s="164" t="s">
        <v>191</v>
      </c>
      <c r="T2137" s="165">
        <v>213</v>
      </c>
      <c r="U2137" s="164" t="s">
        <v>443</v>
      </c>
      <c r="V2137" s="164" t="s">
        <v>444</v>
      </c>
      <c r="W2137" s="165">
        <v>3</v>
      </c>
      <c r="X2137" s="165">
        <v>2</v>
      </c>
      <c r="Y2137" s="164" t="s">
        <v>194</v>
      </c>
      <c r="Z2137" s="164" t="s">
        <v>195</v>
      </c>
      <c r="AA2137" s="164" t="s">
        <v>196</v>
      </c>
      <c r="AB2137" s="164" t="s">
        <v>187</v>
      </c>
      <c r="AC2137" s="164" t="s">
        <v>187</v>
      </c>
      <c r="AD2137" s="165">
        <v>2</v>
      </c>
      <c r="AE2137" s="164" t="s">
        <v>209</v>
      </c>
      <c r="AF2137" s="165">
        <v>-5.8122084505595799</v>
      </c>
      <c r="AG2137" s="166">
        <v>112.645931130517</v>
      </c>
      <c r="AO2137" s="121"/>
      <c r="AT2137" s="111"/>
      <c r="AX2137" s="121"/>
    </row>
    <row r="2138" spans="1:50" s="110" customFormat="1" ht="20" customHeight="1">
      <c r="A2138" s="125" t="s">
        <v>237</v>
      </c>
      <c r="B2138" s="126" t="s">
        <v>60</v>
      </c>
      <c r="C2138" s="127">
        <v>10740</v>
      </c>
      <c r="D2138" s="163">
        <v>101162</v>
      </c>
      <c r="E2138" s="164" t="s">
        <v>440</v>
      </c>
      <c r="F2138" s="164" t="s">
        <v>440</v>
      </c>
      <c r="G2138" s="165">
        <v>56000</v>
      </c>
      <c r="H2138" s="165">
        <v>1</v>
      </c>
      <c r="I2138" s="164" t="s">
        <v>187</v>
      </c>
      <c r="J2138" s="164" t="s">
        <v>441</v>
      </c>
      <c r="K2138" s="164" t="s">
        <v>442</v>
      </c>
      <c r="L2138" s="165">
        <v>5</v>
      </c>
      <c r="M2138" s="165">
        <v>6</v>
      </c>
      <c r="N2138" s="164" t="s">
        <v>189</v>
      </c>
      <c r="O2138" s="165">
        <v>0</v>
      </c>
      <c r="P2138" s="165">
        <v>0</v>
      </c>
      <c r="Q2138" s="165">
        <v>17</v>
      </c>
      <c r="R2138" s="164" t="s">
        <v>190</v>
      </c>
      <c r="S2138" s="164" t="s">
        <v>191</v>
      </c>
      <c r="T2138" s="165">
        <v>213</v>
      </c>
      <c r="U2138" s="164" t="s">
        <v>443</v>
      </c>
      <c r="V2138" s="164" t="s">
        <v>444</v>
      </c>
      <c r="W2138" s="165">
        <v>3</v>
      </c>
      <c r="X2138" s="165">
        <v>2</v>
      </c>
      <c r="Y2138" s="164" t="s">
        <v>194</v>
      </c>
      <c r="Z2138" s="164" t="s">
        <v>195</v>
      </c>
      <c r="AA2138" s="164" t="s">
        <v>196</v>
      </c>
      <c r="AB2138" s="164" t="s">
        <v>187</v>
      </c>
      <c r="AC2138" s="164" t="s">
        <v>209</v>
      </c>
      <c r="AD2138" s="165">
        <v>1</v>
      </c>
      <c r="AE2138" s="164" t="s">
        <v>187</v>
      </c>
      <c r="AF2138" s="165">
        <v>3.0692490000000001</v>
      </c>
      <c r="AG2138" s="166">
        <v>101.646338</v>
      </c>
      <c r="AO2138" s="121"/>
      <c r="AT2138" s="111"/>
      <c r="AX2138" s="121"/>
    </row>
    <row r="2139" spans="1:50" s="110" customFormat="1" ht="20" customHeight="1">
      <c r="A2139" s="125" t="s">
        <v>408</v>
      </c>
      <c r="B2139" s="126" t="s">
        <v>64</v>
      </c>
      <c r="C2139" s="127">
        <v>10740</v>
      </c>
      <c r="D2139" s="163">
        <v>101162</v>
      </c>
      <c r="E2139" s="164" t="s">
        <v>440</v>
      </c>
      <c r="F2139" s="164" t="s">
        <v>445</v>
      </c>
      <c r="G2139" s="165">
        <v>28000</v>
      </c>
      <c r="H2139" s="165">
        <v>1</v>
      </c>
      <c r="I2139" s="164" t="s">
        <v>187</v>
      </c>
      <c r="J2139" s="164" t="s">
        <v>441</v>
      </c>
      <c r="K2139" s="164" t="s">
        <v>442</v>
      </c>
      <c r="L2139" s="165">
        <v>5</v>
      </c>
      <c r="M2139" s="165">
        <v>6</v>
      </c>
      <c r="N2139" s="164" t="s">
        <v>189</v>
      </c>
      <c r="O2139" s="165">
        <v>2</v>
      </c>
      <c r="P2139" s="165">
        <v>0.3</v>
      </c>
      <c r="Q2139" s="165">
        <v>17</v>
      </c>
      <c r="R2139" s="164" t="s">
        <v>190</v>
      </c>
      <c r="S2139" s="164" t="s">
        <v>191</v>
      </c>
      <c r="T2139" s="165">
        <v>213</v>
      </c>
      <c r="U2139" s="164" t="s">
        <v>443</v>
      </c>
      <c r="V2139" s="164" t="s">
        <v>444</v>
      </c>
      <c r="W2139" s="165">
        <v>3</v>
      </c>
      <c r="X2139" s="165">
        <v>2</v>
      </c>
      <c r="Y2139" s="164" t="s">
        <v>194</v>
      </c>
      <c r="Z2139" s="164" t="s">
        <v>195</v>
      </c>
      <c r="AA2139" s="164" t="s">
        <v>196</v>
      </c>
      <c r="AB2139" s="164" t="s">
        <v>209</v>
      </c>
      <c r="AC2139" s="164" t="s">
        <v>209</v>
      </c>
      <c r="AD2139" s="165">
        <v>1</v>
      </c>
      <c r="AE2139" s="164" t="s">
        <v>209</v>
      </c>
      <c r="AF2139" s="165">
        <v>1.35239</v>
      </c>
      <c r="AG2139" s="166">
        <v>103.71151999999999</v>
      </c>
      <c r="AO2139" s="121"/>
      <c r="AT2139" s="111"/>
      <c r="AX2139" s="121"/>
    </row>
    <row r="2140" spans="1:50" s="110" customFormat="1" ht="20" customHeight="1">
      <c r="A2140" s="125" t="s">
        <v>370</v>
      </c>
      <c r="B2140" s="126" t="s">
        <v>58</v>
      </c>
      <c r="C2140" s="127">
        <v>10973</v>
      </c>
      <c r="D2140" s="163">
        <v>101679</v>
      </c>
      <c r="E2140" s="164" t="s">
        <v>542</v>
      </c>
      <c r="F2140" s="164" t="s">
        <v>543</v>
      </c>
      <c r="G2140" s="165">
        <v>182000</v>
      </c>
      <c r="H2140" s="165">
        <v>1</v>
      </c>
      <c r="I2140" s="164" t="s">
        <v>187</v>
      </c>
      <c r="J2140" s="164" t="s">
        <v>544</v>
      </c>
      <c r="K2140" s="164" t="s">
        <v>58</v>
      </c>
      <c r="L2140" s="165">
        <v>1</v>
      </c>
      <c r="M2140" s="165">
        <v>6</v>
      </c>
      <c r="N2140" s="164" t="s">
        <v>189</v>
      </c>
      <c r="O2140" s="165">
        <v>0.06</v>
      </c>
      <c r="P2140" s="165">
        <v>0.05</v>
      </c>
      <c r="Q2140" s="165">
        <v>17</v>
      </c>
      <c r="R2140" s="164" t="s">
        <v>190</v>
      </c>
      <c r="S2140" s="164" t="s">
        <v>191</v>
      </c>
      <c r="T2140" s="165">
        <v>215</v>
      </c>
      <c r="U2140" s="164" t="s">
        <v>447</v>
      </c>
      <c r="V2140" s="164" t="s">
        <v>211</v>
      </c>
      <c r="W2140" s="165">
        <v>4</v>
      </c>
      <c r="X2140" s="165">
        <v>2</v>
      </c>
      <c r="Y2140" s="164" t="s">
        <v>194</v>
      </c>
      <c r="Z2140" s="164" t="s">
        <v>195</v>
      </c>
      <c r="AA2140" s="164" t="s">
        <v>196</v>
      </c>
      <c r="AB2140" s="164" t="s">
        <v>187</v>
      </c>
      <c r="AC2140" s="164" t="s">
        <v>187</v>
      </c>
      <c r="AD2140" s="165">
        <v>4</v>
      </c>
      <c r="AE2140" s="164" t="s">
        <v>187</v>
      </c>
      <c r="AF2140" s="165">
        <v>4.8982800000219999</v>
      </c>
      <c r="AG2140" s="166">
        <v>114.886260000199</v>
      </c>
      <c r="AO2140" s="121"/>
      <c r="AT2140" s="111"/>
      <c r="AX2140" s="121"/>
    </row>
    <row r="2141" spans="1:50" s="110" customFormat="1" ht="20" customHeight="1">
      <c r="A2141" s="125" t="s">
        <v>483</v>
      </c>
      <c r="B2141" s="126" t="s">
        <v>55</v>
      </c>
      <c r="C2141" s="127">
        <v>13437</v>
      </c>
      <c r="D2141" s="163">
        <v>106144</v>
      </c>
      <c r="E2141" s="164" t="s">
        <v>211</v>
      </c>
      <c r="F2141" s="164" t="s">
        <v>211</v>
      </c>
      <c r="G2141" s="165">
        <v>17000</v>
      </c>
      <c r="H2141" s="165">
        <v>1</v>
      </c>
      <c r="I2141" s="164" t="s">
        <v>187</v>
      </c>
      <c r="J2141" s="164" t="s">
        <v>210</v>
      </c>
      <c r="K2141" s="164" t="s">
        <v>211</v>
      </c>
      <c r="L2141" s="165">
        <v>5</v>
      </c>
      <c r="M2141" s="165">
        <v>6</v>
      </c>
      <c r="N2141" s="164" t="s">
        <v>189</v>
      </c>
      <c r="O2141" s="165">
        <v>0</v>
      </c>
      <c r="P2141" s="165">
        <v>0</v>
      </c>
      <c r="Q2141" s="165">
        <v>17</v>
      </c>
      <c r="R2141" s="164" t="s">
        <v>190</v>
      </c>
      <c r="S2141" s="164" t="s">
        <v>191</v>
      </c>
      <c r="T2141" s="165">
        <v>215</v>
      </c>
      <c r="U2141" s="164" t="s">
        <v>447</v>
      </c>
      <c r="V2141" s="164" t="s">
        <v>211</v>
      </c>
      <c r="W2141" s="165">
        <v>24</v>
      </c>
      <c r="X2141" s="165">
        <v>2</v>
      </c>
      <c r="Y2141" s="164" t="s">
        <v>194</v>
      </c>
      <c r="Z2141" s="164" t="s">
        <v>195</v>
      </c>
      <c r="AA2141" s="164" t="s">
        <v>196</v>
      </c>
      <c r="AB2141" s="164" t="s">
        <v>187</v>
      </c>
      <c r="AC2141" s="164" t="s">
        <v>209</v>
      </c>
      <c r="AD2141" s="165">
        <v>1</v>
      </c>
      <c r="AE2141" s="164" t="s">
        <v>187</v>
      </c>
      <c r="AF2141" s="165">
        <v>11.5616890088407</v>
      </c>
      <c r="AG2141" s="166">
        <v>104.885976577257</v>
      </c>
      <c r="AO2141" s="121"/>
      <c r="AT2141" s="111"/>
      <c r="AX2141" s="121"/>
    </row>
    <row r="2142" spans="1:50" s="110" customFormat="1" ht="20" customHeight="1">
      <c r="A2142" s="125" t="s">
        <v>185</v>
      </c>
      <c r="B2142" s="126" t="s">
        <v>59</v>
      </c>
      <c r="C2142" s="127">
        <v>13437</v>
      </c>
      <c r="D2142" s="163">
        <v>106144</v>
      </c>
      <c r="E2142" s="164" t="s">
        <v>211</v>
      </c>
      <c r="F2142" s="164" t="s">
        <v>211</v>
      </c>
      <c r="G2142" s="165">
        <v>3216000</v>
      </c>
      <c r="H2142" s="165">
        <v>1</v>
      </c>
      <c r="I2142" s="164" t="s">
        <v>187</v>
      </c>
      <c r="J2142" s="164" t="s">
        <v>210</v>
      </c>
      <c r="K2142" s="164" t="s">
        <v>211</v>
      </c>
      <c r="L2142" s="165">
        <v>5</v>
      </c>
      <c r="M2142" s="165">
        <v>6</v>
      </c>
      <c r="N2142" s="164" t="s">
        <v>189</v>
      </c>
      <c r="O2142" s="165">
        <v>0.01</v>
      </c>
      <c r="P2142" s="165">
        <v>4.0000000000000001E-3</v>
      </c>
      <c r="Q2142" s="165">
        <v>17</v>
      </c>
      <c r="R2142" s="164" t="s">
        <v>190</v>
      </c>
      <c r="S2142" s="164" t="s">
        <v>191</v>
      </c>
      <c r="T2142" s="165">
        <v>215</v>
      </c>
      <c r="U2142" s="164" t="s">
        <v>447</v>
      </c>
      <c r="V2142" s="164" t="s">
        <v>211</v>
      </c>
      <c r="W2142" s="165">
        <v>24</v>
      </c>
      <c r="X2142" s="165">
        <v>2</v>
      </c>
      <c r="Y2142" s="164" t="s">
        <v>194</v>
      </c>
      <c r="Z2142" s="164" t="s">
        <v>195</v>
      </c>
      <c r="AA2142" s="164" t="s">
        <v>196</v>
      </c>
      <c r="AB2142" s="164" t="s">
        <v>187</v>
      </c>
      <c r="AC2142" s="164" t="s">
        <v>187</v>
      </c>
      <c r="AD2142" s="165">
        <v>64</v>
      </c>
      <c r="AE2142" s="164" t="s">
        <v>187</v>
      </c>
      <c r="AF2142" s="165">
        <v>-1.82385530507496</v>
      </c>
      <c r="AG2142" s="166">
        <v>110.250798867051</v>
      </c>
      <c r="AO2142" s="121"/>
      <c r="AT2142" s="111"/>
      <c r="AX2142" s="121"/>
    </row>
    <row r="2143" spans="1:50" s="110" customFormat="1" ht="20" customHeight="1">
      <c r="A2143" s="125" t="s">
        <v>185</v>
      </c>
      <c r="B2143" s="126" t="s">
        <v>59</v>
      </c>
      <c r="C2143" s="127">
        <v>20289</v>
      </c>
      <c r="D2143" s="163">
        <v>108571</v>
      </c>
      <c r="E2143" s="164" t="s">
        <v>1078</v>
      </c>
      <c r="F2143" s="164" t="s">
        <v>1078</v>
      </c>
      <c r="G2143" s="165">
        <v>499000</v>
      </c>
      <c r="H2143" s="165">
        <v>1</v>
      </c>
      <c r="I2143" s="164" t="s">
        <v>187</v>
      </c>
      <c r="J2143" s="164" t="s">
        <v>210</v>
      </c>
      <c r="K2143" s="164" t="s">
        <v>211</v>
      </c>
      <c r="L2143" s="165">
        <v>5</v>
      </c>
      <c r="M2143" s="165">
        <v>6</v>
      </c>
      <c r="N2143" s="164" t="s">
        <v>189</v>
      </c>
      <c r="O2143" s="165">
        <v>0.03</v>
      </c>
      <c r="P2143" s="165">
        <v>1E-3</v>
      </c>
      <c r="Q2143" s="165">
        <v>17</v>
      </c>
      <c r="R2143" s="164" t="s">
        <v>190</v>
      </c>
      <c r="S2143" s="164" t="s">
        <v>191</v>
      </c>
      <c r="T2143" s="165">
        <v>215</v>
      </c>
      <c r="U2143" s="164" t="s">
        <v>447</v>
      </c>
      <c r="V2143" s="164" t="s">
        <v>211</v>
      </c>
      <c r="W2143" s="165">
        <v>1</v>
      </c>
      <c r="X2143" s="165">
        <v>2</v>
      </c>
      <c r="Y2143" s="164" t="s">
        <v>194</v>
      </c>
      <c r="Z2143" s="164" t="s">
        <v>195</v>
      </c>
      <c r="AA2143" s="164" t="s">
        <v>196</v>
      </c>
      <c r="AB2143" s="164" t="s">
        <v>187</v>
      </c>
      <c r="AC2143" s="164" t="s">
        <v>187</v>
      </c>
      <c r="AD2143" s="165">
        <v>10</v>
      </c>
      <c r="AE2143" s="164" t="s">
        <v>187</v>
      </c>
      <c r="AF2143" s="165">
        <v>0.584843</v>
      </c>
      <c r="AG2143" s="166">
        <v>102.842139</v>
      </c>
      <c r="AO2143" s="121"/>
      <c r="AT2143" s="111"/>
      <c r="AX2143" s="121"/>
    </row>
    <row r="2144" spans="1:50" s="110" customFormat="1" ht="20" customHeight="1">
      <c r="A2144" s="125" t="s">
        <v>185</v>
      </c>
      <c r="B2144" s="126" t="s">
        <v>59</v>
      </c>
      <c r="C2144" s="127">
        <v>20291</v>
      </c>
      <c r="D2144" s="163">
        <v>116019</v>
      </c>
      <c r="E2144" s="164" t="s">
        <v>1076</v>
      </c>
      <c r="F2144" s="164" t="s">
        <v>1076</v>
      </c>
      <c r="G2144" s="165">
        <v>316000</v>
      </c>
      <c r="H2144" s="165">
        <v>1</v>
      </c>
      <c r="I2144" s="164" t="s">
        <v>187</v>
      </c>
      <c r="J2144" s="164" t="s">
        <v>210</v>
      </c>
      <c r="K2144" s="164" t="s">
        <v>211</v>
      </c>
      <c r="L2144" s="165">
        <v>5</v>
      </c>
      <c r="M2144" s="165">
        <v>6</v>
      </c>
      <c r="N2144" s="164" t="s">
        <v>189</v>
      </c>
      <c r="O2144" s="165">
        <v>3</v>
      </c>
      <c r="P2144" s="165">
        <v>1.4E-2</v>
      </c>
      <c r="Q2144" s="165">
        <v>17</v>
      </c>
      <c r="R2144" s="164" t="s">
        <v>190</v>
      </c>
      <c r="S2144" s="164" t="s">
        <v>191</v>
      </c>
      <c r="T2144" s="165">
        <v>215</v>
      </c>
      <c r="U2144" s="164" t="s">
        <v>447</v>
      </c>
      <c r="V2144" s="164" t="s">
        <v>211</v>
      </c>
      <c r="W2144" s="165">
        <v>1</v>
      </c>
      <c r="X2144" s="165">
        <v>2</v>
      </c>
      <c r="Y2144" s="164" t="s">
        <v>194</v>
      </c>
      <c r="Z2144" s="164" t="s">
        <v>195</v>
      </c>
      <c r="AA2144" s="164" t="s">
        <v>196</v>
      </c>
      <c r="AB2144" s="164" t="s">
        <v>187</v>
      </c>
      <c r="AC2144" s="164" t="s">
        <v>187</v>
      </c>
      <c r="AD2144" s="165">
        <v>6</v>
      </c>
      <c r="AE2144" s="164" t="s">
        <v>209</v>
      </c>
      <c r="AF2144" s="165">
        <v>0.28953699999999999</v>
      </c>
      <c r="AG2144" s="166">
        <v>103.236306</v>
      </c>
      <c r="AO2144" s="121"/>
      <c r="AT2144" s="111"/>
      <c r="AX2144" s="121"/>
    </row>
    <row r="2145" spans="1:50" s="110" customFormat="1" ht="20" customHeight="1">
      <c r="A2145" s="125" t="s">
        <v>185</v>
      </c>
      <c r="B2145" s="126" t="s">
        <v>59</v>
      </c>
      <c r="C2145" s="127">
        <v>20290</v>
      </c>
      <c r="D2145" s="163">
        <v>116018</v>
      </c>
      <c r="E2145" s="164" t="s">
        <v>1067</v>
      </c>
      <c r="F2145" s="164" t="s">
        <v>1067</v>
      </c>
      <c r="G2145" s="165">
        <v>306000</v>
      </c>
      <c r="H2145" s="165">
        <v>1</v>
      </c>
      <c r="I2145" s="164" t="s">
        <v>187</v>
      </c>
      <c r="J2145" s="164" t="s">
        <v>210</v>
      </c>
      <c r="K2145" s="164" t="s">
        <v>211</v>
      </c>
      <c r="L2145" s="165">
        <v>5</v>
      </c>
      <c r="M2145" s="165">
        <v>6</v>
      </c>
      <c r="N2145" s="164" t="s">
        <v>189</v>
      </c>
      <c r="O2145" s="165">
        <v>0</v>
      </c>
      <c r="P2145" s="165">
        <v>0</v>
      </c>
      <c r="Q2145" s="165">
        <v>17</v>
      </c>
      <c r="R2145" s="164" t="s">
        <v>190</v>
      </c>
      <c r="S2145" s="164" t="s">
        <v>191</v>
      </c>
      <c r="T2145" s="165">
        <v>215</v>
      </c>
      <c r="U2145" s="164" t="s">
        <v>447</v>
      </c>
      <c r="V2145" s="164" t="s">
        <v>211</v>
      </c>
      <c r="W2145" s="165">
        <v>1</v>
      </c>
      <c r="X2145" s="165">
        <v>2</v>
      </c>
      <c r="Y2145" s="164" t="s">
        <v>194</v>
      </c>
      <c r="Z2145" s="164" t="s">
        <v>195</v>
      </c>
      <c r="AA2145" s="164" t="s">
        <v>196</v>
      </c>
      <c r="AB2145" s="164" t="s">
        <v>187</v>
      </c>
      <c r="AC2145" s="164" t="s">
        <v>187</v>
      </c>
      <c r="AD2145" s="165">
        <v>6</v>
      </c>
      <c r="AE2145" s="164" t="s">
        <v>187</v>
      </c>
      <c r="AF2145" s="165">
        <v>-1.8259080780539301</v>
      </c>
      <c r="AG2145" s="166">
        <v>110.256010197395</v>
      </c>
      <c r="AO2145" s="121"/>
      <c r="AT2145" s="111"/>
      <c r="AX2145" s="121"/>
    </row>
    <row r="2146" spans="1:50" s="110" customFormat="1" ht="20" customHeight="1">
      <c r="A2146" s="125" t="s">
        <v>185</v>
      </c>
      <c r="B2146" s="126" t="s">
        <v>59</v>
      </c>
      <c r="C2146" s="127">
        <v>13441</v>
      </c>
      <c r="D2146" s="163">
        <v>106153</v>
      </c>
      <c r="E2146" s="164" t="s">
        <v>951</v>
      </c>
      <c r="F2146" s="164" t="s">
        <v>951</v>
      </c>
      <c r="G2146" s="165">
        <v>144000</v>
      </c>
      <c r="H2146" s="165">
        <v>1</v>
      </c>
      <c r="I2146" s="164" t="s">
        <v>187</v>
      </c>
      <c r="J2146" s="164" t="s">
        <v>952</v>
      </c>
      <c r="K2146" s="164" t="s">
        <v>953</v>
      </c>
      <c r="L2146" s="165">
        <v>2</v>
      </c>
      <c r="M2146" s="165">
        <v>6</v>
      </c>
      <c r="N2146" s="164" t="s">
        <v>189</v>
      </c>
      <c r="O2146" s="165">
        <v>1.5</v>
      </c>
      <c r="P2146" s="165">
        <v>0</v>
      </c>
      <c r="Q2146" s="165">
        <v>17</v>
      </c>
      <c r="R2146" s="164" t="s">
        <v>190</v>
      </c>
      <c r="S2146" s="164" t="s">
        <v>191</v>
      </c>
      <c r="T2146" s="165">
        <v>215</v>
      </c>
      <c r="U2146" s="164" t="s">
        <v>447</v>
      </c>
      <c r="V2146" s="164" t="s">
        <v>211</v>
      </c>
      <c r="W2146" s="165">
        <v>1</v>
      </c>
      <c r="X2146" s="165">
        <v>2</v>
      </c>
      <c r="Y2146" s="164" t="s">
        <v>194</v>
      </c>
      <c r="Z2146" s="164" t="s">
        <v>195</v>
      </c>
      <c r="AA2146" s="164" t="s">
        <v>196</v>
      </c>
      <c r="AB2146" s="164" t="s">
        <v>187</v>
      </c>
      <c r="AC2146" s="164" t="s">
        <v>187</v>
      </c>
      <c r="AD2146" s="165">
        <v>3</v>
      </c>
      <c r="AE2146" s="164" t="s">
        <v>209</v>
      </c>
      <c r="AF2146" s="165">
        <v>-0.18479999999999999</v>
      </c>
      <c r="AG2146" s="166">
        <v>116.57226</v>
      </c>
      <c r="AO2146" s="121"/>
      <c r="AT2146" s="111"/>
      <c r="AX2146" s="121"/>
    </row>
    <row r="2147" spans="1:50" s="110" customFormat="1" ht="20" customHeight="1">
      <c r="A2147" s="125" t="s">
        <v>185</v>
      </c>
      <c r="B2147" s="126" t="s">
        <v>59</v>
      </c>
      <c r="C2147" s="127">
        <v>13444</v>
      </c>
      <c r="D2147" s="163">
        <v>106157</v>
      </c>
      <c r="E2147" s="164" t="s">
        <v>1070</v>
      </c>
      <c r="F2147" s="164" t="s">
        <v>1070</v>
      </c>
      <c r="G2147" s="165">
        <v>133000</v>
      </c>
      <c r="H2147" s="165">
        <v>1</v>
      </c>
      <c r="I2147" s="164" t="s">
        <v>187</v>
      </c>
      <c r="J2147" s="164" t="s">
        <v>1071</v>
      </c>
      <c r="K2147" s="164" t="s">
        <v>1070</v>
      </c>
      <c r="L2147" s="165">
        <v>3</v>
      </c>
      <c r="M2147" s="165">
        <v>6</v>
      </c>
      <c r="N2147" s="164" t="s">
        <v>189</v>
      </c>
      <c r="O2147" s="165">
        <v>1</v>
      </c>
      <c r="P2147" s="165">
        <v>0.05</v>
      </c>
      <c r="Q2147" s="165">
        <v>17</v>
      </c>
      <c r="R2147" s="164" t="s">
        <v>190</v>
      </c>
      <c r="S2147" s="164" t="s">
        <v>191</v>
      </c>
      <c r="T2147" s="165">
        <v>215</v>
      </c>
      <c r="U2147" s="164" t="s">
        <v>447</v>
      </c>
      <c r="V2147" s="164" t="s">
        <v>211</v>
      </c>
      <c r="W2147" s="165">
        <v>1</v>
      </c>
      <c r="X2147" s="165">
        <v>2</v>
      </c>
      <c r="Y2147" s="164" t="s">
        <v>194</v>
      </c>
      <c r="Z2147" s="164" t="s">
        <v>195</v>
      </c>
      <c r="AA2147" s="164" t="s">
        <v>196</v>
      </c>
      <c r="AB2147" s="164" t="s">
        <v>187</v>
      </c>
      <c r="AC2147" s="164" t="s">
        <v>187</v>
      </c>
      <c r="AD2147" s="165">
        <v>3</v>
      </c>
      <c r="AE2147" s="164" t="s">
        <v>209</v>
      </c>
      <c r="AF2147" s="165">
        <v>-1.0052000000000001</v>
      </c>
      <c r="AG2147" s="166">
        <v>128.35386</v>
      </c>
      <c r="AO2147" s="121"/>
      <c r="AT2147" s="111"/>
      <c r="AX2147" s="121"/>
    </row>
    <row r="2148" spans="1:50" s="110" customFormat="1" ht="20" customHeight="1">
      <c r="A2148" s="125" t="s">
        <v>185</v>
      </c>
      <c r="B2148" s="126" t="s">
        <v>59</v>
      </c>
      <c r="C2148" s="127">
        <v>20325</v>
      </c>
      <c r="D2148" s="163">
        <v>106070</v>
      </c>
      <c r="E2148" s="164" t="s">
        <v>1047</v>
      </c>
      <c r="F2148" s="164" t="s">
        <v>1047</v>
      </c>
      <c r="G2148" s="165">
        <v>75000</v>
      </c>
      <c r="H2148" s="165">
        <v>1</v>
      </c>
      <c r="I2148" s="164" t="s">
        <v>187</v>
      </c>
      <c r="J2148" s="164" t="s">
        <v>1048</v>
      </c>
      <c r="K2148" s="164" t="s">
        <v>1047</v>
      </c>
      <c r="L2148" s="165">
        <v>1</v>
      </c>
      <c r="M2148" s="165">
        <v>6</v>
      </c>
      <c r="N2148" s="164" t="s">
        <v>189</v>
      </c>
      <c r="O2148" s="165">
        <v>1</v>
      </c>
      <c r="P2148" s="165">
        <v>0</v>
      </c>
      <c r="Q2148" s="165">
        <v>17</v>
      </c>
      <c r="R2148" s="164" t="s">
        <v>190</v>
      </c>
      <c r="S2148" s="164" t="s">
        <v>191</v>
      </c>
      <c r="T2148" s="165">
        <v>215</v>
      </c>
      <c r="U2148" s="164" t="s">
        <v>447</v>
      </c>
      <c r="V2148" s="164" t="s">
        <v>211</v>
      </c>
      <c r="W2148" s="165">
        <v>1</v>
      </c>
      <c r="X2148" s="165">
        <v>2</v>
      </c>
      <c r="Y2148" s="164" t="s">
        <v>194</v>
      </c>
      <c r="Z2148" s="164" t="s">
        <v>195</v>
      </c>
      <c r="AA2148" s="164" t="s">
        <v>196</v>
      </c>
      <c r="AB2148" s="164" t="s">
        <v>187</v>
      </c>
      <c r="AC2148" s="164" t="s">
        <v>187</v>
      </c>
      <c r="AD2148" s="165">
        <v>1</v>
      </c>
      <c r="AE2148" s="164" t="s">
        <v>209</v>
      </c>
      <c r="AF2148" s="165">
        <v>-3.5944400000000001</v>
      </c>
      <c r="AG2148" s="166">
        <v>119.97793</v>
      </c>
      <c r="AO2148" s="121"/>
      <c r="AT2148" s="111"/>
      <c r="AX2148" s="121"/>
    </row>
    <row r="2149" spans="1:50" s="110" customFormat="1" ht="20" customHeight="1">
      <c r="A2149" s="125" t="s">
        <v>185</v>
      </c>
      <c r="B2149" s="126" t="s">
        <v>59</v>
      </c>
      <c r="C2149" s="127">
        <v>11759</v>
      </c>
      <c r="D2149" s="163">
        <v>102921</v>
      </c>
      <c r="E2149" s="164" t="s">
        <v>1068</v>
      </c>
      <c r="F2149" s="164" t="s">
        <v>1068</v>
      </c>
      <c r="G2149" s="165">
        <v>23000</v>
      </c>
      <c r="H2149" s="165">
        <v>1</v>
      </c>
      <c r="I2149" s="164" t="s">
        <v>187</v>
      </c>
      <c r="J2149" s="164" t="s">
        <v>1069</v>
      </c>
      <c r="K2149" s="164" t="s">
        <v>1068</v>
      </c>
      <c r="L2149" s="165">
        <v>1</v>
      </c>
      <c r="M2149" s="165">
        <v>6</v>
      </c>
      <c r="N2149" s="164" t="s">
        <v>189</v>
      </c>
      <c r="O2149" s="165">
        <v>2</v>
      </c>
      <c r="P2149" s="165">
        <v>0.5</v>
      </c>
      <c r="Q2149" s="165">
        <v>17</v>
      </c>
      <c r="R2149" s="164" t="s">
        <v>190</v>
      </c>
      <c r="S2149" s="164" t="s">
        <v>191</v>
      </c>
      <c r="T2149" s="165">
        <v>215</v>
      </c>
      <c r="U2149" s="164" t="s">
        <v>447</v>
      </c>
      <c r="V2149" s="164" t="s">
        <v>211</v>
      </c>
      <c r="W2149" s="165">
        <v>1</v>
      </c>
      <c r="X2149" s="165">
        <v>2</v>
      </c>
      <c r="Y2149" s="164" t="s">
        <v>194</v>
      </c>
      <c r="Z2149" s="164" t="s">
        <v>195</v>
      </c>
      <c r="AA2149" s="164" t="s">
        <v>196</v>
      </c>
      <c r="AB2149" s="164" t="s">
        <v>187</v>
      </c>
      <c r="AC2149" s="164" t="s">
        <v>187</v>
      </c>
      <c r="AD2149" s="165">
        <v>1</v>
      </c>
      <c r="AE2149" s="164" t="s">
        <v>209</v>
      </c>
      <c r="AF2149" s="165">
        <v>-8.3331900000000001</v>
      </c>
      <c r="AG2149" s="166">
        <v>122.99417</v>
      </c>
      <c r="AO2149" s="121"/>
      <c r="AT2149" s="111"/>
      <c r="AX2149" s="121"/>
    </row>
    <row r="2150" spans="1:50" s="110" customFormat="1" ht="20" customHeight="1">
      <c r="A2150" s="125" t="s">
        <v>185</v>
      </c>
      <c r="B2150" s="126" t="s">
        <v>59</v>
      </c>
      <c r="C2150" s="127">
        <v>19535</v>
      </c>
      <c r="D2150" s="163">
        <v>115423</v>
      </c>
      <c r="E2150" s="164" t="s">
        <v>1062</v>
      </c>
      <c r="F2150" s="164" t="s">
        <v>1062</v>
      </c>
      <c r="G2150" s="165">
        <v>4800</v>
      </c>
      <c r="H2150" s="165">
        <v>1</v>
      </c>
      <c r="I2150" s="164" t="s">
        <v>187</v>
      </c>
      <c r="J2150" s="164" t="s">
        <v>1063</v>
      </c>
      <c r="K2150" s="164" t="s">
        <v>1062</v>
      </c>
      <c r="L2150" s="165">
        <v>1</v>
      </c>
      <c r="M2150" s="165">
        <v>6</v>
      </c>
      <c r="N2150" s="164" t="s">
        <v>189</v>
      </c>
      <c r="O2150" s="165">
        <v>0</v>
      </c>
      <c r="P2150" s="165">
        <v>0</v>
      </c>
      <c r="Q2150" s="165">
        <v>17</v>
      </c>
      <c r="R2150" s="164" t="s">
        <v>190</v>
      </c>
      <c r="S2150" s="164" t="s">
        <v>191</v>
      </c>
      <c r="T2150" s="165">
        <v>215</v>
      </c>
      <c r="U2150" s="164" t="s">
        <v>447</v>
      </c>
      <c r="V2150" s="164" t="s">
        <v>211</v>
      </c>
      <c r="W2150" s="165">
        <v>1</v>
      </c>
      <c r="X2150" s="165">
        <v>2</v>
      </c>
      <c r="Y2150" s="164" t="s">
        <v>194</v>
      </c>
      <c r="Z2150" s="164" t="s">
        <v>195</v>
      </c>
      <c r="AA2150" s="164" t="s">
        <v>196</v>
      </c>
      <c r="AB2150" s="164" t="s">
        <v>187</v>
      </c>
      <c r="AC2150" s="164" t="s">
        <v>187</v>
      </c>
      <c r="AD2150" s="165">
        <v>1</v>
      </c>
      <c r="AE2150" s="164" t="s">
        <v>187</v>
      </c>
      <c r="AF2150" s="165">
        <v>-4.5567950000000002</v>
      </c>
      <c r="AG2150" s="166">
        <v>129.927119</v>
      </c>
      <c r="AO2150" s="121"/>
      <c r="AT2150" s="111"/>
      <c r="AX2150" s="121"/>
    </row>
    <row r="2151" spans="1:50" s="110" customFormat="1" ht="20" customHeight="1">
      <c r="A2151" s="125" t="s">
        <v>185</v>
      </c>
      <c r="B2151" s="126" t="s">
        <v>59</v>
      </c>
      <c r="C2151" s="127">
        <v>13019</v>
      </c>
      <c r="D2151" s="145">
        <v>105691</v>
      </c>
      <c r="E2151" s="146" t="s">
        <v>992</v>
      </c>
      <c r="F2151" s="146" t="s">
        <v>992</v>
      </c>
      <c r="G2151" s="147">
        <v>300</v>
      </c>
      <c r="H2151" s="147">
        <v>4</v>
      </c>
      <c r="I2151" s="146" t="s">
        <v>209</v>
      </c>
      <c r="J2151" s="146" t="s">
        <v>993</v>
      </c>
      <c r="K2151" s="146" t="s">
        <v>992</v>
      </c>
      <c r="L2151" s="147">
        <v>1</v>
      </c>
      <c r="M2151" s="147">
        <v>6</v>
      </c>
      <c r="N2151" s="146" t="s">
        <v>189</v>
      </c>
      <c r="O2151" s="147">
        <v>15</v>
      </c>
      <c r="P2151" s="147">
        <v>4</v>
      </c>
      <c r="Q2151" s="147">
        <v>17</v>
      </c>
      <c r="R2151" s="146" t="s">
        <v>190</v>
      </c>
      <c r="S2151" s="146" t="s">
        <v>191</v>
      </c>
      <c r="T2151" s="147">
        <v>215</v>
      </c>
      <c r="U2151" s="146" t="s">
        <v>447</v>
      </c>
      <c r="V2151" s="146" t="s">
        <v>211</v>
      </c>
      <c r="W2151" s="147">
        <v>1</v>
      </c>
      <c r="X2151" s="147">
        <v>2</v>
      </c>
      <c r="Y2151" s="146" t="s">
        <v>194</v>
      </c>
      <c r="Z2151" s="146" t="s">
        <v>195</v>
      </c>
      <c r="AA2151" s="146" t="s">
        <v>196</v>
      </c>
      <c r="AB2151" s="146" t="s">
        <v>187</v>
      </c>
      <c r="AC2151" s="146" t="s">
        <v>187</v>
      </c>
      <c r="AD2151" s="148"/>
      <c r="AE2151" s="146" t="s">
        <v>209</v>
      </c>
      <c r="AF2151" s="147">
        <v>-0.30624000000000001</v>
      </c>
      <c r="AG2151" s="149">
        <v>130.72945000000001</v>
      </c>
      <c r="AO2151" s="121"/>
      <c r="AT2151" s="111"/>
      <c r="AX2151" s="121"/>
    </row>
    <row r="2152" spans="1:50" s="110" customFormat="1" ht="20" customHeight="1">
      <c r="A2152" s="125" t="s">
        <v>185</v>
      </c>
      <c r="B2152" s="126" t="s">
        <v>59</v>
      </c>
      <c r="C2152" s="127">
        <v>13438</v>
      </c>
      <c r="D2152" s="145">
        <v>106150</v>
      </c>
      <c r="E2152" s="146" t="s">
        <v>1060</v>
      </c>
      <c r="F2152" s="146" t="s">
        <v>1060</v>
      </c>
      <c r="G2152" s="148"/>
      <c r="H2152" s="147">
        <v>4</v>
      </c>
      <c r="I2152" s="146" t="s">
        <v>209</v>
      </c>
      <c r="J2152" s="146" t="s">
        <v>1061</v>
      </c>
      <c r="K2152" s="146" t="s">
        <v>1060</v>
      </c>
      <c r="L2152" s="147">
        <v>0</v>
      </c>
      <c r="M2152" s="147">
        <v>6</v>
      </c>
      <c r="N2152" s="146" t="s">
        <v>189</v>
      </c>
      <c r="O2152" s="147">
        <v>38</v>
      </c>
      <c r="P2152" s="147">
        <v>5</v>
      </c>
      <c r="Q2152" s="147">
        <v>17</v>
      </c>
      <c r="R2152" s="146" t="s">
        <v>190</v>
      </c>
      <c r="S2152" s="146" t="s">
        <v>191</v>
      </c>
      <c r="T2152" s="147">
        <v>215</v>
      </c>
      <c r="U2152" s="146" t="s">
        <v>447</v>
      </c>
      <c r="V2152" s="146" t="s">
        <v>211</v>
      </c>
      <c r="W2152" s="147">
        <v>1</v>
      </c>
      <c r="X2152" s="147">
        <v>2</v>
      </c>
      <c r="Y2152" s="146" t="s">
        <v>194</v>
      </c>
      <c r="Z2152" s="146" t="s">
        <v>195</v>
      </c>
      <c r="AA2152" s="146" t="s">
        <v>196</v>
      </c>
      <c r="AB2152" s="146" t="s">
        <v>187</v>
      </c>
      <c r="AC2152" s="146" t="s">
        <v>187</v>
      </c>
      <c r="AD2152" s="148"/>
      <c r="AE2152" s="146" t="s">
        <v>209</v>
      </c>
      <c r="AF2152" s="147">
        <v>-0.61656999999999995</v>
      </c>
      <c r="AG2152" s="149">
        <v>127.49079999999999</v>
      </c>
      <c r="AO2152" s="121"/>
      <c r="AT2152" s="111"/>
      <c r="AX2152" s="121"/>
    </row>
    <row r="2153" spans="1:50" s="110" customFormat="1" ht="20" customHeight="1">
      <c r="A2153" s="125" t="s">
        <v>185</v>
      </c>
      <c r="B2153" s="126" t="s">
        <v>59</v>
      </c>
      <c r="C2153" s="127">
        <v>18503</v>
      </c>
      <c r="D2153" s="128">
        <v>114115</v>
      </c>
      <c r="E2153" s="129" t="s">
        <v>746</v>
      </c>
      <c r="F2153" s="129" t="s">
        <v>746</v>
      </c>
      <c r="G2153" s="130">
        <v>8154000</v>
      </c>
      <c r="H2153" s="130">
        <v>5</v>
      </c>
      <c r="I2153" s="129" t="s">
        <v>209</v>
      </c>
      <c r="J2153" s="129" t="s">
        <v>747</v>
      </c>
      <c r="K2153" s="129" t="s">
        <v>746</v>
      </c>
      <c r="L2153" s="130">
        <v>5</v>
      </c>
      <c r="M2153" s="130">
        <v>6</v>
      </c>
      <c r="N2153" s="129" t="s">
        <v>189</v>
      </c>
      <c r="O2153" s="130">
        <v>17</v>
      </c>
      <c r="P2153" s="130">
        <v>11.798999999999999</v>
      </c>
      <c r="Q2153" s="130">
        <v>17</v>
      </c>
      <c r="R2153" s="129" t="s">
        <v>190</v>
      </c>
      <c r="S2153" s="129" t="s">
        <v>191</v>
      </c>
      <c r="T2153" s="130">
        <v>215</v>
      </c>
      <c r="U2153" s="129" t="s">
        <v>447</v>
      </c>
      <c r="V2153" s="129" t="s">
        <v>211</v>
      </c>
      <c r="W2153" s="130">
        <v>18</v>
      </c>
      <c r="X2153" s="130">
        <v>2</v>
      </c>
      <c r="Y2153" s="129" t="s">
        <v>194</v>
      </c>
      <c r="Z2153" s="129" t="s">
        <v>195</v>
      </c>
      <c r="AA2153" s="129" t="s">
        <v>196</v>
      </c>
      <c r="AB2153" s="129" t="s">
        <v>187</v>
      </c>
      <c r="AC2153" s="129" t="s">
        <v>187</v>
      </c>
      <c r="AD2153" s="131"/>
      <c r="AE2153" s="129" t="s">
        <v>209</v>
      </c>
      <c r="AF2153" s="130">
        <v>-7.3345799998671204</v>
      </c>
      <c r="AG2153" s="132">
        <v>109.715720000378</v>
      </c>
      <c r="AO2153" s="121"/>
      <c r="AT2153" s="111"/>
      <c r="AX2153" s="121"/>
    </row>
    <row r="2154" spans="1:50" s="110" customFormat="1" ht="20" customHeight="1">
      <c r="A2154" s="125" t="s">
        <v>237</v>
      </c>
      <c r="B2154" s="126" t="s">
        <v>60</v>
      </c>
      <c r="C2154" s="127">
        <v>13437</v>
      </c>
      <c r="D2154" s="163">
        <v>106144</v>
      </c>
      <c r="E2154" s="164" t="s">
        <v>211</v>
      </c>
      <c r="F2154" s="164" t="s">
        <v>211</v>
      </c>
      <c r="G2154" s="165">
        <v>12860000</v>
      </c>
      <c r="H2154" s="165">
        <v>1</v>
      </c>
      <c r="I2154" s="164" t="s">
        <v>187</v>
      </c>
      <c r="J2154" s="164" t="s">
        <v>210</v>
      </c>
      <c r="K2154" s="164" t="s">
        <v>211</v>
      </c>
      <c r="L2154" s="165">
        <v>5</v>
      </c>
      <c r="M2154" s="165">
        <v>6</v>
      </c>
      <c r="N2154" s="164" t="s">
        <v>189</v>
      </c>
      <c r="O2154" s="165">
        <v>0.6</v>
      </c>
      <c r="P2154" s="165">
        <v>0.51700000000000002</v>
      </c>
      <c r="Q2154" s="165">
        <v>17</v>
      </c>
      <c r="R2154" s="164" t="s">
        <v>190</v>
      </c>
      <c r="S2154" s="164" t="s">
        <v>191</v>
      </c>
      <c r="T2154" s="165">
        <v>215</v>
      </c>
      <c r="U2154" s="164" t="s">
        <v>447</v>
      </c>
      <c r="V2154" s="164" t="s">
        <v>211</v>
      </c>
      <c r="W2154" s="165">
        <v>24</v>
      </c>
      <c r="X2154" s="165">
        <v>2</v>
      </c>
      <c r="Y2154" s="164" t="s">
        <v>194</v>
      </c>
      <c r="Z2154" s="164" t="s">
        <v>195</v>
      </c>
      <c r="AA2154" s="164" t="s">
        <v>196</v>
      </c>
      <c r="AB2154" s="164" t="s">
        <v>187</v>
      </c>
      <c r="AC2154" s="164" t="s">
        <v>187</v>
      </c>
      <c r="AD2154" s="165">
        <v>257</v>
      </c>
      <c r="AE2154" s="164" t="s">
        <v>209</v>
      </c>
      <c r="AF2154" s="165">
        <v>3.1601048248777501</v>
      </c>
      <c r="AG2154" s="166">
        <v>101.649092868441</v>
      </c>
      <c r="AO2154" s="121"/>
      <c r="AT2154" s="111"/>
      <c r="AX2154" s="121"/>
    </row>
    <row r="2155" spans="1:50" s="110" customFormat="1" ht="20" customHeight="1">
      <c r="A2155" s="125" t="s">
        <v>237</v>
      </c>
      <c r="B2155" s="126" t="s">
        <v>60</v>
      </c>
      <c r="C2155" s="127">
        <v>14208</v>
      </c>
      <c r="D2155" s="163">
        <v>107670</v>
      </c>
      <c r="E2155" s="164" t="s">
        <v>1128</v>
      </c>
      <c r="F2155" s="164" t="s">
        <v>1128</v>
      </c>
      <c r="G2155" s="165">
        <v>931000</v>
      </c>
      <c r="H2155" s="165">
        <v>1</v>
      </c>
      <c r="I2155" s="164" t="s">
        <v>187</v>
      </c>
      <c r="J2155" s="164" t="s">
        <v>210</v>
      </c>
      <c r="K2155" s="164" t="s">
        <v>211</v>
      </c>
      <c r="L2155" s="165">
        <v>5</v>
      </c>
      <c r="M2155" s="165">
        <v>6</v>
      </c>
      <c r="N2155" s="164" t="s">
        <v>189</v>
      </c>
      <c r="O2155" s="165">
        <v>0</v>
      </c>
      <c r="P2155" s="165">
        <v>0</v>
      </c>
      <c r="Q2155" s="165">
        <v>17</v>
      </c>
      <c r="R2155" s="164" t="s">
        <v>190</v>
      </c>
      <c r="S2155" s="164" t="s">
        <v>191</v>
      </c>
      <c r="T2155" s="165">
        <v>215</v>
      </c>
      <c r="U2155" s="164" t="s">
        <v>447</v>
      </c>
      <c r="V2155" s="164" t="s">
        <v>211</v>
      </c>
      <c r="W2155" s="165">
        <v>1</v>
      </c>
      <c r="X2155" s="165">
        <v>2</v>
      </c>
      <c r="Y2155" s="164" t="s">
        <v>194</v>
      </c>
      <c r="Z2155" s="164" t="s">
        <v>195</v>
      </c>
      <c r="AA2155" s="164" t="s">
        <v>196</v>
      </c>
      <c r="AB2155" s="164" t="s">
        <v>187</v>
      </c>
      <c r="AC2155" s="164" t="s">
        <v>187</v>
      </c>
      <c r="AD2155" s="165">
        <v>19</v>
      </c>
      <c r="AE2155" s="164" t="s">
        <v>187</v>
      </c>
      <c r="AF2155" s="165">
        <v>2.7900200000000002</v>
      </c>
      <c r="AG2155" s="166">
        <v>102.22186000000001</v>
      </c>
      <c r="AO2155" s="121"/>
      <c r="AT2155" s="111"/>
      <c r="AX2155" s="121"/>
    </row>
    <row r="2156" spans="1:50" s="110" customFormat="1" ht="20" customHeight="1">
      <c r="A2156" s="125" t="s">
        <v>237</v>
      </c>
      <c r="B2156" s="126" t="s">
        <v>60</v>
      </c>
      <c r="C2156" s="127">
        <v>10973</v>
      </c>
      <c r="D2156" s="163">
        <v>101679</v>
      </c>
      <c r="E2156" s="164" t="s">
        <v>542</v>
      </c>
      <c r="F2156" s="164" t="s">
        <v>542</v>
      </c>
      <c r="G2156" s="165">
        <v>361000</v>
      </c>
      <c r="H2156" s="165">
        <v>1</v>
      </c>
      <c r="I2156" s="164" t="s">
        <v>187</v>
      </c>
      <c r="J2156" s="164" t="s">
        <v>544</v>
      </c>
      <c r="K2156" s="164" t="s">
        <v>58</v>
      </c>
      <c r="L2156" s="165">
        <v>1</v>
      </c>
      <c r="M2156" s="165">
        <v>6</v>
      </c>
      <c r="N2156" s="164" t="s">
        <v>189</v>
      </c>
      <c r="O2156" s="165">
        <v>5</v>
      </c>
      <c r="P2156" s="165">
        <v>0.3</v>
      </c>
      <c r="Q2156" s="165">
        <v>17</v>
      </c>
      <c r="R2156" s="164" t="s">
        <v>190</v>
      </c>
      <c r="S2156" s="164" t="s">
        <v>191</v>
      </c>
      <c r="T2156" s="165">
        <v>215</v>
      </c>
      <c r="U2156" s="164" t="s">
        <v>447</v>
      </c>
      <c r="V2156" s="164" t="s">
        <v>211</v>
      </c>
      <c r="W2156" s="165">
        <v>4</v>
      </c>
      <c r="X2156" s="165">
        <v>2</v>
      </c>
      <c r="Y2156" s="164" t="s">
        <v>194</v>
      </c>
      <c r="Z2156" s="164" t="s">
        <v>195</v>
      </c>
      <c r="AA2156" s="164" t="s">
        <v>196</v>
      </c>
      <c r="AB2156" s="164" t="s">
        <v>187</v>
      </c>
      <c r="AC2156" s="164" t="s">
        <v>187</v>
      </c>
      <c r="AD2156" s="165">
        <v>7</v>
      </c>
      <c r="AE2156" s="164" t="s">
        <v>209</v>
      </c>
      <c r="AF2156" s="165">
        <v>4.4826199999999998</v>
      </c>
      <c r="AG2156" s="166">
        <v>114.13455</v>
      </c>
      <c r="AO2156" s="121"/>
      <c r="AT2156" s="111"/>
      <c r="AX2156" s="121"/>
    </row>
    <row r="2157" spans="1:50" s="110" customFormat="1" ht="20" customHeight="1">
      <c r="A2157" s="125" t="s">
        <v>237</v>
      </c>
      <c r="B2157" s="126" t="s">
        <v>60</v>
      </c>
      <c r="C2157" s="127">
        <v>11399</v>
      </c>
      <c r="D2157" s="163">
        <v>102252</v>
      </c>
      <c r="E2157" s="164" t="s">
        <v>1064</v>
      </c>
      <c r="F2157" s="164" t="s">
        <v>1064</v>
      </c>
      <c r="G2157" s="165">
        <v>5800</v>
      </c>
      <c r="H2157" s="165">
        <v>1</v>
      </c>
      <c r="I2157" s="164" t="s">
        <v>187</v>
      </c>
      <c r="J2157" s="164" t="s">
        <v>210</v>
      </c>
      <c r="K2157" s="164" t="s">
        <v>211</v>
      </c>
      <c r="L2157" s="165">
        <v>5</v>
      </c>
      <c r="M2157" s="165">
        <v>6</v>
      </c>
      <c r="N2157" s="164" t="s">
        <v>189</v>
      </c>
      <c r="O2157" s="165">
        <v>0</v>
      </c>
      <c r="P2157" s="165">
        <v>0</v>
      </c>
      <c r="Q2157" s="165">
        <v>17</v>
      </c>
      <c r="R2157" s="164" t="s">
        <v>190</v>
      </c>
      <c r="S2157" s="164" t="s">
        <v>191</v>
      </c>
      <c r="T2157" s="165">
        <v>215</v>
      </c>
      <c r="U2157" s="164" t="s">
        <v>447</v>
      </c>
      <c r="V2157" s="164" t="s">
        <v>211</v>
      </c>
      <c r="W2157" s="165">
        <v>4</v>
      </c>
      <c r="X2157" s="165">
        <v>2</v>
      </c>
      <c r="Y2157" s="164" t="s">
        <v>194</v>
      </c>
      <c r="Z2157" s="164" t="s">
        <v>195</v>
      </c>
      <c r="AA2157" s="164" t="s">
        <v>196</v>
      </c>
      <c r="AB2157" s="164" t="s">
        <v>187</v>
      </c>
      <c r="AC2157" s="164" t="s">
        <v>187</v>
      </c>
      <c r="AD2157" s="165">
        <v>1</v>
      </c>
      <c r="AE2157" s="164" t="s">
        <v>187</v>
      </c>
      <c r="AF2157" s="165">
        <v>5.0788000000000002</v>
      </c>
      <c r="AG2157" s="166">
        <v>118.31601000000001</v>
      </c>
      <c r="AO2157" s="121"/>
      <c r="AT2157" s="111"/>
      <c r="AX2157" s="121"/>
    </row>
    <row r="2158" spans="1:50" s="110" customFormat="1" ht="20" customHeight="1">
      <c r="A2158" s="125" t="s">
        <v>237</v>
      </c>
      <c r="B2158" s="126" t="s">
        <v>60</v>
      </c>
      <c r="C2158" s="127">
        <v>18503</v>
      </c>
      <c r="D2158" s="145">
        <v>114115</v>
      </c>
      <c r="E2158" s="146" t="s">
        <v>746</v>
      </c>
      <c r="F2158" s="146" t="s">
        <v>746</v>
      </c>
      <c r="G2158" s="147">
        <v>823000</v>
      </c>
      <c r="H2158" s="147">
        <v>4</v>
      </c>
      <c r="I2158" s="146" t="s">
        <v>209</v>
      </c>
      <c r="J2158" s="146" t="s">
        <v>747</v>
      </c>
      <c r="K2158" s="146" t="s">
        <v>746</v>
      </c>
      <c r="L2158" s="147">
        <v>5</v>
      </c>
      <c r="M2158" s="147">
        <v>6</v>
      </c>
      <c r="N2158" s="146" t="s">
        <v>189</v>
      </c>
      <c r="O2158" s="147">
        <v>15</v>
      </c>
      <c r="P2158" s="147">
        <v>5.6</v>
      </c>
      <c r="Q2158" s="147">
        <v>17</v>
      </c>
      <c r="R2158" s="146" t="s">
        <v>190</v>
      </c>
      <c r="S2158" s="146" t="s">
        <v>191</v>
      </c>
      <c r="T2158" s="147">
        <v>215</v>
      </c>
      <c r="U2158" s="146" t="s">
        <v>447</v>
      </c>
      <c r="V2158" s="146" t="s">
        <v>211</v>
      </c>
      <c r="W2158" s="147">
        <v>18</v>
      </c>
      <c r="X2158" s="147">
        <v>2</v>
      </c>
      <c r="Y2158" s="146" t="s">
        <v>194</v>
      </c>
      <c r="Z2158" s="146" t="s">
        <v>195</v>
      </c>
      <c r="AA2158" s="146" t="s">
        <v>196</v>
      </c>
      <c r="AB2158" s="146" t="s">
        <v>187</v>
      </c>
      <c r="AC2158" s="146" t="s">
        <v>209</v>
      </c>
      <c r="AD2158" s="148"/>
      <c r="AE2158" s="146" t="s">
        <v>209</v>
      </c>
      <c r="AF2158" s="147">
        <v>3.0755540860521902</v>
      </c>
      <c r="AG2158" s="149">
        <v>101.529959679695</v>
      </c>
      <c r="AO2158" s="121"/>
      <c r="AT2158" s="111"/>
      <c r="AX2158" s="121"/>
    </row>
    <row r="2159" spans="1:50" s="110" customFormat="1" ht="20" customHeight="1">
      <c r="A2159" s="125" t="s">
        <v>1620</v>
      </c>
      <c r="B2159" s="126" t="s">
        <v>61</v>
      </c>
      <c r="C2159" s="127">
        <v>13437</v>
      </c>
      <c r="D2159" s="163">
        <v>106144</v>
      </c>
      <c r="E2159" s="164" t="s">
        <v>211</v>
      </c>
      <c r="F2159" s="164" t="s">
        <v>211</v>
      </c>
      <c r="G2159" s="165">
        <v>27000</v>
      </c>
      <c r="H2159" s="165">
        <v>1</v>
      </c>
      <c r="I2159" s="164" t="s">
        <v>187</v>
      </c>
      <c r="J2159" s="164" t="s">
        <v>210</v>
      </c>
      <c r="K2159" s="164" t="s">
        <v>211</v>
      </c>
      <c r="L2159" s="165">
        <v>5</v>
      </c>
      <c r="M2159" s="165">
        <v>6</v>
      </c>
      <c r="N2159" s="164" t="s">
        <v>189</v>
      </c>
      <c r="O2159" s="165">
        <v>2.9000000000000001E-2</v>
      </c>
      <c r="P2159" s="165">
        <v>0.02</v>
      </c>
      <c r="Q2159" s="165">
        <v>17</v>
      </c>
      <c r="R2159" s="164" t="s">
        <v>190</v>
      </c>
      <c r="S2159" s="164" t="s">
        <v>191</v>
      </c>
      <c r="T2159" s="165">
        <v>215</v>
      </c>
      <c r="U2159" s="164" t="s">
        <v>447</v>
      </c>
      <c r="V2159" s="164" t="s">
        <v>211</v>
      </c>
      <c r="W2159" s="165">
        <v>24</v>
      </c>
      <c r="X2159" s="165">
        <v>2</v>
      </c>
      <c r="Y2159" s="164" t="s">
        <v>194</v>
      </c>
      <c r="Z2159" s="164" t="s">
        <v>195</v>
      </c>
      <c r="AA2159" s="164" t="s">
        <v>196</v>
      </c>
      <c r="AB2159" s="164" t="s">
        <v>187</v>
      </c>
      <c r="AC2159" s="164" t="s">
        <v>209</v>
      </c>
      <c r="AD2159" s="165">
        <v>1</v>
      </c>
      <c r="AE2159" s="164" t="s">
        <v>187</v>
      </c>
      <c r="AF2159" s="165">
        <v>16.7832358148809</v>
      </c>
      <c r="AG2159" s="166">
        <v>96.200561698863297</v>
      </c>
      <c r="AO2159" s="121"/>
      <c r="AT2159" s="111"/>
      <c r="AX2159" s="121"/>
    </row>
    <row r="2160" spans="1:50" s="110" customFormat="1" ht="20" customHeight="1">
      <c r="A2160" s="125" t="s">
        <v>239</v>
      </c>
      <c r="B2160" s="126" t="s">
        <v>67</v>
      </c>
      <c r="C2160" s="127">
        <v>18503</v>
      </c>
      <c r="D2160" s="145">
        <v>114115</v>
      </c>
      <c r="E2160" s="146" t="s">
        <v>746</v>
      </c>
      <c r="F2160" s="146" t="s">
        <v>746</v>
      </c>
      <c r="G2160" s="147">
        <v>54000</v>
      </c>
      <c r="H2160" s="147">
        <v>4</v>
      </c>
      <c r="I2160" s="146" t="s">
        <v>209</v>
      </c>
      <c r="J2160" s="146" t="s">
        <v>747</v>
      </c>
      <c r="K2160" s="146" t="s">
        <v>746</v>
      </c>
      <c r="L2160" s="147">
        <v>5</v>
      </c>
      <c r="M2160" s="147">
        <v>6</v>
      </c>
      <c r="N2160" s="146" t="s">
        <v>189</v>
      </c>
      <c r="O2160" s="147">
        <v>17</v>
      </c>
      <c r="P2160" s="147">
        <v>5.6</v>
      </c>
      <c r="Q2160" s="147">
        <v>17</v>
      </c>
      <c r="R2160" s="146" t="s">
        <v>190</v>
      </c>
      <c r="S2160" s="146" t="s">
        <v>191</v>
      </c>
      <c r="T2160" s="147">
        <v>215</v>
      </c>
      <c r="U2160" s="146" t="s">
        <v>447</v>
      </c>
      <c r="V2160" s="146" t="s">
        <v>211</v>
      </c>
      <c r="W2160" s="147">
        <v>18</v>
      </c>
      <c r="X2160" s="147">
        <v>2</v>
      </c>
      <c r="Y2160" s="146" t="s">
        <v>194</v>
      </c>
      <c r="Z2160" s="146" t="s">
        <v>195</v>
      </c>
      <c r="AA2160" s="146" t="s">
        <v>196</v>
      </c>
      <c r="AB2160" s="146" t="s">
        <v>209</v>
      </c>
      <c r="AC2160" s="146" t="s">
        <v>209</v>
      </c>
      <c r="AD2160" s="148"/>
      <c r="AE2160" s="146" t="s">
        <v>209</v>
      </c>
      <c r="AF2160" s="147">
        <v>14.60914</v>
      </c>
      <c r="AG2160" s="149">
        <v>120.976142</v>
      </c>
      <c r="AO2160" s="121"/>
      <c r="AT2160" s="111"/>
      <c r="AX2160" s="121"/>
    </row>
    <row r="2161" spans="1:50" s="110" customFormat="1" ht="20" customHeight="1">
      <c r="A2161" s="125" t="s">
        <v>408</v>
      </c>
      <c r="B2161" s="126" t="s">
        <v>64</v>
      </c>
      <c r="C2161" s="127">
        <v>13437</v>
      </c>
      <c r="D2161" s="163">
        <v>106144</v>
      </c>
      <c r="E2161" s="164" t="s">
        <v>211</v>
      </c>
      <c r="F2161" s="164" t="s">
        <v>211</v>
      </c>
      <c r="G2161" s="165">
        <v>391000</v>
      </c>
      <c r="H2161" s="165">
        <v>1</v>
      </c>
      <c r="I2161" s="164" t="s">
        <v>187</v>
      </c>
      <c r="J2161" s="164" t="s">
        <v>210</v>
      </c>
      <c r="K2161" s="164" t="s">
        <v>211</v>
      </c>
      <c r="L2161" s="165">
        <v>5</v>
      </c>
      <c r="M2161" s="165">
        <v>6</v>
      </c>
      <c r="N2161" s="164" t="s">
        <v>189</v>
      </c>
      <c r="O2161" s="165">
        <v>0.6</v>
      </c>
      <c r="P2161" s="165">
        <v>0.2</v>
      </c>
      <c r="Q2161" s="165">
        <v>17</v>
      </c>
      <c r="R2161" s="164" t="s">
        <v>190</v>
      </c>
      <c r="S2161" s="164" t="s">
        <v>191</v>
      </c>
      <c r="T2161" s="165">
        <v>215</v>
      </c>
      <c r="U2161" s="164" t="s">
        <v>447</v>
      </c>
      <c r="V2161" s="164" t="s">
        <v>211</v>
      </c>
      <c r="W2161" s="165">
        <v>24</v>
      </c>
      <c r="X2161" s="165">
        <v>2</v>
      </c>
      <c r="Y2161" s="164" t="s">
        <v>194</v>
      </c>
      <c r="Z2161" s="164" t="s">
        <v>195</v>
      </c>
      <c r="AA2161" s="164" t="s">
        <v>196</v>
      </c>
      <c r="AB2161" s="164" t="s">
        <v>209</v>
      </c>
      <c r="AC2161" s="164" t="s">
        <v>187</v>
      </c>
      <c r="AD2161" s="165">
        <v>8</v>
      </c>
      <c r="AE2161" s="164" t="s">
        <v>209</v>
      </c>
      <c r="AF2161" s="165">
        <v>1.3486709442087199</v>
      </c>
      <c r="AG2161" s="166">
        <v>103.874956966791</v>
      </c>
      <c r="AO2161" s="121"/>
      <c r="AT2161" s="111"/>
      <c r="AX2161" s="121"/>
    </row>
    <row r="2162" spans="1:50" s="110" customFormat="1" ht="20" customHeight="1">
      <c r="A2162" s="125" t="s">
        <v>408</v>
      </c>
      <c r="B2162" s="126" t="s">
        <v>64</v>
      </c>
      <c r="C2162" s="127">
        <v>18810</v>
      </c>
      <c r="D2162" s="163">
        <v>114533</v>
      </c>
      <c r="E2162" s="164" t="s">
        <v>446</v>
      </c>
      <c r="F2162" s="164" t="s">
        <v>446</v>
      </c>
      <c r="G2162" s="165">
        <v>11000</v>
      </c>
      <c r="H2162" s="165">
        <v>1</v>
      </c>
      <c r="I2162" s="164" t="s">
        <v>187</v>
      </c>
      <c r="J2162" s="164" t="s">
        <v>210</v>
      </c>
      <c r="K2162" s="164" t="s">
        <v>211</v>
      </c>
      <c r="L2162" s="165">
        <v>5</v>
      </c>
      <c r="M2162" s="165">
        <v>6</v>
      </c>
      <c r="N2162" s="164" t="s">
        <v>189</v>
      </c>
      <c r="O2162" s="165">
        <v>0</v>
      </c>
      <c r="P2162" s="165">
        <v>0</v>
      </c>
      <c r="Q2162" s="165">
        <v>17</v>
      </c>
      <c r="R2162" s="164" t="s">
        <v>190</v>
      </c>
      <c r="S2162" s="164" t="s">
        <v>191</v>
      </c>
      <c r="T2162" s="165">
        <v>215</v>
      </c>
      <c r="U2162" s="164" t="s">
        <v>447</v>
      </c>
      <c r="V2162" s="164" t="s">
        <v>211</v>
      </c>
      <c r="W2162" s="165">
        <v>1</v>
      </c>
      <c r="X2162" s="165">
        <v>2</v>
      </c>
      <c r="Y2162" s="164" t="s">
        <v>194</v>
      </c>
      <c r="Z2162" s="164" t="s">
        <v>195</v>
      </c>
      <c r="AA2162" s="164" t="s">
        <v>196</v>
      </c>
      <c r="AB2162" s="164" t="s">
        <v>209</v>
      </c>
      <c r="AC2162" s="164" t="s">
        <v>187</v>
      </c>
      <c r="AD2162" s="165">
        <v>1</v>
      </c>
      <c r="AE2162" s="164" t="s">
        <v>187</v>
      </c>
      <c r="AF2162" s="165">
        <v>1.30339793116957</v>
      </c>
      <c r="AG2162" s="166">
        <v>103.85373171105</v>
      </c>
      <c r="AO2162" s="121"/>
      <c r="AT2162" s="111"/>
      <c r="AX2162" s="121"/>
    </row>
    <row r="2163" spans="1:50" s="110" customFormat="1" ht="20" customHeight="1">
      <c r="A2163" s="125" t="s">
        <v>408</v>
      </c>
      <c r="B2163" s="126" t="s">
        <v>64</v>
      </c>
      <c r="C2163" s="127">
        <v>18503</v>
      </c>
      <c r="D2163" s="145">
        <v>114115</v>
      </c>
      <c r="E2163" s="146" t="s">
        <v>746</v>
      </c>
      <c r="F2163" s="146" t="s">
        <v>746</v>
      </c>
      <c r="G2163" s="147">
        <v>118000</v>
      </c>
      <c r="H2163" s="147">
        <v>4</v>
      </c>
      <c r="I2163" s="146" t="s">
        <v>209</v>
      </c>
      <c r="J2163" s="146" t="s">
        <v>747</v>
      </c>
      <c r="K2163" s="146" t="s">
        <v>746</v>
      </c>
      <c r="L2163" s="147">
        <v>5</v>
      </c>
      <c r="M2163" s="147">
        <v>6</v>
      </c>
      <c r="N2163" s="146" t="s">
        <v>189</v>
      </c>
      <c r="O2163" s="147">
        <v>16</v>
      </c>
      <c r="P2163" s="147">
        <v>5.6</v>
      </c>
      <c r="Q2163" s="147">
        <v>17</v>
      </c>
      <c r="R2163" s="146" t="s">
        <v>190</v>
      </c>
      <c r="S2163" s="146" t="s">
        <v>191</v>
      </c>
      <c r="T2163" s="147">
        <v>215</v>
      </c>
      <c r="U2163" s="146" t="s">
        <v>447</v>
      </c>
      <c r="V2163" s="146" t="s">
        <v>211</v>
      </c>
      <c r="W2163" s="147">
        <v>18</v>
      </c>
      <c r="X2163" s="147">
        <v>2</v>
      </c>
      <c r="Y2163" s="146" t="s">
        <v>194</v>
      </c>
      <c r="Z2163" s="146" t="s">
        <v>195</v>
      </c>
      <c r="AA2163" s="146" t="s">
        <v>196</v>
      </c>
      <c r="AB2163" s="146" t="s">
        <v>209</v>
      </c>
      <c r="AC2163" s="146" t="s">
        <v>209</v>
      </c>
      <c r="AD2163" s="148"/>
      <c r="AE2163" s="146" t="s">
        <v>209</v>
      </c>
      <c r="AF2163" s="147">
        <v>1.30514080830164</v>
      </c>
      <c r="AG2163" s="149">
        <v>103.911495622025</v>
      </c>
      <c r="AO2163" s="121"/>
      <c r="AT2163" s="111"/>
      <c r="AX2163" s="121"/>
    </row>
    <row r="2164" spans="1:50" s="110" customFormat="1" ht="20" customHeight="1">
      <c r="A2164" s="125" t="s">
        <v>224</v>
      </c>
      <c r="B2164" s="126" t="s">
        <v>68</v>
      </c>
      <c r="C2164" s="127">
        <v>13437</v>
      </c>
      <c r="D2164" s="163">
        <v>106144</v>
      </c>
      <c r="E2164" s="164" t="s">
        <v>211</v>
      </c>
      <c r="F2164" s="164" t="s">
        <v>4430</v>
      </c>
      <c r="G2164" s="165">
        <v>51000</v>
      </c>
      <c r="H2164" s="165">
        <v>1</v>
      </c>
      <c r="I2164" s="164" t="s">
        <v>187</v>
      </c>
      <c r="J2164" s="164" t="s">
        <v>4431</v>
      </c>
      <c r="K2164" s="164" t="s">
        <v>4432</v>
      </c>
      <c r="L2164" s="165">
        <v>1</v>
      </c>
      <c r="M2164" s="165">
        <v>6</v>
      </c>
      <c r="N2164" s="164" t="s">
        <v>189</v>
      </c>
      <c r="O2164" s="165">
        <v>0</v>
      </c>
      <c r="P2164" s="165">
        <v>0</v>
      </c>
      <c r="Q2164" s="165">
        <v>17</v>
      </c>
      <c r="R2164" s="164" t="s">
        <v>190</v>
      </c>
      <c r="S2164" s="164" t="s">
        <v>191</v>
      </c>
      <c r="T2164" s="165">
        <v>215</v>
      </c>
      <c r="U2164" s="164" t="s">
        <v>447</v>
      </c>
      <c r="V2164" s="164" t="s">
        <v>211</v>
      </c>
      <c r="W2164" s="165">
        <v>24</v>
      </c>
      <c r="X2164" s="165">
        <v>4</v>
      </c>
      <c r="Y2164" s="164" t="s">
        <v>203</v>
      </c>
      <c r="Z2164" s="164" t="s">
        <v>195</v>
      </c>
      <c r="AA2164" s="164" t="s">
        <v>196</v>
      </c>
      <c r="AB2164" s="164" t="s">
        <v>187</v>
      </c>
      <c r="AC2164" s="164" t="s">
        <v>209</v>
      </c>
      <c r="AD2164" s="165">
        <v>1</v>
      </c>
      <c r="AE2164" s="164" t="s">
        <v>187</v>
      </c>
      <c r="AF2164" s="165">
        <v>6.8681700000000001</v>
      </c>
      <c r="AG2164" s="166">
        <v>80.020849999999996</v>
      </c>
      <c r="AO2164" s="121"/>
      <c r="AT2164" s="111"/>
      <c r="AX2164" s="121"/>
    </row>
    <row r="2165" spans="1:50" s="110" customFormat="1" ht="20" customHeight="1">
      <c r="A2165" s="125" t="s">
        <v>478</v>
      </c>
      <c r="B2165" s="126" t="s">
        <v>56</v>
      </c>
      <c r="C2165" s="127">
        <v>14343</v>
      </c>
      <c r="D2165" s="163">
        <v>107943</v>
      </c>
      <c r="E2165" s="164" t="s">
        <v>1074</v>
      </c>
      <c r="F2165" s="164" t="s">
        <v>1074</v>
      </c>
      <c r="G2165" s="165">
        <v>1759000</v>
      </c>
      <c r="H2165" s="165">
        <v>1</v>
      </c>
      <c r="I2165" s="164" t="s">
        <v>187</v>
      </c>
      <c r="J2165" s="164" t="s">
        <v>1075</v>
      </c>
      <c r="K2165" s="164" t="s">
        <v>1074</v>
      </c>
      <c r="L2165" s="165">
        <v>4</v>
      </c>
      <c r="M2165" s="165">
        <v>6</v>
      </c>
      <c r="N2165" s="164" t="s">
        <v>189</v>
      </c>
      <c r="O2165" s="165">
        <v>5.0000000000000001E-3</v>
      </c>
      <c r="P2165" s="165">
        <v>5.0000000000000001E-3</v>
      </c>
      <c r="Q2165" s="165">
        <v>17</v>
      </c>
      <c r="R2165" s="164" t="s">
        <v>190</v>
      </c>
      <c r="S2165" s="164" t="s">
        <v>191</v>
      </c>
      <c r="T2165" s="165">
        <v>215</v>
      </c>
      <c r="U2165" s="164" t="s">
        <v>447</v>
      </c>
      <c r="V2165" s="164" t="s">
        <v>211</v>
      </c>
      <c r="W2165" s="165">
        <v>1</v>
      </c>
      <c r="X2165" s="165">
        <v>2</v>
      </c>
      <c r="Y2165" s="164" t="s">
        <v>194</v>
      </c>
      <c r="Z2165" s="164" t="s">
        <v>195</v>
      </c>
      <c r="AA2165" s="164" t="s">
        <v>196</v>
      </c>
      <c r="AB2165" s="164" t="s">
        <v>187</v>
      </c>
      <c r="AC2165" s="164" t="s">
        <v>187</v>
      </c>
      <c r="AD2165" s="165">
        <v>35</v>
      </c>
      <c r="AE2165" s="164" t="s">
        <v>187</v>
      </c>
      <c r="AF2165" s="165">
        <v>6.3355300000000003</v>
      </c>
      <c r="AG2165" s="166">
        <v>101.38808</v>
      </c>
      <c r="AO2165" s="121"/>
      <c r="AT2165" s="111"/>
      <c r="AX2165" s="121"/>
    </row>
    <row r="2166" spans="1:50" s="110" customFormat="1" ht="20" customHeight="1">
      <c r="A2166" s="125" t="s">
        <v>478</v>
      </c>
      <c r="B2166" s="126" t="s">
        <v>56</v>
      </c>
      <c r="C2166" s="127">
        <v>12602</v>
      </c>
      <c r="D2166" s="163">
        <v>104797</v>
      </c>
      <c r="E2166" s="164" t="s">
        <v>1065</v>
      </c>
      <c r="F2166" s="164" t="s">
        <v>1065</v>
      </c>
      <c r="G2166" s="165">
        <v>1000</v>
      </c>
      <c r="H2166" s="165">
        <v>1</v>
      </c>
      <c r="I2166" s="164" t="s">
        <v>187</v>
      </c>
      <c r="J2166" s="164" t="s">
        <v>1066</v>
      </c>
      <c r="K2166" s="164" t="s">
        <v>1065</v>
      </c>
      <c r="L2166" s="165">
        <v>1</v>
      </c>
      <c r="M2166" s="165">
        <v>6</v>
      </c>
      <c r="N2166" s="164" t="s">
        <v>189</v>
      </c>
      <c r="O2166" s="165">
        <v>0</v>
      </c>
      <c r="P2166" s="165">
        <v>0</v>
      </c>
      <c r="Q2166" s="165">
        <v>17</v>
      </c>
      <c r="R2166" s="164" t="s">
        <v>190</v>
      </c>
      <c r="S2166" s="164" t="s">
        <v>191</v>
      </c>
      <c r="T2166" s="165">
        <v>215</v>
      </c>
      <c r="U2166" s="164" t="s">
        <v>447</v>
      </c>
      <c r="V2166" s="164" t="s">
        <v>211</v>
      </c>
      <c r="W2166" s="165">
        <v>1</v>
      </c>
      <c r="X2166" s="165">
        <v>2</v>
      </c>
      <c r="Y2166" s="164" t="s">
        <v>194</v>
      </c>
      <c r="Z2166" s="164" t="s">
        <v>195</v>
      </c>
      <c r="AA2166" s="164" t="s">
        <v>196</v>
      </c>
      <c r="AB2166" s="164" t="s">
        <v>187</v>
      </c>
      <c r="AC2166" s="164" t="s">
        <v>209</v>
      </c>
      <c r="AD2166" s="165">
        <v>1</v>
      </c>
      <c r="AE2166" s="164" t="s">
        <v>187</v>
      </c>
      <c r="AF2166" s="165">
        <v>6.6461499999999996</v>
      </c>
      <c r="AG2166" s="166">
        <v>100.08121</v>
      </c>
      <c r="AO2166" s="121"/>
      <c r="AT2166" s="111"/>
      <c r="AX2166" s="121"/>
    </row>
    <row r="2167" spans="1:50" s="110" customFormat="1" ht="20" customHeight="1">
      <c r="A2167" s="125" t="s">
        <v>1549</v>
      </c>
      <c r="B2167" s="126" t="s">
        <v>62</v>
      </c>
      <c r="C2167" s="127">
        <v>18503</v>
      </c>
      <c r="D2167" s="145">
        <v>114115</v>
      </c>
      <c r="E2167" s="146" t="s">
        <v>746</v>
      </c>
      <c r="F2167" s="146" t="s">
        <v>746</v>
      </c>
      <c r="G2167" s="147">
        <v>3200</v>
      </c>
      <c r="H2167" s="147">
        <v>4</v>
      </c>
      <c r="I2167" s="146" t="s">
        <v>209</v>
      </c>
      <c r="J2167" s="146" t="s">
        <v>747</v>
      </c>
      <c r="K2167" s="146" t="s">
        <v>746</v>
      </c>
      <c r="L2167" s="147">
        <v>5</v>
      </c>
      <c r="M2167" s="147">
        <v>6</v>
      </c>
      <c r="N2167" s="146" t="s">
        <v>189</v>
      </c>
      <c r="O2167" s="147">
        <v>20</v>
      </c>
      <c r="P2167" s="147">
        <v>6</v>
      </c>
      <c r="Q2167" s="147">
        <v>17</v>
      </c>
      <c r="R2167" s="146" t="s">
        <v>190</v>
      </c>
      <c r="S2167" s="146" t="s">
        <v>191</v>
      </c>
      <c r="T2167" s="147">
        <v>215</v>
      </c>
      <c r="U2167" s="146" t="s">
        <v>447</v>
      </c>
      <c r="V2167" s="146" t="s">
        <v>211</v>
      </c>
      <c r="W2167" s="147">
        <v>18</v>
      </c>
      <c r="X2167" s="147">
        <v>2</v>
      </c>
      <c r="Y2167" s="146" t="s">
        <v>194</v>
      </c>
      <c r="Z2167" s="146" t="s">
        <v>195</v>
      </c>
      <c r="AA2167" s="146" t="s">
        <v>196</v>
      </c>
      <c r="AB2167" s="146" t="s">
        <v>187</v>
      </c>
      <c r="AC2167" s="146" t="s">
        <v>209</v>
      </c>
      <c r="AD2167" s="148"/>
      <c r="AE2167" s="146" t="s">
        <v>209</v>
      </c>
      <c r="AF2167" s="147">
        <v>-9.0010060000000003</v>
      </c>
      <c r="AG2167" s="149">
        <v>125.350039</v>
      </c>
      <c r="AO2167" s="121"/>
      <c r="AT2167" s="111"/>
      <c r="AX2167" s="121"/>
    </row>
    <row r="2168" spans="1:50" s="110" customFormat="1" ht="20" customHeight="1">
      <c r="A2168" s="125" t="s">
        <v>480</v>
      </c>
      <c r="B2168" s="126" t="s">
        <v>63</v>
      </c>
      <c r="C2168" s="127">
        <v>18503</v>
      </c>
      <c r="D2168" s="163">
        <v>114115</v>
      </c>
      <c r="E2168" s="164" t="s">
        <v>746</v>
      </c>
      <c r="F2168" s="164" t="s">
        <v>746</v>
      </c>
      <c r="G2168" s="165">
        <v>4400</v>
      </c>
      <c r="H2168" s="165">
        <v>1</v>
      </c>
      <c r="I2168" s="164" t="s">
        <v>187</v>
      </c>
      <c r="J2168" s="164" t="s">
        <v>747</v>
      </c>
      <c r="K2168" s="164" t="s">
        <v>746</v>
      </c>
      <c r="L2168" s="165">
        <v>5</v>
      </c>
      <c r="M2168" s="165">
        <v>6</v>
      </c>
      <c r="N2168" s="164" t="s">
        <v>189</v>
      </c>
      <c r="O2168" s="165">
        <v>2</v>
      </c>
      <c r="P2168" s="165">
        <v>0.1</v>
      </c>
      <c r="Q2168" s="165">
        <v>17</v>
      </c>
      <c r="R2168" s="164" t="s">
        <v>190</v>
      </c>
      <c r="S2168" s="164" t="s">
        <v>191</v>
      </c>
      <c r="T2168" s="165">
        <v>215</v>
      </c>
      <c r="U2168" s="164" t="s">
        <v>447</v>
      </c>
      <c r="V2168" s="164" t="s">
        <v>211</v>
      </c>
      <c r="W2168" s="165">
        <v>18</v>
      </c>
      <c r="X2168" s="165">
        <v>2</v>
      </c>
      <c r="Y2168" s="164" t="s">
        <v>194</v>
      </c>
      <c r="Z2168" s="164" t="s">
        <v>195</v>
      </c>
      <c r="AA2168" s="164" t="s">
        <v>196</v>
      </c>
      <c r="AB2168" s="164" t="s">
        <v>187</v>
      </c>
      <c r="AC2168" s="164" t="s">
        <v>209</v>
      </c>
      <c r="AD2168" s="165">
        <v>1</v>
      </c>
      <c r="AE2168" s="164" t="s">
        <v>209</v>
      </c>
      <c r="AF2168" s="165">
        <v>20.995521</v>
      </c>
      <c r="AG2168" s="166">
        <v>105.817261</v>
      </c>
      <c r="AO2168" s="121"/>
      <c r="AT2168" s="111"/>
      <c r="AX2168" s="121"/>
    </row>
    <row r="2169" spans="1:50" s="110" customFormat="1" ht="20" customHeight="1">
      <c r="A2169" s="125" t="s">
        <v>185</v>
      </c>
      <c r="B2169" s="126" t="s">
        <v>59</v>
      </c>
      <c r="C2169" s="127">
        <v>18957</v>
      </c>
      <c r="D2169" s="163">
        <v>115424</v>
      </c>
      <c r="E2169" s="164" t="s">
        <v>1072</v>
      </c>
      <c r="F2169" s="164" t="s">
        <v>1072</v>
      </c>
      <c r="G2169" s="165">
        <v>179000</v>
      </c>
      <c r="H2169" s="165">
        <v>1</v>
      </c>
      <c r="I2169" s="164" t="s">
        <v>187</v>
      </c>
      <c r="J2169" s="164" t="s">
        <v>1073</v>
      </c>
      <c r="K2169" s="164" t="s">
        <v>1072</v>
      </c>
      <c r="L2169" s="165">
        <v>3</v>
      </c>
      <c r="M2169" s="165">
        <v>6</v>
      </c>
      <c r="N2169" s="164" t="s">
        <v>189</v>
      </c>
      <c r="O2169" s="165">
        <v>1.5</v>
      </c>
      <c r="P2169" s="165">
        <v>0.1</v>
      </c>
      <c r="Q2169" s="165">
        <v>17</v>
      </c>
      <c r="R2169" s="164" t="s">
        <v>190</v>
      </c>
      <c r="S2169" s="164" t="s">
        <v>191</v>
      </c>
      <c r="T2169" s="165">
        <v>222</v>
      </c>
      <c r="U2169" s="164" t="s">
        <v>256</v>
      </c>
      <c r="V2169" s="164" t="s">
        <v>257</v>
      </c>
      <c r="W2169" s="165">
        <v>1</v>
      </c>
      <c r="X2169" s="165">
        <v>2</v>
      </c>
      <c r="Y2169" s="164" t="s">
        <v>194</v>
      </c>
      <c r="Z2169" s="164" t="s">
        <v>195</v>
      </c>
      <c r="AA2169" s="164" t="s">
        <v>196</v>
      </c>
      <c r="AB2169" s="164" t="s">
        <v>187</v>
      </c>
      <c r="AC2169" s="164" t="s">
        <v>187</v>
      </c>
      <c r="AD2169" s="165">
        <v>4</v>
      </c>
      <c r="AE2169" s="164" t="s">
        <v>209</v>
      </c>
      <c r="AF2169" s="165">
        <v>-2.5705399999999998</v>
      </c>
      <c r="AG2169" s="166">
        <v>140.69283999999999</v>
      </c>
      <c r="AO2169" s="121"/>
      <c r="AT2169" s="111"/>
      <c r="AX2169" s="121"/>
    </row>
    <row r="2170" spans="1:50" s="110" customFormat="1" ht="20" customHeight="1">
      <c r="A2170" s="125" t="s">
        <v>185</v>
      </c>
      <c r="B2170" s="126" t="s">
        <v>59</v>
      </c>
      <c r="C2170" s="127">
        <v>14718</v>
      </c>
      <c r="D2170" s="163">
        <v>108631</v>
      </c>
      <c r="E2170" s="164" t="s">
        <v>1393</v>
      </c>
      <c r="F2170" s="164" t="s">
        <v>1393</v>
      </c>
      <c r="G2170" s="165">
        <v>90000</v>
      </c>
      <c r="H2170" s="165">
        <v>1</v>
      </c>
      <c r="I2170" s="164" t="s">
        <v>187</v>
      </c>
      <c r="J2170" s="164" t="s">
        <v>1394</v>
      </c>
      <c r="K2170" s="164" t="s">
        <v>1393</v>
      </c>
      <c r="L2170" s="165">
        <v>1</v>
      </c>
      <c r="M2170" s="165">
        <v>6</v>
      </c>
      <c r="N2170" s="164" t="s">
        <v>189</v>
      </c>
      <c r="O2170" s="165">
        <v>0</v>
      </c>
      <c r="P2170" s="165">
        <v>0</v>
      </c>
      <c r="Q2170" s="165">
        <v>17</v>
      </c>
      <c r="R2170" s="164" t="s">
        <v>190</v>
      </c>
      <c r="S2170" s="164" t="s">
        <v>191</v>
      </c>
      <c r="T2170" s="165">
        <v>222</v>
      </c>
      <c r="U2170" s="164" t="s">
        <v>256</v>
      </c>
      <c r="V2170" s="164" t="s">
        <v>257</v>
      </c>
      <c r="W2170" s="165">
        <v>1</v>
      </c>
      <c r="X2170" s="165">
        <v>2</v>
      </c>
      <c r="Y2170" s="164" t="s">
        <v>194</v>
      </c>
      <c r="Z2170" s="164" t="s">
        <v>195</v>
      </c>
      <c r="AA2170" s="164" t="s">
        <v>196</v>
      </c>
      <c r="AB2170" s="164" t="s">
        <v>187</v>
      </c>
      <c r="AC2170" s="164" t="s">
        <v>187</v>
      </c>
      <c r="AD2170" s="165">
        <v>2</v>
      </c>
      <c r="AE2170" s="164" t="s">
        <v>187</v>
      </c>
      <c r="AF2170" s="165">
        <v>-2.09605</v>
      </c>
      <c r="AG2170" s="166">
        <v>125.92869</v>
      </c>
      <c r="AO2170" s="121"/>
      <c r="AT2170" s="111"/>
      <c r="AX2170" s="121"/>
    </row>
    <row r="2171" spans="1:50" s="110" customFormat="1" ht="20" customHeight="1">
      <c r="A2171" s="125" t="s">
        <v>185</v>
      </c>
      <c r="B2171" s="126" t="s">
        <v>59</v>
      </c>
      <c r="C2171" s="127">
        <v>12066</v>
      </c>
      <c r="D2171" s="163">
        <v>103726</v>
      </c>
      <c r="E2171" s="164" t="s">
        <v>725</v>
      </c>
      <c r="F2171" s="164" t="s">
        <v>725</v>
      </c>
      <c r="G2171" s="165">
        <v>28000</v>
      </c>
      <c r="H2171" s="165">
        <v>1</v>
      </c>
      <c r="I2171" s="164" t="s">
        <v>187</v>
      </c>
      <c r="J2171" s="164" t="s">
        <v>726</v>
      </c>
      <c r="K2171" s="164" t="s">
        <v>725</v>
      </c>
      <c r="L2171" s="165">
        <v>0</v>
      </c>
      <c r="M2171" s="165">
        <v>6</v>
      </c>
      <c r="N2171" s="164" t="s">
        <v>189</v>
      </c>
      <c r="O2171" s="165">
        <v>4</v>
      </c>
      <c r="P2171" s="165">
        <v>1.208</v>
      </c>
      <c r="Q2171" s="165">
        <v>17</v>
      </c>
      <c r="R2171" s="164" t="s">
        <v>190</v>
      </c>
      <c r="S2171" s="164" t="s">
        <v>191</v>
      </c>
      <c r="T2171" s="165">
        <v>222</v>
      </c>
      <c r="U2171" s="164" t="s">
        <v>256</v>
      </c>
      <c r="V2171" s="164" t="s">
        <v>257</v>
      </c>
      <c r="W2171" s="165">
        <v>1</v>
      </c>
      <c r="X2171" s="165">
        <v>2</v>
      </c>
      <c r="Y2171" s="164" t="s">
        <v>194</v>
      </c>
      <c r="Z2171" s="164" t="s">
        <v>195</v>
      </c>
      <c r="AA2171" s="164" t="s">
        <v>196</v>
      </c>
      <c r="AB2171" s="164" t="s">
        <v>187</v>
      </c>
      <c r="AC2171" s="164" t="s">
        <v>187</v>
      </c>
      <c r="AD2171" s="165">
        <v>1</v>
      </c>
      <c r="AE2171" s="164" t="s">
        <v>209</v>
      </c>
      <c r="AF2171" s="165">
        <v>-3.5750299999999999</v>
      </c>
      <c r="AG2171" s="166">
        <v>128.47291999999999</v>
      </c>
      <c r="AO2171" s="121"/>
      <c r="AT2171" s="111"/>
      <c r="AX2171" s="121"/>
    </row>
    <row r="2172" spans="1:50" s="110" customFormat="1" ht="20" customHeight="1">
      <c r="A2172" s="125" t="s">
        <v>185</v>
      </c>
      <c r="B2172" s="126" t="s">
        <v>59</v>
      </c>
      <c r="C2172" s="127">
        <v>12110</v>
      </c>
      <c r="D2172" s="163">
        <v>103839</v>
      </c>
      <c r="E2172" s="164" t="s">
        <v>734</v>
      </c>
      <c r="F2172" s="164" t="s">
        <v>734</v>
      </c>
      <c r="G2172" s="165">
        <v>18000</v>
      </c>
      <c r="H2172" s="165">
        <v>1</v>
      </c>
      <c r="I2172" s="164" t="s">
        <v>187</v>
      </c>
      <c r="J2172" s="164" t="s">
        <v>735</v>
      </c>
      <c r="K2172" s="164" t="s">
        <v>734</v>
      </c>
      <c r="L2172" s="165">
        <v>1</v>
      </c>
      <c r="M2172" s="165">
        <v>6</v>
      </c>
      <c r="N2172" s="164" t="s">
        <v>189</v>
      </c>
      <c r="O2172" s="165">
        <v>5</v>
      </c>
      <c r="P2172" s="165">
        <v>0</v>
      </c>
      <c r="Q2172" s="165">
        <v>17</v>
      </c>
      <c r="R2172" s="164" t="s">
        <v>190</v>
      </c>
      <c r="S2172" s="164" t="s">
        <v>191</v>
      </c>
      <c r="T2172" s="165">
        <v>222</v>
      </c>
      <c r="U2172" s="164" t="s">
        <v>256</v>
      </c>
      <c r="V2172" s="164" t="s">
        <v>257</v>
      </c>
      <c r="W2172" s="165">
        <v>1</v>
      </c>
      <c r="X2172" s="165">
        <v>2</v>
      </c>
      <c r="Y2172" s="164" t="s">
        <v>194</v>
      </c>
      <c r="Z2172" s="164" t="s">
        <v>195</v>
      </c>
      <c r="AA2172" s="164" t="s">
        <v>196</v>
      </c>
      <c r="AB2172" s="164" t="s">
        <v>187</v>
      </c>
      <c r="AC2172" s="164" t="s">
        <v>187</v>
      </c>
      <c r="AD2172" s="165">
        <v>1</v>
      </c>
      <c r="AE2172" s="164" t="s">
        <v>209</v>
      </c>
      <c r="AF2172" s="165">
        <v>-3.56847</v>
      </c>
      <c r="AG2172" s="166">
        <v>128.19864999999999</v>
      </c>
      <c r="AO2172" s="121"/>
      <c r="AT2172" s="111"/>
      <c r="AX2172" s="121"/>
    </row>
    <row r="2173" spans="1:50" s="110" customFormat="1" ht="20" customHeight="1">
      <c r="A2173" s="125" t="s">
        <v>185</v>
      </c>
      <c r="B2173" s="126" t="s">
        <v>59</v>
      </c>
      <c r="C2173" s="127">
        <v>13074</v>
      </c>
      <c r="D2173" s="163">
        <v>105798</v>
      </c>
      <c r="E2173" s="164" t="s">
        <v>1006</v>
      </c>
      <c r="F2173" s="164" t="s">
        <v>1006</v>
      </c>
      <c r="G2173" s="165">
        <v>16000</v>
      </c>
      <c r="H2173" s="165">
        <v>1</v>
      </c>
      <c r="I2173" s="164" t="s">
        <v>187</v>
      </c>
      <c r="J2173" s="164" t="s">
        <v>1007</v>
      </c>
      <c r="K2173" s="164" t="s">
        <v>1006</v>
      </c>
      <c r="L2173" s="165">
        <v>0</v>
      </c>
      <c r="M2173" s="165">
        <v>6</v>
      </c>
      <c r="N2173" s="164" t="s">
        <v>189</v>
      </c>
      <c r="O2173" s="165">
        <v>5</v>
      </c>
      <c r="P2173" s="165">
        <v>1</v>
      </c>
      <c r="Q2173" s="165">
        <v>17</v>
      </c>
      <c r="R2173" s="164" t="s">
        <v>190</v>
      </c>
      <c r="S2173" s="164" t="s">
        <v>191</v>
      </c>
      <c r="T2173" s="165">
        <v>222</v>
      </c>
      <c r="U2173" s="164" t="s">
        <v>256</v>
      </c>
      <c r="V2173" s="164" t="s">
        <v>257</v>
      </c>
      <c r="W2173" s="165">
        <v>1</v>
      </c>
      <c r="X2173" s="165">
        <v>2</v>
      </c>
      <c r="Y2173" s="164" t="s">
        <v>194</v>
      </c>
      <c r="Z2173" s="164" t="s">
        <v>195</v>
      </c>
      <c r="AA2173" s="164" t="s">
        <v>196</v>
      </c>
      <c r="AB2173" s="164" t="s">
        <v>187</v>
      </c>
      <c r="AC2173" s="164" t="s">
        <v>187</v>
      </c>
      <c r="AD2173" s="165">
        <v>1</v>
      </c>
      <c r="AE2173" s="164" t="s">
        <v>209</v>
      </c>
      <c r="AF2173" s="165">
        <v>-3.3399200000000002</v>
      </c>
      <c r="AG2173" s="166">
        <v>126.95922</v>
      </c>
      <c r="AO2173" s="121"/>
      <c r="AT2173" s="111"/>
      <c r="AX2173" s="121"/>
    </row>
    <row r="2174" spans="1:50" s="110" customFormat="1" ht="20" customHeight="1">
      <c r="A2174" s="125" t="s">
        <v>185</v>
      </c>
      <c r="B2174" s="126" t="s">
        <v>59</v>
      </c>
      <c r="C2174" s="127">
        <v>10456</v>
      </c>
      <c r="D2174" s="163">
        <v>100561</v>
      </c>
      <c r="E2174" s="164" t="s">
        <v>296</v>
      </c>
      <c r="F2174" s="164" t="s">
        <v>296</v>
      </c>
      <c r="G2174" s="165">
        <v>14000</v>
      </c>
      <c r="H2174" s="165">
        <v>1</v>
      </c>
      <c r="I2174" s="164" t="s">
        <v>187</v>
      </c>
      <c r="J2174" s="164" t="s">
        <v>297</v>
      </c>
      <c r="K2174" s="164" t="s">
        <v>296</v>
      </c>
      <c r="L2174" s="165">
        <v>1</v>
      </c>
      <c r="M2174" s="165">
        <v>6</v>
      </c>
      <c r="N2174" s="164" t="s">
        <v>189</v>
      </c>
      <c r="O2174" s="165">
        <v>5</v>
      </c>
      <c r="P2174" s="165">
        <v>0.5</v>
      </c>
      <c r="Q2174" s="165">
        <v>17</v>
      </c>
      <c r="R2174" s="164" t="s">
        <v>190</v>
      </c>
      <c r="S2174" s="164" t="s">
        <v>191</v>
      </c>
      <c r="T2174" s="165">
        <v>222</v>
      </c>
      <c r="U2174" s="164" t="s">
        <v>256</v>
      </c>
      <c r="V2174" s="164" t="s">
        <v>257</v>
      </c>
      <c r="W2174" s="165">
        <v>1</v>
      </c>
      <c r="X2174" s="165">
        <v>2</v>
      </c>
      <c r="Y2174" s="164" t="s">
        <v>194</v>
      </c>
      <c r="Z2174" s="164" t="s">
        <v>195</v>
      </c>
      <c r="AA2174" s="164" t="s">
        <v>196</v>
      </c>
      <c r="AB2174" s="164" t="s">
        <v>187</v>
      </c>
      <c r="AC2174" s="164" t="s">
        <v>187</v>
      </c>
      <c r="AD2174" s="165">
        <v>1</v>
      </c>
      <c r="AE2174" s="164" t="s">
        <v>209</v>
      </c>
      <c r="AF2174" s="165">
        <v>-3.6707399999999999</v>
      </c>
      <c r="AG2174" s="166">
        <v>127.9563</v>
      </c>
      <c r="AO2174" s="121"/>
      <c r="AT2174" s="111"/>
      <c r="AX2174" s="121"/>
    </row>
    <row r="2175" spans="1:50" s="110" customFormat="1" ht="20" customHeight="1">
      <c r="A2175" s="125" t="s">
        <v>185</v>
      </c>
      <c r="B2175" s="126" t="s">
        <v>59</v>
      </c>
      <c r="C2175" s="127">
        <v>14819</v>
      </c>
      <c r="D2175" s="163">
        <v>108795</v>
      </c>
      <c r="E2175" s="164" t="s">
        <v>1355</v>
      </c>
      <c r="F2175" s="164" t="s">
        <v>1355</v>
      </c>
      <c r="G2175" s="165">
        <v>14000</v>
      </c>
      <c r="H2175" s="165">
        <v>1</v>
      </c>
      <c r="I2175" s="164" t="s">
        <v>187</v>
      </c>
      <c r="J2175" s="164" t="s">
        <v>1356</v>
      </c>
      <c r="K2175" s="164" t="s">
        <v>1357</v>
      </c>
      <c r="L2175" s="165">
        <v>1</v>
      </c>
      <c r="M2175" s="165">
        <v>6</v>
      </c>
      <c r="N2175" s="164" t="s">
        <v>189</v>
      </c>
      <c r="O2175" s="165">
        <v>0</v>
      </c>
      <c r="P2175" s="165">
        <v>0</v>
      </c>
      <c r="Q2175" s="165">
        <v>17</v>
      </c>
      <c r="R2175" s="164" t="s">
        <v>190</v>
      </c>
      <c r="S2175" s="164" t="s">
        <v>191</v>
      </c>
      <c r="T2175" s="165">
        <v>222</v>
      </c>
      <c r="U2175" s="164" t="s">
        <v>256</v>
      </c>
      <c r="V2175" s="164" t="s">
        <v>257</v>
      </c>
      <c r="W2175" s="165">
        <v>1</v>
      </c>
      <c r="X2175" s="165">
        <v>2</v>
      </c>
      <c r="Y2175" s="164" t="s">
        <v>194</v>
      </c>
      <c r="Z2175" s="164" t="s">
        <v>195</v>
      </c>
      <c r="AA2175" s="164" t="s">
        <v>196</v>
      </c>
      <c r="AB2175" s="164" t="s">
        <v>187</v>
      </c>
      <c r="AC2175" s="164" t="s">
        <v>187</v>
      </c>
      <c r="AD2175" s="165">
        <v>1</v>
      </c>
      <c r="AE2175" s="164" t="s">
        <v>187</v>
      </c>
      <c r="AF2175" s="165">
        <v>-3.6097800000000002</v>
      </c>
      <c r="AG2175" s="166">
        <v>128.0651</v>
      </c>
      <c r="AO2175" s="121"/>
      <c r="AT2175" s="111"/>
      <c r="AX2175" s="121"/>
    </row>
    <row r="2176" spans="1:50" s="110" customFormat="1" ht="20" customHeight="1">
      <c r="A2176" s="125" t="s">
        <v>185</v>
      </c>
      <c r="B2176" s="126" t="s">
        <v>59</v>
      </c>
      <c r="C2176" s="127">
        <v>13144</v>
      </c>
      <c r="D2176" s="163">
        <v>105912</v>
      </c>
      <c r="E2176" s="164" t="s">
        <v>1028</v>
      </c>
      <c r="F2176" s="164" t="s">
        <v>1028</v>
      </c>
      <c r="G2176" s="165">
        <v>11000</v>
      </c>
      <c r="H2176" s="165">
        <v>1</v>
      </c>
      <c r="I2176" s="164" t="s">
        <v>187</v>
      </c>
      <c r="J2176" s="164" t="s">
        <v>1029</v>
      </c>
      <c r="K2176" s="164" t="s">
        <v>1028</v>
      </c>
      <c r="L2176" s="165">
        <v>1</v>
      </c>
      <c r="M2176" s="165">
        <v>6</v>
      </c>
      <c r="N2176" s="164" t="s">
        <v>189</v>
      </c>
      <c r="O2176" s="165">
        <v>5</v>
      </c>
      <c r="P2176" s="165">
        <v>1</v>
      </c>
      <c r="Q2176" s="165">
        <v>17</v>
      </c>
      <c r="R2176" s="164" t="s">
        <v>190</v>
      </c>
      <c r="S2176" s="164" t="s">
        <v>191</v>
      </c>
      <c r="T2176" s="165">
        <v>222</v>
      </c>
      <c r="U2176" s="164" t="s">
        <v>256</v>
      </c>
      <c r="V2176" s="164" t="s">
        <v>257</v>
      </c>
      <c r="W2176" s="165">
        <v>1</v>
      </c>
      <c r="X2176" s="165">
        <v>2</v>
      </c>
      <c r="Y2176" s="164" t="s">
        <v>194</v>
      </c>
      <c r="Z2176" s="164" t="s">
        <v>195</v>
      </c>
      <c r="AA2176" s="164" t="s">
        <v>196</v>
      </c>
      <c r="AB2176" s="164" t="s">
        <v>187</v>
      </c>
      <c r="AC2176" s="164" t="s">
        <v>187</v>
      </c>
      <c r="AD2176" s="165">
        <v>1</v>
      </c>
      <c r="AE2176" s="164" t="s">
        <v>209</v>
      </c>
      <c r="AF2176" s="165">
        <v>-3.3209300000000002</v>
      </c>
      <c r="AG2176" s="166">
        <v>127.56446</v>
      </c>
      <c r="AO2176" s="121"/>
      <c r="AT2176" s="111"/>
      <c r="AX2176" s="121"/>
    </row>
    <row r="2177" spans="1:50" s="110" customFormat="1" ht="20" customHeight="1">
      <c r="A2177" s="125" t="s">
        <v>185</v>
      </c>
      <c r="B2177" s="126" t="s">
        <v>59</v>
      </c>
      <c r="C2177" s="127">
        <v>14661</v>
      </c>
      <c r="D2177" s="163">
        <v>108549</v>
      </c>
      <c r="E2177" s="164" t="s">
        <v>1316</v>
      </c>
      <c r="F2177" s="164" t="s">
        <v>1316</v>
      </c>
      <c r="G2177" s="165">
        <v>7300</v>
      </c>
      <c r="H2177" s="165">
        <v>1</v>
      </c>
      <c r="I2177" s="164" t="s">
        <v>187</v>
      </c>
      <c r="J2177" s="164" t="s">
        <v>1317</v>
      </c>
      <c r="K2177" s="164" t="s">
        <v>1318</v>
      </c>
      <c r="L2177" s="165">
        <v>3</v>
      </c>
      <c r="M2177" s="165">
        <v>6</v>
      </c>
      <c r="N2177" s="164" t="s">
        <v>189</v>
      </c>
      <c r="O2177" s="165">
        <v>5</v>
      </c>
      <c r="P2177" s="165">
        <v>1</v>
      </c>
      <c r="Q2177" s="165">
        <v>17</v>
      </c>
      <c r="R2177" s="164" t="s">
        <v>190</v>
      </c>
      <c r="S2177" s="164" t="s">
        <v>191</v>
      </c>
      <c r="T2177" s="165">
        <v>222</v>
      </c>
      <c r="U2177" s="164" t="s">
        <v>256</v>
      </c>
      <c r="V2177" s="164" t="s">
        <v>257</v>
      </c>
      <c r="W2177" s="165">
        <v>1</v>
      </c>
      <c r="X2177" s="165">
        <v>2</v>
      </c>
      <c r="Y2177" s="164" t="s">
        <v>194</v>
      </c>
      <c r="Z2177" s="164" t="s">
        <v>195</v>
      </c>
      <c r="AA2177" s="164" t="s">
        <v>196</v>
      </c>
      <c r="AB2177" s="164" t="s">
        <v>187</v>
      </c>
      <c r="AC2177" s="164" t="s">
        <v>187</v>
      </c>
      <c r="AD2177" s="165">
        <v>1</v>
      </c>
      <c r="AE2177" s="164" t="s">
        <v>209</v>
      </c>
      <c r="AF2177" s="165">
        <v>-2.8686799999999999</v>
      </c>
      <c r="AG2177" s="166">
        <v>129.34299999999999</v>
      </c>
      <c r="AO2177" s="121"/>
      <c r="AT2177" s="111"/>
      <c r="AX2177" s="121"/>
    </row>
    <row r="2178" spans="1:50" s="110" customFormat="1" ht="20" customHeight="1">
      <c r="A2178" s="125" t="s">
        <v>185</v>
      </c>
      <c r="B2178" s="126" t="s">
        <v>59</v>
      </c>
      <c r="C2178" s="127">
        <v>13006</v>
      </c>
      <c r="D2178" s="163">
        <v>105673</v>
      </c>
      <c r="E2178" s="164" t="s">
        <v>987</v>
      </c>
      <c r="F2178" s="164" t="s">
        <v>987</v>
      </c>
      <c r="G2178" s="165">
        <v>3900</v>
      </c>
      <c r="H2178" s="165">
        <v>1</v>
      </c>
      <c r="I2178" s="164" t="s">
        <v>187</v>
      </c>
      <c r="J2178" s="164" t="s">
        <v>988</v>
      </c>
      <c r="K2178" s="164" t="s">
        <v>987</v>
      </c>
      <c r="L2178" s="165">
        <v>0</v>
      </c>
      <c r="M2178" s="165">
        <v>6</v>
      </c>
      <c r="N2178" s="164" t="s">
        <v>189</v>
      </c>
      <c r="O2178" s="165">
        <v>4</v>
      </c>
      <c r="P2178" s="165">
        <v>1</v>
      </c>
      <c r="Q2178" s="165">
        <v>17</v>
      </c>
      <c r="R2178" s="164" t="s">
        <v>190</v>
      </c>
      <c r="S2178" s="164" t="s">
        <v>191</v>
      </c>
      <c r="T2178" s="165">
        <v>222</v>
      </c>
      <c r="U2178" s="164" t="s">
        <v>256</v>
      </c>
      <c r="V2178" s="164" t="s">
        <v>257</v>
      </c>
      <c r="W2178" s="165">
        <v>1</v>
      </c>
      <c r="X2178" s="165">
        <v>2</v>
      </c>
      <c r="Y2178" s="164" t="s">
        <v>194</v>
      </c>
      <c r="Z2178" s="164" t="s">
        <v>195</v>
      </c>
      <c r="AA2178" s="164" t="s">
        <v>196</v>
      </c>
      <c r="AB2178" s="164" t="s">
        <v>187</v>
      </c>
      <c r="AC2178" s="164" t="s">
        <v>187</v>
      </c>
      <c r="AD2178" s="165">
        <v>1</v>
      </c>
      <c r="AE2178" s="164" t="s">
        <v>209</v>
      </c>
      <c r="AF2178" s="165">
        <v>-3.4156399999999998</v>
      </c>
      <c r="AG2178" s="166">
        <v>128.66587000000001</v>
      </c>
      <c r="AO2178" s="121"/>
      <c r="AT2178" s="111"/>
      <c r="AX2178" s="121"/>
    </row>
    <row r="2179" spans="1:50" s="110" customFormat="1" ht="20" customHeight="1">
      <c r="A2179" s="125" t="s">
        <v>185</v>
      </c>
      <c r="B2179" s="126" t="s">
        <v>59</v>
      </c>
      <c r="C2179" s="127">
        <v>11874</v>
      </c>
      <c r="D2179" s="157">
        <v>103309</v>
      </c>
      <c r="E2179" s="158" t="s">
        <v>707</v>
      </c>
      <c r="F2179" s="158" t="s">
        <v>707</v>
      </c>
      <c r="G2179" s="159">
        <v>36000</v>
      </c>
      <c r="H2179" s="159">
        <v>2</v>
      </c>
      <c r="I2179" s="158" t="s">
        <v>209</v>
      </c>
      <c r="J2179" s="158" t="s">
        <v>708</v>
      </c>
      <c r="K2179" s="158" t="s">
        <v>707</v>
      </c>
      <c r="L2179" s="159">
        <v>1</v>
      </c>
      <c r="M2179" s="159">
        <v>6</v>
      </c>
      <c r="N2179" s="158" t="s">
        <v>189</v>
      </c>
      <c r="O2179" s="159">
        <v>6</v>
      </c>
      <c r="P2179" s="159">
        <v>0</v>
      </c>
      <c r="Q2179" s="159">
        <v>17</v>
      </c>
      <c r="R2179" s="158" t="s">
        <v>190</v>
      </c>
      <c r="S2179" s="158" t="s">
        <v>191</v>
      </c>
      <c r="T2179" s="159">
        <v>222</v>
      </c>
      <c r="U2179" s="158" t="s">
        <v>256</v>
      </c>
      <c r="V2179" s="158" t="s">
        <v>257</v>
      </c>
      <c r="W2179" s="159">
        <v>1</v>
      </c>
      <c r="X2179" s="159">
        <v>2</v>
      </c>
      <c r="Y2179" s="158" t="s">
        <v>194</v>
      </c>
      <c r="Z2179" s="158" t="s">
        <v>195</v>
      </c>
      <c r="AA2179" s="158" t="s">
        <v>196</v>
      </c>
      <c r="AB2179" s="158" t="s">
        <v>187</v>
      </c>
      <c r="AC2179" s="158" t="s">
        <v>187</v>
      </c>
      <c r="AD2179" s="160"/>
      <c r="AE2179" s="158" t="s">
        <v>209</v>
      </c>
      <c r="AF2179" s="159">
        <v>-3.4675400000000001</v>
      </c>
      <c r="AG2179" s="161">
        <v>130.76909000000001</v>
      </c>
      <c r="AO2179" s="121"/>
      <c r="AT2179" s="111"/>
      <c r="AX2179" s="121"/>
    </row>
    <row r="2180" spans="1:50" s="110" customFormat="1" ht="20" customHeight="1">
      <c r="A2180" s="125" t="s">
        <v>185</v>
      </c>
      <c r="B2180" s="126" t="s">
        <v>59</v>
      </c>
      <c r="C2180" s="127">
        <v>15325</v>
      </c>
      <c r="D2180" s="157">
        <v>109931</v>
      </c>
      <c r="E2180" s="158" t="s">
        <v>1433</v>
      </c>
      <c r="F2180" s="158" t="s">
        <v>1434</v>
      </c>
      <c r="G2180" s="159">
        <v>26000</v>
      </c>
      <c r="H2180" s="159">
        <v>2</v>
      </c>
      <c r="I2180" s="158" t="s">
        <v>209</v>
      </c>
      <c r="J2180" s="158" t="s">
        <v>1435</v>
      </c>
      <c r="K2180" s="158" t="s">
        <v>1436</v>
      </c>
      <c r="L2180" s="159">
        <v>1</v>
      </c>
      <c r="M2180" s="159">
        <v>6</v>
      </c>
      <c r="N2180" s="158" t="s">
        <v>189</v>
      </c>
      <c r="O2180" s="159">
        <v>8</v>
      </c>
      <c r="P2180" s="159">
        <v>1</v>
      </c>
      <c r="Q2180" s="159">
        <v>17</v>
      </c>
      <c r="R2180" s="158" t="s">
        <v>190</v>
      </c>
      <c r="S2180" s="158" t="s">
        <v>191</v>
      </c>
      <c r="T2180" s="159">
        <v>222</v>
      </c>
      <c r="U2180" s="158" t="s">
        <v>256</v>
      </c>
      <c r="V2180" s="158" t="s">
        <v>257</v>
      </c>
      <c r="W2180" s="159">
        <v>1</v>
      </c>
      <c r="X2180" s="159">
        <v>2</v>
      </c>
      <c r="Y2180" s="158" t="s">
        <v>194</v>
      </c>
      <c r="Z2180" s="158" t="s">
        <v>195</v>
      </c>
      <c r="AA2180" s="158" t="s">
        <v>196</v>
      </c>
      <c r="AB2180" s="158" t="s">
        <v>187</v>
      </c>
      <c r="AC2180" s="158" t="s">
        <v>187</v>
      </c>
      <c r="AD2180" s="160"/>
      <c r="AE2180" s="158" t="s">
        <v>209</v>
      </c>
      <c r="AF2180" s="159">
        <v>-3.4249299999999998</v>
      </c>
      <c r="AG2180" s="161">
        <v>129.48921999999999</v>
      </c>
      <c r="AO2180" s="121"/>
      <c r="AT2180" s="111"/>
      <c r="AX2180" s="121"/>
    </row>
    <row r="2181" spans="1:50" s="110" customFormat="1" ht="20" customHeight="1">
      <c r="A2181" s="125" t="s">
        <v>185</v>
      </c>
      <c r="B2181" s="126" t="s">
        <v>59</v>
      </c>
      <c r="C2181" s="127">
        <v>15891</v>
      </c>
      <c r="D2181" s="157">
        <v>110722</v>
      </c>
      <c r="E2181" s="158" t="s">
        <v>1508</v>
      </c>
      <c r="F2181" s="158" t="s">
        <v>1509</v>
      </c>
      <c r="G2181" s="159">
        <v>6000</v>
      </c>
      <c r="H2181" s="159">
        <v>2</v>
      </c>
      <c r="I2181" s="158" t="s">
        <v>209</v>
      </c>
      <c r="J2181" s="158" t="s">
        <v>1510</v>
      </c>
      <c r="K2181" s="158" t="s">
        <v>1508</v>
      </c>
      <c r="L2181" s="159">
        <v>1</v>
      </c>
      <c r="M2181" s="159">
        <v>6</v>
      </c>
      <c r="N2181" s="158" t="s">
        <v>189</v>
      </c>
      <c r="O2181" s="159">
        <v>25</v>
      </c>
      <c r="P2181" s="159">
        <v>2</v>
      </c>
      <c r="Q2181" s="159">
        <v>17</v>
      </c>
      <c r="R2181" s="158" t="s">
        <v>190</v>
      </c>
      <c r="S2181" s="158" t="s">
        <v>191</v>
      </c>
      <c r="T2181" s="159">
        <v>222</v>
      </c>
      <c r="U2181" s="158" t="s">
        <v>256</v>
      </c>
      <c r="V2181" s="158" t="s">
        <v>257</v>
      </c>
      <c r="W2181" s="159">
        <v>1</v>
      </c>
      <c r="X2181" s="159">
        <v>2</v>
      </c>
      <c r="Y2181" s="158" t="s">
        <v>194</v>
      </c>
      <c r="Z2181" s="158" t="s">
        <v>195</v>
      </c>
      <c r="AA2181" s="158" t="s">
        <v>196</v>
      </c>
      <c r="AB2181" s="158" t="s">
        <v>187</v>
      </c>
      <c r="AC2181" s="158" t="s">
        <v>187</v>
      </c>
      <c r="AD2181" s="160"/>
      <c r="AE2181" s="158" t="s">
        <v>209</v>
      </c>
      <c r="AF2181" s="159">
        <v>-4.4781000000000004</v>
      </c>
      <c r="AG2181" s="161">
        <v>131.64254</v>
      </c>
      <c r="AO2181" s="121"/>
      <c r="AT2181" s="111"/>
      <c r="AX2181" s="121"/>
    </row>
    <row r="2182" spans="1:50" s="110" customFormat="1" ht="20" customHeight="1">
      <c r="A2182" s="125" t="s">
        <v>185</v>
      </c>
      <c r="B2182" s="126" t="s">
        <v>59</v>
      </c>
      <c r="C2182" s="127">
        <v>13073</v>
      </c>
      <c r="D2182" s="157">
        <v>105797</v>
      </c>
      <c r="E2182" s="158" t="s">
        <v>1004</v>
      </c>
      <c r="F2182" s="158" t="s">
        <v>1004</v>
      </c>
      <c r="G2182" s="159">
        <v>3200</v>
      </c>
      <c r="H2182" s="159">
        <v>2</v>
      </c>
      <c r="I2182" s="158" t="s">
        <v>209</v>
      </c>
      <c r="J2182" s="158" t="s">
        <v>1005</v>
      </c>
      <c r="K2182" s="158" t="s">
        <v>1004</v>
      </c>
      <c r="L2182" s="159">
        <v>1</v>
      </c>
      <c r="M2182" s="159">
        <v>6</v>
      </c>
      <c r="N2182" s="158" t="s">
        <v>189</v>
      </c>
      <c r="O2182" s="159">
        <v>35</v>
      </c>
      <c r="P2182" s="159">
        <v>2</v>
      </c>
      <c r="Q2182" s="159">
        <v>17</v>
      </c>
      <c r="R2182" s="158" t="s">
        <v>190</v>
      </c>
      <c r="S2182" s="158" t="s">
        <v>191</v>
      </c>
      <c r="T2182" s="159">
        <v>222</v>
      </c>
      <c r="U2182" s="158" t="s">
        <v>256</v>
      </c>
      <c r="V2182" s="158" t="s">
        <v>257</v>
      </c>
      <c r="W2182" s="159">
        <v>1</v>
      </c>
      <c r="X2182" s="159">
        <v>2</v>
      </c>
      <c r="Y2182" s="158" t="s">
        <v>194</v>
      </c>
      <c r="Z2182" s="158" t="s">
        <v>195</v>
      </c>
      <c r="AA2182" s="158" t="s">
        <v>196</v>
      </c>
      <c r="AB2182" s="158" t="s">
        <v>187</v>
      </c>
      <c r="AC2182" s="158" t="s">
        <v>187</v>
      </c>
      <c r="AD2182" s="160"/>
      <c r="AE2182" s="158" t="s">
        <v>209</v>
      </c>
      <c r="AF2182" s="159">
        <v>-2.9472100000000001</v>
      </c>
      <c r="AG2182" s="161">
        <v>128.12768</v>
      </c>
      <c r="AO2182" s="121"/>
      <c r="AT2182" s="111"/>
      <c r="AX2182" s="121"/>
    </row>
    <row r="2183" spans="1:50" s="110" customFormat="1" ht="20" customHeight="1">
      <c r="A2183" s="125" t="s">
        <v>185</v>
      </c>
      <c r="B2183" s="126" t="s">
        <v>59</v>
      </c>
      <c r="C2183" s="127">
        <v>13512</v>
      </c>
      <c r="D2183" s="157">
        <v>106267</v>
      </c>
      <c r="E2183" s="158" t="s">
        <v>1107</v>
      </c>
      <c r="F2183" s="158" t="s">
        <v>1107</v>
      </c>
      <c r="G2183" s="159">
        <v>2600</v>
      </c>
      <c r="H2183" s="159">
        <v>2</v>
      </c>
      <c r="I2183" s="158" t="s">
        <v>209</v>
      </c>
      <c r="J2183" s="158" t="s">
        <v>1108</v>
      </c>
      <c r="K2183" s="158" t="s">
        <v>1109</v>
      </c>
      <c r="L2183" s="159">
        <v>1</v>
      </c>
      <c r="M2183" s="159">
        <v>6</v>
      </c>
      <c r="N2183" s="158" t="s">
        <v>189</v>
      </c>
      <c r="O2183" s="159">
        <v>9</v>
      </c>
      <c r="P2183" s="159">
        <v>2</v>
      </c>
      <c r="Q2183" s="159">
        <v>17</v>
      </c>
      <c r="R2183" s="158" t="s">
        <v>190</v>
      </c>
      <c r="S2183" s="158" t="s">
        <v>191</v>
      </c>
      <c r="T2183" s="159">
        <v>222</v>
      </c>
      <c r="U2183" s="158" t="s">
        <v>256</v>
      </c>
      <c r="V2183" s="158" t="s">
        <v>257</v>
      </c>
      <c r="W2183" s="159">
        <v>1</v>
      </c>
      <c r="X2183" s="159">
        <v>2</v>
      </c>
      <c r="Y2183" s="158" t="s">
        <v>194</v>
      </c>
      <c r="Z2183" s="158" t="s">
        <v>195</v>
      </c>
      <c r="AA2183" s="158" t="s">
        <v>196</v>
      </c>
      <c r="AB2183" s="158" t="s">
        <v>187</v>
      </c>
      <c r="AC2183" s="158" t="s">
        <v>187</v>
      </c>
      <c r="AD2183" s="160"/>
      <c r="AE2183" s="158" t="s">
        <v>209</v>
      </c>
      <c r="AF2183" s="159">
        <v>-3.33527</v>
      </c>
      <c r="AG2183" s="161">
        <v>127.59737</v>
      </c>
      <c r="AO2183" s="121"/>
      <c r="AT2183" s="111"/>
      <c r="AX2183" s="121"/>
    </row>
    <row r="2184" spans="1:50" s="110" customFormat="1" ht="20" customHeight="1">
      <c r="A2184" s="125" t="s">
        <v>185</v>
      </c>
      <c r="B2184" s="126" t="s">
        <v>59</v>
      </c>
      <c r="C2184" s="127">
        <v>15625</v>
      </c>
      <c r="D2184" s="145">
        <v>110262</v>
      </c>
      <c r="E2184" s="146" t="s">
        <v>1468</v>
      </c>
      <c r="F2184" s="146" t="s">
        <v>1469</v>
      </c>
      <c r="G2184" s="147">
        <v>30000</v>
      </c>
      <c r="H2184" s="147">
        <v>4</v>
      </c>
      <c r="I2184" s="146" t="s">
        <v>209</v>
      </c>
      <c r="J2184" s="146" t="s">
        <v>1470</v>
      </c>
      <c r="K2184" s="146" t="s">
        <v>1468</v>
      </c>
      <c r="L2184" s="147">
        <v>0</v>
      </c>
      <c r="M2184" s="147">
        <v>6</v>
      </c>
      <c r="N2184" s="146" t="s">
        <v>189</v>
      </c>
      <c r="O2184" s="147">
        <v>30</v>
      </c>
      <c r="P2184" s="147">
        <v>3</v>
      </c>
      <c r="Q2184" s="147">
        <v>17</v>
      </c>
      <c r="R2184" s="146" t="s">
        <v>190</v>
      </c>
      <c r="S2184" s="146" t="s">
        <v>191</v>
      </c>
      <c r="T2184" s="147">
        <v>222</v>
      </c>
      <c r="U2184" s="146" t="s">
        <v>256</v>
      </c>
      <c r="V2184" s="146" t="s">
        <v>257</v>
      </c>
      <c r="W2184" s="147">
        <v>1</v>
      </c>
      <c r="X2184" s="147">
        <v>2</v>
      </c>
      <c r="Y2184" s="146" t="s">
        <v>194</v>
      </c>
      <c r="Z2184" s="146" t="s">
        <v>195</v>
      </c>
      <c r="AA2184" s="146" t="s">
        <v>196</v>
      </c>
      <c r="AB2184" s="146" t="s">
        <v>187</v>
      </c>
      <c r="AC2184" s="146" t="s">
        <v>187</v>
      </c>
      <c r="AD2184" s="148"/>
      <c r="AE2184" s="146" t="s">
        <v>209</v>
      </c>
      <c r="AF2184" s="147">
        <v>-3.56928</v>
      </c>
      <c r="AG2184" s="149">
        <v>128.31019000000001</v>
      </c>
      <c r="AO2184" s="121"/>
      <c r="AT2184" s="111"/>
      <c r="AX2184" s="121"/>
    </row>
    <row r="2185" spans="1:50" s="110" customFormat="1" ht="20" customHeight="1">
      <c r="A2185" s="125" t="s">
        <v>185</v>
      </c>
      <c r="B2185" s="126" t="s">
        <v>59</v>
      </c>
      <c r="C2185" s="127">
        <v>12998</v>
      </c>
      <c r="D2185" s="145">
        <v>105654</v>
      </c>
      <c r="E2185" s="146" t="s">
        <v>980</v>
      </c>
      <c r="F2185" s="146" t="s">
        <v>980</v>
      </c>
      <c r="G2185" s="147">
        <v>16000</v>
      </c>
      <c r="H2185" s="147">
        <v>4</v>
      </c>
      <c r="I2185" s="146" t="s">
        <v>209</v>
      </c>
      <c r="J2185" s="146" t="s">
        <v>981</v>
      </c>
      <c r="K2185" s="146" t="s">
        <v>980</v>
      </c>
      <c r="L2185" s="147">
        <v>1</v>
      </c>
      <c r="M2185" s="147">
        <v>6</v>
      </c>
      <c r="N2185" s="146" t="s">
        <v>189</v>
      </c>
      <c r="O2185" s="147">
        <v>25</v>
      </c>
      <c r="P2185" s="147">
        <v>3</v>
      </c>
      <c r="Q2185" s="147">
        <v>17</v>
      </c>
      <c r="R2185" s="146" t="s">
        <v>190</v>
      </c>
      <c r="S2185" s="146" t="s">
        <v>191</v>
      </c>
      <c r="T2185" s="147">
        <v>222</v>
      </c>
      <c r="U2185" s="146" t="s">
        <v>256</v>
      </c>
      <c r="V2185" s="146" t="s">
        <v>257</v>
      </c>
      <c r="W2185" s="147">
        <v>1</v>
      </c>
      <c r="X2185" s="147">
        <v>2</v>
      </c>
      <c r="Y2185" s="146" t="s">
        <v>194</v>
      </c>
      <c r="Z2185" s="146" t="s">
        <v>195</v>
      </c>
      <c r="AA2185" s="146" t="s">
        <v>196</v>
      </c>
      <c r="AB2185" s="146" t="s">
        <v>187</v>
      </c>
      <c r="AC2185" s="146" t="s">
        <v>187</v>
      </c>
      <c r="AD2185" s="148"/>
      <c r="AE2185" s="146" t="s">
        <v>209</v>
      </c>
      <c r="AF2185" s="147">
        <v>-3.7538100000000001</v>
      </c>
      <c r="AG2185" s="149">
        <v>127.94991</v>
      </c>
      <c r="AO2185" s="121"/>
      <c r="AT2185" s="111"/>
      <c r="AX2185" s="121"/>
    </row>
    <row r="2186" spans="1:50" s="110" customFormat="1" ht="20" customHeight="1">
      <c r="A2186" s="125" t="s">
        <v>185</v>
      </c>
      <c r="B2186" s="126" t="s">
        <v>59</v>
      </c>
      <c r="C2186" s="127">
        <v>10278</v>
      </c>
      <c r="D2186" s="145">
        <v>100268</v>
      </c>
      <c r="E2186" s="146" t="s">
        <v>258</v>
      </c>
      <c r="F2186" s="146" t="s">
        <v>258</v>
      </c>
      <c r="G2186" s="147">
        <v>8700</v>
      </c>
      <c r="H2186" s="147">
        <v>4</v>
      </c>
      <c r="I2186" s="146" t="s">
        <v>209</v>
      </c>
      <c r="J2186" s="146" t="s">
        <v>259</v>
      </c>
      <c r="K2186" s="146" t="s">
        <v>258</v>
      </c>
      <c r="L2186" s="147">
        <v>1</v>
      </c>
      <c r="M2186" s="147">
        <v>6</v>
      </c>
      <c r="N2186" s="146" t="s">
        <v>189</v>
      </c>
      <c r="O2186" s="147">
        <v>6</v>
      </c>
      <c r="P2186" s="147">
        <v>3</v>
      </c>
      <c r="Q2186" s="147">
        <v>17</v>
      </c>
      <c r="R2186" s="146" t="s">
        <v>190</v>
      </c>
      <c r="S2186" s="146" t="s">
        <v>191</v>
      </c>
      <c r="T2186" s="147">
        <v>222</v>
      </c>
      <c r="U2186" s="146" t="s">
        <v>256</v>
      </c>
      <c r="V2186" s="146" t="s">
        <v>257</v>
      </c>
      <c r="W2186" s="147">
        <v>1</v>
      </c>
      <c r="X2186" s="147">
        <v>2</v>
      </c>
      <c r="Y2186" s="146" t="s">
        <v>194</v>
      </c>
      <c r="Z2186" s="146" t="s">
        <v>195</v>
      </c>
      <c r="AA2186" s="146" t="s">
        <v>196</v>
      </c>
      <c r="AB2186" s="146" t="s">
        <v>187</v>
      </c>
      <c r="AC2186" s="146" t="s">
        <v>187</v>
      </c>
      <c r="AD2186" s="148"/>
      <c r="AE2186" s="146" t="s">
        <v>209</v>
      </c>
      <c r="AF2186" s="147">
        <v>-3.8517700000000001</v>
      </c>
      <c r="AG2186" s="149">
        <v>127.19418</v>
      </c>
      <c r="AO2186" s="121"/>
      <c r="AT2186" s="111"/>
      <c r="AX2186" s="121"/>
    </row>
    <row r="2187" spans="1:50" s="110" customFormat="1" ht="20" customHeight="1">
      <c r="A2187" s="125" t="s">
        <v>185</v>
      </c>
      <c r="B2187" s="126" t="s">
        <v>59</v>
      </c>
      <c r="C2187" s="127">
        <v>10900</v>
      </c>
      <c r="D2187" s="145">
        <v>101528</v>
      </c>
      <c r="E2187" s="146" t="s">
        <v>521</v>
      </c>
      <c r="F2187" s="146" t="s">
        <v>522</v>
      </c>
      <c r="G2187" s="147">
        <v>8100</v>
      </c>
      <c r="H2187" s="147">
        <v>4</v>
      </c>
      <c r="I2187" s="146" t="s">
        <v>209</v>
      </c>
      <c r="J2187" s="146" t="s">
        <v>523</v>
      </c>
      <c r="K2187" s="146" t="s">
        <v>521</v>
      </c>
      <c r="L2187" s="147">
        <v>1</v>
      </c>
      <c r="M2187" s="147">
        <v>6</v>
      </c>
      <c r="N2187" s="146" t="s">
        <v>189</v>
      </c>
      <c r="O2187" s="147">
        <v>34</v>
      </c>
      <c r="P2187" s="147">
        <v>4</v>
      </c>
      <c r="Q2187" s="147">
        <v>17</v>
      </c>
      <c r="R2187" s="146" t="s">
        <v>190</v>
      </c>
      <c r="S2187" s="146" t="s">
        <v>191</v>
      </c>
      <c r="T2187" s="147">
        <v>222</v>
      </c>
      <c r="U2187" s="146" t="s">
        <v>256</v>
      </c>
      <c r="V2187" s="146" t="s">
        <v>257</v>
      </c>
      <c r="W2187" s="147">
        <v>1</v>
      </c>
      <c r="X2187" s="147">
        <v>2</v>
      </c>
      <c r="Y2187" s="146" t="s">
        <v>194</v>
      </c>
      <c r="Z2187" s="146" t="s">
        <v>195</v>
      </c>
      <c r="AA2187" s="146" t="s">
        <v>196</v>
      </c>
      <c r="AB2187" s="146" t="s">
        <v>187</v>
      </c>
      <c r="AC2187" s="146" t="s">
        <v>187</v>
      </c>
      <c r="AD2187" s="148"/>
      <c r="AE2187" s="146" t="s">
        <v>209</v>
      </c>
      <c r="AF2187" s="147">
        <v>-3.4454500000000001</v>
      </c>
      <c r="AG2187" s="149">
        <v>130.17015000000001</v>
      </c>
      <c r="AO2187" s="121"/>
      <c r="AT2187" s="111"/>
      <c r="AX2187" s="121"/>
    </row>
    <row r="2188" spans="1:50" s="110" customFormat="1" ht="20" customHeight="1">
      <c r="A2188" s="125" t="s">
        <v>185</v>
      </c>
      <c r="B2188" s="126" t="s">
        <v>59</v>
      </c>
      <c r="C2188" s="127">
        <v>10897</v>
      </c>
      <c r="D2188" s="145">
        <v>101522</v>
      </c>
      <c r="E2188" s="146" t="s">
        <v>515</v>
      </c>
      <c r="F2188" s="146" t="s">
        <v>515</v>
      </c>
      <c r="G2188" s="147">
        <v>5700</v>
      </c>
      <c r="H2188" s="147">
        <v>4</v>
      </c>
      <c r="I2188" s="146" t="s">
        <v>209</v>
      </c>
      <c r="J2188" s="146" t="s">
        <v>516</v>
      </c>
      <c r="K2188" s="146" t="s">
        <v>515</v>
      </c>
      <c r="L2188" s="147">
        <v>1</v>
      </c>
      <c r="M2188" s="147">
        <v>6</v>
      </c>
      <c r="N2188" s="146" t="s">
        <v>189</v>
      </c>
      <c r="O2188" s="147">
        <v>30</v>
      </c>
      <c r="P2188" s="147">
        <v>6</v>
      </c>
      <c r="Q2188" s="147">
        <v>17</v>
      </c>
      <c r="R2188" s="146" t="s">
        <v>190</v>
      </c>
      <c r="S2188" s="146" t="s">
        <v>191</v>
      </c>
      <c r="T2188" s="147">
        <v>222</v>
      </c>
      <c r="U2188" s="146" t="s">
        <v>256</v>
      </c>
      <c r="V2188" s="146" t="s">
        <v>257</v>
      </c>
      <c r="W2188" s="147">
        <v>1</v>
      </c>
      <c r="X2188" s="147">
        <v>2</v>
      </c>
      <c r="Y2188" s="146" t="s">
        <v>194</v>
      </c>
      <c r="Z2188" s="146" t="s">
        <v>195</v>
      </c>
      <c r="AA2188" s="146" t="s">
        <v>196</v>
      </c>
      <c r="AB2188" s="146" t="s">
        <v>187</v>
      </c>
      <c r="AC2188" s="146" t="s">
        <v>187</v>
      </c>
      <c r="AD2188" s="148"/>
      <c r="AE2188" s="146" t="s">
        <v>209</v>
      </c>
      <c r="AF2188" s="147">
        <v>-2.9481000000000002</v>
      </c>
      <c r="AG2188" s="149">
        <v>127.95508</v>
      </c>
      <c r="AO2188" s="121"/>
      <c r="AT2188" s="111"/>
      <c r="AX2188" s="121"/>
    </row>
    <row r="2189" spans="1:50" s="110" customFormat="1" ht="20" customHeight="1">
      <c r="A2189" s="125" t="s">
        <v>185</v>
      </c>
      <c r="B2189" s="126" t="s">
        <v>59</v>
      </c>
      <c r="C2189" s="127">
        <v>15235</v>
      </c>
      <c r="D2189" s="145">
        <v>109792</v>
      </c>
      <c r="E2189" s="146" t="s">
        <v>1417</v>
      </c>
      <c r="F2189" s="146" t="s">
        <v>1418</v>
      </c>
      <c r="G2189" s="147">
        <v>4000</v>
      </c>
      <c r="H2189" s="147">
        <v>4</v>
      </c>
      <c r="I2189" s="146" t="s">
        <v>209</v>
      </c>
      <c r="J2189" s="146" t="s">
        <v>1419</v>
      </c>
      <c r="K2189" s="146" t="s">
        <v>1420</v>
      </c>
      <c r="L2189" s="147">
        <v>1</v>
      </c>
      <c r="M2189" s="147">
        <v>6</v>
      </c>
      <c r="N2189" s="146" t="s">
        <v>189</v>
      </c>
      <c r="O2189" s="147">
        <v>10</v>
      </c>
      <c r="P2189" s="147">
        <v>3</v>
      </c>
      <c r="Q2189" s="147">
        <v>17</v>
      </c>
      <c r="R2189" s="146" t="s">
        <v>190</v>
      </c>
      <c r="S2189" s="146" t="s">
        <v>191</v>
      </c>
      <c r="T2189" s="147">
        <v>222</v>
      </c>
      <c r="U2189" s="146" t="s">
        <v>256</v>
      </c>
      <c r="V2189" s="146" t="s">
        <v>257</v>
      </c>
      <c r="W2189" s="147">
        <v>1</v>
      </c>
      <c r="X2189" s="147">
        <v>2</v>
      </c>
      <c r="Y2189" s="146" t="s">
        <v>194</v>
      </c>
      <c r="Z2189" s="146" t="s">
        <v>195</v>
      </c>
      <c r="AA2189" s="146" t="s">
        <v>196</v>
      </c>
      <c r="AB2189" s="146" t="s">
        <v>187</v>
      </c>
      <c r="AC2189" s="146" t="s">
        <v>187</v>
      </c>
      <c r="AD2189" s="148"/>
      <c r="AE2189" s="146" t="s">
        <v>209</v>
      </c>
      <c r="AF2189" s="147">
        <v>-3.3668199999430599</v>
      </c>
      <c r="AG2189" s="149">
        <v>129.24343999955599</v>
      </c>
      <c r="AO2189" s="121"/>
      <c r="AT2189" s="111"/>
      <c r="AX2189" s="121"/>
    </row>
    <row r="2190" spans="1:50" s="110" customFormat="1" ht="20" customHeight="1">
      <c r="A2190" s="125" t="s">
        <v>185</v>
      </c>
      <c r="B2190" s="126" t="s">
        <v>59</v>
      </c>
      <c r="C2190" s="127">
        <v>14052</v>
      </c>
      <c r="D2190" s="145">
        <v>107490</v>
      </c>
      <c r="E2190" s="146" t="s">
        <v>1164</v>
      </c>
      <c r="F2190" s="146" t="s">
        <v>1164</v>
      </c>
      <c r="G2190" s="147">
        <v>700</v>
      </c>
      <c r="H2190" s="147">
        <v>4</v>
      </c>
      <c r="I2190" s="146" t="s">
        <v>209</v>
      </c>
      <c r="J2190" s="146" t="s">
        <v>1165</v>
      </c>
      <c r="K2190" s="146" t="s">
        <v>1164</v>
      </c>
      <c r="L2190" s="147">
        <v>3</v>
      </c>
      <c r="M2190" s="147">
        <v>6</v>
      </c>
      <c r="N2190" s="146" t="s">
        <v>189</v>
      </c>
      <c r="O2190" s="147">
        <v>10</v>
      </c>
      <c r="P2190" s="147">
        <v>4</v>
      </c>
      <c r="Q2190" s="147">
        <v>17</v>
      </c>
      <c r="R2190" s="146" t="s">
        <v>190</v>
      </c>
      <c r="S2190" s="146" t="s">
        <v>191</v>
      </c>
      <c r="T2190" s="147">
        <v>222</v>
      </c>
      <c r="U2190" s="146" t="s">
        <v>256</v>
      </c>
      <c r="V2190" s="146" t="s">
        <v>257</v>
      </c>
      <c r="W2190" s="147">
        <v>1</v>
      </c>
      <c r="X2190" s="147">
        <v>2</v>
      </c>
      <c r="Y2190" s="146" t="s">
        <v>194</v>
      </c>
      <c r="Z2190" s="146" t="s">
        <v>195</v>
      </c>
      <c r="AA2190" s="146" t="s">
        <v>196</v>
      </c>
      <c r="AB2190" s="146" t="s">
        <v>187</v>
      </c>
      <c r="AC2190" s="146" t="s">
        <v>187</v>
      </c>
      <c r="AD2190" s="148"/>
      <c r="AE2190" s="146" t="s">
        <v>209</v>
      </c>
      <c r="AF2190" s="147">
        <v>-2.9197899999999999</v>
      </c>
      <c r="AG2190" s="149">
        <v>129.28304</v>
      </c>
      <c r="AO2190" s="121"/>
      <c r="AT2190" s="111"/>
      <c r="AX2190" s="121"/>
    </row>
    <row r="2191" spans="1:50" s="110" customFormat="1" ht="20" customHeight="1">
      <c r="A2191" s="125" t="s">
        <v>185</v>
      </c>
      <c r="B2191" s="126" t="s">
        <v>59</v>
      </c>
      <c r="C2191" s="127">
        <v>10261</v>
      </c>
      <c r="D2191" s="128">
        <v>100244</v>
      </c>
      <c r="E2191" s="129" t="s">
        <v>253</v>
      </c>
      <c r="F2191" s="129" t="s">
        <v>253</v>
      </c>
      <c r="G2191" s="130">
        <v>80</v>
      </c>
      <c r="H2191" s="130">
        <v>5</v>
      </c>
      <c r="I2191" s="129" t="s">
        <v>209</v>
      </c>
      <c r="J2191" s="129" t="s">
        <v>254</v>
      </c>
      <c r="K2191" s="129" t="s">
        <v>255</v>
      </c>
      <c r="L2191" s="130">
        <v>3</v>
      </c>
      <c r="M2191" s="130">
        <v>6</v>
      </c>
      <c r="N2191" s="129" t="s">
        <v>189</v>
      </c>
      <c r="O2191" s="130">
        <v>35</v>
      </c>
      <c r="P2191" s="130">
        <v>12</v>
      </c>
      <c r="Q2191" s="130">
        <v>17</v>
      </c>
      <c r="R2191" s="129" t="s">
        <v>190</v>
      </c>
      <c r="S2191" s="129" t="s">
        <v>191</v>
      </c>
      <c r="T2191" s="130">
        <v>222</v>
      </c>
      <c r="U2191" s="129" t="s">
        <v>256</v>
      </c>
      <c r="V2191" s="129" t="s">
        <v>257</v>
      </c>
      <c r="W2191" s="130">
        <v>1</v>
      </c>
      <c r="X2191" s="130">
        <v>2</v>
      </c>
      <c r="Y2191" s="129" t="s">
        <v>194</v>
      </c>
      <c r="Z2191" s="129" t="s">
        <v>195</v>
      </c>
      <c r="AA2191" s="129" t="s">
        <v>196</v>
      </c>
      <c r="AB2191" s="129" t="s">
        <v>187</v>
      </c>
      <c r="AC2191" s="129" t="s">
        <v>187</v>
      </c>
      <c r="AD2191" s="131"/>
      <c r="AE2191" s="129" t="s">
        <v>209</v>
      </c>
      <c r="AF2191" s="130">
        <v>-3.3184499999999999</v>
      </c>
      <c r="AG2191" s="132">
        <v>128.94537</v>
      </c>
      <c r="AO2191" s="121"/>
      <c r="AT2191" s="111"/>
      <c r="AX2191" s="121"/>
    </row>
    <row r="2192" spans="1:50" s="110" customFormat="1" ht="20" customHeight="1">
      <c r="A2192" s="125" t="s">
        <v>185</v>
      </c>
      <c r="B2192" s="126" t="s">
        <v>59</v>
      </c>
      <c r="C2192" s="127">
        <v>15447</v>
      </c>
      <c r="D2192" s="163">
        <v>109972</v>
      </c>
      <c r="E2192" s="164" t="s">
        <v>1439</v>
      </c>
      <c r="F2192" s="164" t="s">
        <v>1439</v>
      </c>
      <c r="G2192" s="165">
        <v>68000</v>
      </c>
      <c r="H2192" s="165">
        <v>1</v>
      </c>
      <c r="I2192" s="164" t="s">
        <v>187</v>
      </c>
      <c r="J2192" s="164" t="s">
        <v>1440</v>
      </c>
      <c r="K2192" s="164" t="s">
        <v>1439</v>
      </c>
      <c r="L2192" s="165">
        <v>1</v>
      </c>
      <c r="M2192" s="165">
        <v>6</v>
      </c>
      <c r="N2192" s="164" t="s">
        <v>189</v>
      </c>
      <c r="O2192" s="165">
        <v>2.7E-2</v>
      </c>
      <c r="P2192" s="165">
        <v>2.7E-2</v>
      </c>
      <c r="Q2192" s="165">
        <v>17</v>
      </c>
      <c r="R2192" s="164" t="s">
        <v>190</v>
      </c>
      <c r="S2192" s="164" t="s">
        <v>191</v>
      </c>
      <c r="T2192" s="165">
        <v>223</v>
      </c>
      <c r="U2192" s="164" t="s">
        <v>557</v>
      </c>
      <c r="V2192" s="164" t="s">
        <v>558</v>
      </c>
      <c r="W2192" s="165">
        <v>1</v>
      </c>
      <c r="X2192" s="165">
        <v>2</v>
      </c>
      <c r="Y2192" s="164" t="s">
        <v>194</v>
      </c>
      <c r="Z2192" s="164" t="s">
        <v>195</v>
      </c>
      <c r="AA2192" s="164" t="s">
        <v>196</v>
      </c>
      <c r="AB2192" s="164" t="s">
        <v>187</v>
      </c>
      <c r="AC2192" s="164" t="s">
        <v>187</v>
      </c>
      <c r="AD2192" s="165">
        <v>1</v>
      </c>
      <c r="AE2192" s="164" t="s">
        <v>187</v>
      </c>
      <c r="AF2192" s="165">
        <v>0.80562999999999996</v>
      </c>
      <c r="AG2192" s="166">
        <v>127.33347000000001</v>
      </c>
      <c r="AO2192" s="121"/>
      <c r="AT2192" s="111"/>
      <c r="AX2192" s="121"/>
    </row>
    <row r="2193" spans="1:50" s="110" customFormat="1" ht="20" customHeight="1">
      <c r="A2193" s="125" t="s">
        <v>185</v>
      </c>
      <c r="B2193" s="126" t="s">
        <v>59</v>
      </c>
      <c r="C2193" s="127">
        <v>15474</v>
      </c>
      <c r="D2193" s="163">
        <v>110043</v>
      </c>
      <c r="E2193" s="164" t="s">
        <v>1447</v>
      </c>
      <c r="F2193" s="164" t="s">
        <v>1447</v>
      </c>
      <c r="G2193" s="165">
        <v>52000</v>
      </c>
      <c r="H2193" s="165">
        <v>1</v>
      </c>
      <c r="I2193" s="164" t="s">
        <v>187</v>
      </c>
      <c r="J2193" s="164" t="s">
        <v>1448</v>
      </c>
      <c r="K2193" s="164" t="s">
        <v>1447</v>
      </c>
      <c r="L2193" s="165">
        <v>4</v>
      </c>
      <c r="M2193" s="165">
        <v>6</v>
      </c>
      <c r="N2193" s="164" t="s">
        <v>189</v>
      </c>
      <c r="O2193" s="165">
        <v>5</v>
      </c>
      <c r="P2193" s="165">
        <v>5.1999999999999998E-2</v>
      </c>
      <c r="Q2193" s="165">
        <v>17</v>
      </c>
      <c r="R2193" s="164" t="s">
        <v>190</v>
      </c>
      <c r="S2193" s="164" t="s">
        <v>191</v>
      </c>
      <c r="T2193" s="165">
        <v>223</v>
      </c>
      <c r="U2193" s="164" t="s">
        <v>557</v>
      </c>
      <c r="V2193" s="164" t="s">
        <v>558</v>
      </c>
      <c r="W2193" s="165">
        <v>1</v>
      </c>
      <c r="X2193" s="165">
        <v>2</v>
      </c>
      <c r="Y2193" s="164" t="s">
        <v>194</v>
      </c>
      <c r="Z2193" s="164" t="s">
        <v>195</v>
      </c>
      <c r="AA2193" s="164" t="s">
        <v>196</v>
      </c>
      <c r="AB2193" s="164" t="s">
        <v>187</v>
      </c>
      <c r="AC2193" s="164" t="s">
        <v>187</v>
      </c>
      <c r="AD2193" s="165">
        <v>1</v>
      </c>
      <c r="AE2193" s="164" t="s">
        <v>209</v>
      </c>
      <c r="AF2193" s="165">
        <v>0.37824999999999998</v>
      </c>
      <c r="AG2193" s="166">
        <v>127.63533</v>
      </c>
      <c r="AO2193" s="121"/>
      <c r="AT2193" s="111"/>
      <c r="AX2193" s="121"/>
    </row>
    <row r="2194" spans="1:50" s="110" customFormat="1" ht="20" customHeight="1">
      <c r="A2194" s="125" t="s">
        <v>185</v>
      </c>
      <c r="B2194" s="126" t="s">
        <v>59</v>
      </c>
      <c r="C2194" s="127">
        <v>13423</v>
      </c>
      <c r="D2194" s="163">
        <v>106091</v>
      </c>
      <c r="E2194" s="164" t="s">
        <v>670</v>
      </c>
      <c r="F2194" s="164" t="s">
        <v>670</v>
      </c>
      <c r="G2194" s="165">
        <v>34000</v>
      </c>
      <c r="H2194" s="165">
        <v>1</v>
      </c>
      <c r="I2194" s="164" t="s">
        <v>187</v>
      </c>
      <c r="J2194" s="164" t="s">
        <v>671</v>
      </c>
      <c r="K2194" s="164" t="s">
        <v>672</v>
      </c>
      <c r="L2194" s="165">
        <v>1</v>
      </c>
      <c r="M2194" s="165">
        <v>6</v>
      </c>
      <c r="N2194" s="164" t="s">
        <v>189</v>
      </c>
      <c r="O2194" s="165">
        <v>0</v>
      </c>
      <c r="P2194" s="165">
        <v>0</v>
      </c>
      <c r="Q2194" s="165">
        <v>17</v>
      </c>
      <c r="R2194" s="164" t="s">
        <v>190</v>
      </c>
      <c r="S2194" s="164" t="s">
        <v>191</v>
      </c>
      <c r="T2194" s="165">
        <v>223</v>
      </c>
      <c r="U2194" s="164" t="s">
        <v>557</v>
      </c>
      <c r="V2194" s="164" t="s">
        <v>558</v>
      </c>
      <c r="W2194" s="165">
        <v>1</v>
      </c>
      <c r="X2194" s="165">
        <v>2</v>
      </c>
      <c r="Y2194" s="164" t="s">
        <v>194</v>
      </c>
      <c r="Z2194" s="164" t="s">
        <v>195</v>
      </c>
      <c r="AA2194" s="164" t="s">
        <v>196</v>
      </c>
      <c r="AB2194" s="164" t="s">
        <v>187</v>
      </c>
      <c r="AC2194" s="164" t="s">
        <v>187</v>
      </c>
      <c r="AD2194" s="165">
        <v>1</v>
      </c>
      <c r="AE2194" s="164" t="s">
        <v>187</v>
      </c>
      <c r="AF2194" s="165">
        <v>6.9339999999999999E-2</v>
      </c>
      <c r="AG2194" s="166">
        <v>127.42407</v>
      </c>
      <c r="AO2194" s="121"/>
      <c r="AT2194" s="111"/>
      <c r="AX2194" s="121"/>
    </row>
    <row r="2195" spans="1:50" s="110" customFormat="1" ht="20" customHeight="1">
      <c r="A2195" s="125" t="s">
        <v>185</v>
      </c>
      <c r="B2195" s="126" t="s">
        <v>59</v>
      </c>
      <c r="C2195" s="127">
        <v>11816</v>
      </c>
      <c r="D2195" s="163">
        <v>103194</v>
      </c>
      <c r="E2195" s="164" t="s">
        <v>699</v>
      </c>
      <c r="F2195" s="164" t="s">
        <v>699</v>
      </c>
      <c r="G2195" s="165">
        <v>5100</v>
      </c>
      <c r="H2195" s="165">
        <v>1</v>
      </c>
      <c r="I2195" s="164" t="s">
        <v>187</v>
      </c>
      <c r="J2195" s="164" t="s">
        <v>700</v>
      </c>
      <c r="K2195" s="164" t="s">
        <v>699</v>
      </c>
      <c r="L2195" s="165">
        <v>1</v>
      </c>
      <c r="M2195" s="165">
        <v>6</v>
      </c>
      <c r="N2195" s="164" t="s">
        <v>189</v>
      </c>
      <c r="O2195" s="165">
        <v>0</v>
      </c>
      <c r="P2195" s="165">
        <v>0</v>
      </c>
      <c r="Q2195" s="165">
        <v>17</v>
      </c>
      <c r="R2195" s="164" t="s">
        <v>190</v>
      </c>
      <c r="S2195" s="164" t="s">
        <v>191</v>
      </c>
      <c r="T2195" s="165">
        <v>223</v>
      </c>
      <c r="U2195" s="164" t="s">
        <v>557</v>
      </c>
      <c r="V2195" s="164" t="s">
        <v>558</v>
      </c>
      <c r="W2195" s="165">
        <v>1</v>
      </c>
      <c r="X2195" s="165">
        <v>2</v>
      </c>
      <c r="Y2195" s="164" t="s">
        <v>194</v>
      </c>
      <c r="Z2195" s="164" t="s">
        <v>195</v>
      </c>
      <c r="AA2195" s="164" t="s">
        <v>196</v>
      </c>
      <c r="AB2195" s="164" t="s">
        <v>187</v>
      </c>
      <c r="AC2195" s="164" t="s">
        <v>187</v>
      </c>
      <c r="AD2195" s="165">
        <v>1</v>
      </c>
      <c r="AE2195" s="164" t="s">
        <v>187</v>
      </c>
      <c r="AF2195" s="165">
        <v>-0.43197999999999998</v>
      </c>
      <c r="AG2195" s="166">
        <v>127.96181</v>
      </c>
      <c r="AO2195" s="121"/>
      <c r="AT2195" s="111"/>
      <c r="AX2195" s="121"/>
    </row>
    <row r="2196" spans="1:50" s="110" customFormat="1" ht="20" customHeight="1">
      <c r="A2196" s="125" t="s">
        <v>185</v>
      </c>
      <c r="B2196" s="126" t="s">
        <v>59</v>
      </c>
      <c r="C2196" s="127">
        <v>18954</v>
      </c>
      <c r="D2196" s="163">
        <v>115425</v>
      </c>
      <c r="E2196" s="164" t="s">
        <v>1159</v>
      </c>
      <c r="F2196" s="164" t="s">
        <v>1159</v>
      </c>
      <c r="G2196" s="165">
        <v>3500</v>
      </c>
      <c r="H2196" s="165">
        <v>1</v>
      </c>
      <c r="I2196" s="164" t="s">
        <v>187</v>
      </c>
      <c r="J2196" s="164" t="s">
        <v>1160</v>
      </c>
      <c r="K2196" s="164" t="s">
        <v>1159</v>
      </c>
      <c r="L2196" s="165">
        <v>1</v>
      </c>
      <c r="M2196" s="165">
        <v>6</v>
      </c>
      <c r="N2196" s="164" t="s">
        <v>189</v>
      </c>
      <c r="O2196" s="165">
        <v>0</v>
      </c>
      <c r="P2196" s="165">
        <v>0</v>
      </c>
      <c r="Q2196" s="165">
        <v>17</v>
      </c>
      <c r="R2196" s="164" t="s">
        <v>190</v>
      </c>
      <c r="S2196" s="164" t="s">
        <v>191</v>
      </c>
      <c r="T2196" s="165">
        <v>223</v>
      </c>
      <c r="U2196" s="164" t="s">
        <v>557</v>
      </c>
      <c r="V2196" s="164" t="s">
        <v>558</v>
      </c>
      <c r="W2196" s="165">
        <v>1</v>
      </c>
      <c r="X2196" s="165">
        <v>2</v>
      </c>
      <c r="Y2196" s="164" t="s">
        <v>194</v>
      </c>
      <c r="Z2196" s="164" t="s">
        <v>195</v>
      </c>
      <c r="AA2196" s="164" t="s">
        <v>196</v>
      </c>
      <c r="AB2196" s="164" t="s">
        <v>187</v>
      </c>
      <c r="AC2196" s="164" t="s">
        <v>187</v>
      </c>
      <c r="AD2196" s="165">
        <v>1</v>
      </c>
      <c r="AE2196" s="164" t="s">
        <v>187</v>
      </c>
      <c r="AF2196" s="165">
        <v>-4.8651799999999996</v>
      </c>
      <c r="AG2196" s="166">
        <v>103.57189</v>
      </c>
      <c r="AO2196" s="121"/>
      <c r="AT2196" s="111"/>
      <c r="AX2196" s="121"/>
    </row>
    <row r="2197" spans="1:50" s="110" customFormat="1" ht="20" customHeight="1">
      <c r="A2197" s="125" t="s">
        <v>185</v>
      </c>
      <c r="B2197" s="126" t="s">
        <v>59</v>
      </c>
      <c r="C2197" s="127">
        <v>13424</v>
      </c>
      <c r="D2197" s="157">
        <v>106092</v>
      </c>
      <c r="E2197" s="158" t="s">
        <v>1517</v>
      </c>
      <c r="F2197" s="158" t="s">
        <v>1517</v>
      </c>
      <c r="G2197" s="159">
        <v>45000</v>
      </c>
      <c r="H2197" s="159">
        <v>2</v>
      </c>
      <c r="I2197" s="158" t="s">
        <v>209</v>
      </c>
      <c r="J2197" s="158" t="s">
        <v>1518</v>
      </c>
      <c r="K2197" s="158" t="s">
        <v>1519</v>
      </c>
      <c r="L2197" s="159">
        <v>1</v>
      </c>
      <c r="M2197" s="159">
        <v>6</v>
      </c>
      <c r="N2197" s="158" t="s">
        <v>189</v>
      </c>
      <c r="O2197" s="159">
        <v>25</v>
      </c>
      <c r="P2197" s="159">
        <v>0</v>
      </c>
      <c r="Q2197" s="159">
        <v>17</v>
      </c>
      <c r="R2197" s="158" t="s">
        <v>190</v>
      </c>
      <c r="S2197" s="158" t="s">
        <v>191</v>
      </c>
      <c r="T2197" s="159">
        <v>223</v>
      </c>
      <c r="U2197" s="158" t="s">
        <v>557</v>
      </c>
      <c r="V2197" s="158" t="s">
        <v>558</v>
      </c>
      <c r="W2197" s="159">
        <v>1</v>
      </c>
      <c r="X2197" s="159">
        <v>2</v>
      </c>
      <c r="Y2197" s="158" t="s">
        <v>194</v>
      </c>
      <c r="Z2197" s="158" t="s">
        <v>195</v>
      </c>
      <c r="AA2197" s="158" t="s">
        <v>196</v>
      </c>
      <c r="AB2197" s="158" t="s">
        <v>187</v>
      </c>
      <c r="AC2197" s="158" t="s">
        <v>187</v>
      </c>
      <c r="AD2197" s="160"/>
      <c r="AE2197" s="158" t="s">
        <v>209</v>
      </c>
      <c r="AF2197" s="159">
        <v>0.32522099999999998</v>
      </c>
      <c r="AG2197" s="161">
        <v>127.395106</v>
      </c>
      <c r="AO2197" s="121"/>
      <c r="AT2197" s="111"/>
      <c r="AX2197" s="121"/>
    </row>
    <row r="2198" spans="1:50" s="110" customFormat="1" ht="20" customHeight="1">
      <c r="A2198" s="125" t="s">
        <v>185</v>
      </c>
      <c r="B2198" s="126" t="s">
        <v>59</v>
      </c>
      <c r="C2198" s="127">
        <v>14335</v>
      </c>
      <c r="D2198" s="157">
        <v>107921</v>
      </c>
      <c r="E2198" s="158" t="s">
        <v>1190</v>
      </c>
      <c r="F2198" s="158" t="s">
        <v>1190</v>
      </c>
      <c r="G2198" s="159">
        <v>16000</v>
      </c>
      <c r="H2198" s="159">
        <v>2</v>
      </c>
      <c r="I2198" s="158" t="s">
        <v>209</v>
      </c>
      <c r="J2198" s="158" t="s">
        <v>1191</v>
      </c>
      <c r="K2198" s="158" t="s">
        <v>1190</v>
      </c>
      <c r="L2198" s="159">
        <v>1</v>
      </c>
      <c r="M2198" s="159">
        <v>6</v>
      </c>
      <c r="N2198" s="158" t="s">
        <v>189</v>
      </c>
      <c r="O2198" s="159">
        <v>12</v>
      </c>
      <c r="P2198" s="159">
        <v>0</v>
      </c>
      <c r="Q2198" s="159">
        <v>17</v>
      </c>
      <c r="R2198" s="158" t="s">
        <v>190</v>
      </c>
      <c r="S2198" s="158" t="s">
        <v>191</v>
      </c>
      <c r="T2198" s="159">
        <v>223</v>
      </c>
      <c r="U2198" s="158" t="s">
        <v>557</v>
      </c>
      <c r="V2198" s="158" t="s">
        <v>558</v>
      </c>
      <c r="W2198" s="159">
        <v>1</v>
      </c>
      <c r="X2198" s="159">
        <v>2</v>
      </c>
      <c r="Y2198" s="158" t="s">
        <v>194</v>
      </c>
      <c r="Z2198" s="158" t="s">
        <v>195</v>
      </c>
      <c r="AA2198" s="158" t="s">
        <v>196</v>
      </c>
      <c r="AB2198" s="158" t="s">
        <v>187</v>
      </c>
      <c r="AC2198" s="158" t="s">
        <v>187</v>
      </c>
      <c r="AD2198" s="160"/>
      <c r="AE2198" s="158" t="s">
        <v>209</v>
      </c>
      <c r="AF2198" s="159">
        <v>0.34588999999999998</v>
      </c>
      <c r="AG2198" s="161">
        <v>128.61671999999999</v>
      </c>
      <c r="AO2198" s="121"/>
      <c r="AT2198" s="111"/>
      <c r="AX2198" s="121"/>
    </row>
    <row r="2199" spans="1:50" s="110" customFormat="1" ht="20" customHeight="1">
      <c r="A2199" s="125" t="s">
        <v>185</v>
      </c>
      <c r="B2199" s="126" t="s">
        <v>59</v>
      </c>
      <c r="C2199" s="127">
        <v>14791</v>
      </c>
      <c r="D2199" s="157">
        <v>108759</v>
      </c>
      <c r="E2199" s="158" t="s">
        <v>1350</v>
      </c>
      <c r="F2199" s="158" t="s">
        <v>1350</v>
      </c>
      <c r="G2199" s="159">
        <v>16000</v>
      </c>
      <c r="H2199" s="159">
        <v>2</v>
      </c>
      <c r="I2199" s="158" t="s">
        <v>209</v>
      </c>
      <c r="J2199" s="158" t="s">
        <v>1351</v>
      </c>
      <c r="K2199" s="158" t="s">
        <v>1350</v>
      </c>
      <c r="L2199" s="159">
        <v>3</v>
      </c>
      <c r="M2199" s="159">
        <v>6</v>
      </c>
      <c r="N2199" s="158" t="s">
        <v>189</v>
      </c>
      <c r="O2199" s="159">
        <v>12</v>
      </c>
      <c r="P2199" s="159">
        <v>1.1659999999999999</v>
      </c>
      <c r="Q2199" s="159">
        <v>17</v>
      </c>
      <c r="R2199" s="158" t="s">
        <v>190</v>
      </c>
      <c r="S2199" s="158" t="s">
        <v>191</v>
      </c>
      <c r="T2199" s="159">
        <v>223</v>
      </c>
      <c r="U2199" s="158" t="s">
        <v>557</v>
      </c>
      <c r="V2199" s="158" t="s">
        <v>558</v>
      </c>
      <c r="W2199" s="159">
        <v>1</v>
      </c>
      <c r="X2199" s="159">
        <v>2</v>
      </c>
      <c r="Y2199" s="158" t="s">
        <v>194</v>
      </c>
      <c r="Z2199" s="158" t="s">
        <v>195</v>
      </c>
      <c r="AA2199" s="158" t="s">
        <v>196</v>
      </c>
      <c r="AB2199" s="158" t="s">
        <v>187</v>
      </c>
      <c r="AC2199" s="158" t="s">
        <v>187</v>
      </c>
      <c r="AD2199" s="160"/>
      <c r="AE2199" s="158" t="s">
        <v>209</v>
      </c>
      <c r="AF2199" s="159">
        <v>0.13295000000000001</v>
      </c>
      <c r="AG2199" s="161">
        <v>127.86555</v>
      </c>
      <c r="AO2199" s="121"/>
      <c r="AT2199" s="111"/>
      <c r="AX2199" s="121"/>
    </row>
    <row r="2200" spans="1:50" s="110" customFormat="1" ht="20" customHeight="1">
      <c r="A2200" s="125" t="s">
        <v>185</v>
      </c>
      <c r="B2200" s="126" t="s">
        <v>59</v>
      </c>
      <c r="C2200" s="127">
        <v>13508</v>
      </c>
      <c r="D2200" s="157">
        <v>106261</v>
      </c>
      <c r="E2200" s="158" t="s">
        <v>1104</v>
      </c>
      <c r="F2200" s="158" t="s">
        <v>1104</v>
      </c>
      <c r="G2200" s="159">
        <v>9500</v>
      </c>
      <c r="H2200" s="159">
        <v>2</v>
      </c>
      <c r="I2200" s="158" t="s">
        <v>209</v>
      </c>
      <c r="J2200" s="158" t="s">
        <v>1105</v>
      </c>
      <c r="K2200" s="158" t="s">
        <v>1104</v>
      </c>
      <c r="L2200" s="159">
        <v>1</v>
      </c>
      <c r="M2200" s="159">
        <v>6</v>
      </c>
      <c r="N2200" s="158" t="s">
        <v>189</v>
      </c>
      <c r="O2200" s="159">
        <v>8</v>
      </c>
      <c r="P2200" s="159">
        <v>1</v>
      </c>
      <c r="Q2200" s="159">
        <v>17</v>
      </c>
      <c r="R2200" s="158" t="s">
        <v>190</v>
      </c>
      <c r="S2200" s="158" t="s">
        <v>191</v>
      </c>
      <c r="T2200" s="159">
        <v>223</v>
      </c>
      <c r="U2200" s="158" t="s">
        <v>557</v>
      </c>
      <c r="V2200" s="158" t="s">
        <v>558</v>
      </c>
      <c r="W2200" s="159">
        <v>1</v>
      </c>
      <c r="X2200" s="159">
        <v>2</v>
      </c>
      <c r="Y2200" s="158" t="s">
        <v>194</v>
      </c>
      <c r="Z2200" s="158" t="s">
        <v>195</v>
      </c>
      <c r="AA2200" s="158" t="s">
        <v>196</v>
      </c>
      <c r="AB2200" s="158" t="s">
        <v>187</v>
      </c>
      <c r="AC2200" s="158" t="s">
        <v>187</v>
      </c>
      <c r="AD2200" s="160"/>
      <c r="AE2200" s="158" t="s">
        <v>209</v>
      </c>
      <c r="AF2200" s="159">
        <v>-1.9059299999999999</v>
      </c>
      <c r="AG2200" s="161">
        <v>125.71378</v>
      </c>
      <c r="AO2200" s="121"/>
      <c r="AT2200" s="111"/>
      <c r="AX2200" s="121"/>
    </row>
    <row r="2201" spans="1:50" s="110" customFormat="1" ht="20" customHeight="1">
      <c r="A2201" s="125" t="s">
        <v>185</v>
      </c>
      <c r="B2201" s="126" t="s">
        <v>59</v>
      </c>
      <c r="C2201" s="127">
        <v>11807</v>
      </c>
      <c r="D2201" s="145">
        <v>103156</v>
      </c>
      <c r="E2201" s="146" t="s">
        <v>692</v>
      </c>
      <c r="F2201" s="146" t="s">
        <v>692</v>
      </c>
      <c r="G2201" s="147">
        <v>119000</v>
      </c>
      <c r="H2201" s="147">
        <v>4</v>
      </c>
      <c r="I2201" s="146" t="s">
        <v>209</v>
      </c>
      <c r="J2201" s="146" t="s">
        <v>693</v>
      </c>
      <c r="K2201" s="146" t="s">
        <v>692</v>
      </c>
      <c r="L2201" s="147">
        <v>4</v>
      </c>
      <c r="M2201" s="147">
        <v>6</v>
      </c>
      <c r="N2201" s="146" t="s">
        <v>189</v>
      </c>
      <c r="O2201" s="147">
        <v>40</v>
      </c>
      <c r="P2201" s="147">
        <v>8</v>
      </c>
      <c r="Q2201" s="147">
        <v>17</v>
      </c>
      <c r="R2201" s="146" t="s">
        <v>190</v>
      </c>
      <c r="S2201" s="146" t="s">
        <v>191</v>
      </c>
      <c r="T2201" s="147">
        <v>223</v>
      </c>
      <c r="U2201" s="146" t="s">
        <v>557</v>
      </c>
      <c r="V2201" s="146" t="s">
        <v>558</v>
      </c>
      <c r="W2201" s="147">
        <v>1</v>
      </c>
      <c r="X2201" s="147">
        <v>2</v>
      </c>
      <c r="Y2201" s="146" t="s">
        <v>194</v>
      </c>
      <c r="Z2201" s="146" t="s">
        <v>195</v>
      </c>
      <c r="AA2201" s="146" t="s">
        <v>196</v>
      </c>
      <c r="AB2201" s="146" t="s">
        <v>187</v>
      </c>
      <c r="AC2201" s="146" t="s">
        <v>187</v>
      </c>
      <c r="AD2201" s="148"/>
      <c r="AE2201" s="146" t="s">
        <v>209</v>
      </c>
      <c r="AF2201" s="147">
        <v>2.2892731807127098</v>
      </c>
      <c r="AG2201" s="149">
        <v>128.21360902973299</v>
      </c>
      <c r="AO2201" s="121"/>
      <c r="AT2201" s="111"/>
      <c r="AX2201" s="121"/>
    </row>
    <row r="2202" spans="1:50" s="110" customFormat="1" ht="20" customHeight="1">
      <c r="A2202" s="125" t="s">
        <v>185</v>
      </c>
      <c r="B2202" s="126" t="s">
        <v>59</v>
      </c>
      <c r="C2202" s="127">
        <v>11854</v>
      </c>
      <c r="D2202" s="145">
        <v>103282</v>
      </c>
      <c r="E2202" s="146" t="s">
        <v>704</v>
      </c>
      <c r="F2202" s="146" t="s">
        <v>705</v>
      </c>
      <c r="G2202" s="147">
        <v>3500</v>
      </c>
      <c r="H2202" s="147">
        <v>4</v>
      </c>
      <c r="I2202" s="146" t="s">
        <v>209</v>
      </c>
      <c r="J2202" s="146" t="s">
        <v>706</v>
      </c>
      <c r="K2202" s="146" t="s">
        <v>704</v>
      </c>
      <c r="L2202" s="147">
        <v>1</v>
      </c>
      <c r="M2202" s="147">
        <v>6</v>
      </c>
      <c r="N2202" s="146" t="s">
        <v>189</v>
      </c>
      <c r="O2202" s="147">
        <v>5</v>
      </c>
      <c r="P2202" s="147">
        <v>3</v>
      </c>
      <c r="Q2202" s="147">
        <v>17</v>
      </c>
      <c r="R2202" s="146" t="s">
        <v>190</v>
      </c>
      <c r="S2202" s="146" t="s">
        <v>191</v>
      </c>
      <c r="T2202" s="147">
        <v>223</v>
      </c>
      <c r="U2202" s="146" t="s">
        <v>557</v>
      </c>
      <c r="V2202" s="146" t="s">
        <v>558</v>
      </c>
      <c r="W2202" s="147">
        <v>1</v>
      </c>
      <c r="X2202" s="147">
        <v>2</v>
      </c>
      <c r="Y2202" s="146" t="s">
        <v>194</v>
      </c>
      <c r="Z2202" s="146" t="s">
        <v>195</v>
      </c>
      <c r="AA2202" s="146" t="s">
        <v>196</v>
      </c>
      <c r="AB2202" s="146" t="s">
        <v>187</v>
      </c>
      <c r="AC2202" s="146" t="s">
        <v>187</v>
      </c>
      <c r="AD2202" s="148"/>
      <c r="AE2202" s="146" t="s">
        <v>209</v>
      </c>
      <c r="AF2202" s="147">
        <v>-0.17927000000000001</v>
      </c>
      <c r="AG2202" s="149">
        <v>129.53231</v>
      </c>
      <c r="AO2202" s="121"/>
      <c r="AT2202" s="111"/>
      <c r="AX2202" s="121"/>
    </row>
    <row r="2203" spans="1:50" s="110" customFormat="1" ht="20" customHeight="1">
      <c r="A2203" s="125" t="s">
        <v>185</v>
      </c>
      <c r="B2203" s="126" t="s">
        <v>59</v>
      </c>
      <c r="C2203" s="127">
        <v>11002</v>
      </c>
      <c r="D2203" s="145">
        <v>101726</v>
      </c>
      <c r="E2203" s="146" t="s">
        <v>555</v>
      </c>
      <c r="F2203" s="146" t="s">
        <v>555</v>
      </c>
      <c r="G2203" s="147">
        <v>3300</v>
      </c>
      <c r="H2203" s="147">
        <v>4</v>
      </c>
      <c r="I2203" s="146" t="s">
        <v>209</v>
      </c>
      <c r="J2203" s="146" t="s">
        <v>556</v>
      </c>
      <c r="K2203" s="146" t="s">
        <v>555</v>
      </c>
      <c r="L2203" s="147">
        <v>2</v>
      </c>
      <c r="M2203" s="147">
        <v>6</v>
      </c>
      <c r="N2203" s="146" t="s">
        <v>189</v>
      </c>
      <c r="O2203" s="147">
        <v>34</v>
      </c>
      <c r="P2203" s="147">
        <v>4</v>
      </c>
      <c r="Q2203" s="147">
        <v>17</v>
      </c>
      <c r="R2203" s="146" t="s">
        <v>190</v>
      </c>
      <c r="S2203" s="146" t="s">
        <v>191</v>
      </c>
      <c r="T2203" s="147">
        <v>223</v>
      </c>
      <c r="U2203" s="146" t="s">
        <v>557</v>
      </c>
      <c r="V2203" s="146" t="s">
        <v>558</v>
      </c>
      <c r="W2203" s="147">
        <v>1</v>
      </c>
      <c r="X2203" s="147">
        <v>2</v>
      </c>
      <c r="Y2203" s="146" t="s">
        <v>194</v>
      </c>
      <c r="Z2203" s="146" t="s">
        <v>195</v>
      </c>
      <c r="AA2203" s="146" t="s">
        <v>196</v>
      </c>
      <c r="AB2203" s="146" t="s">
        <v>187</v>
      </c>
      <c r="AC2203" s="146" t="s">
        <v>187</v>
      </c>
      <c r="AD2203" s="148"/>
      <c r="AE2203" s="146" t="s">
        <v>209</v>
      </c>
      <c r="AF2203" s="147">
        <v>1.03074</v>
      </c>
      <c r="AG2203" s="149">
        <v>128.45579000000001</v>
      </c>
      <c r="AO2203" s="121"/>
      <c r="AT2203" s="111"/>
      <c r="AX2203" s="121"/>
    </row>
    <row r="2204" spans="1:50" s="110" customFormat="1" ht="20" customHeight="1">
      <c r="A2204" s="125" t="s">
        <v>185</v>
      </c>
      <c r="B2204" s="126" t="s">
        <v>59</v>
      </c>
      <c r="C2204" s="127">
        <v>11813</v>
      </c>
      <c r="D2204" s="145">
        <v>103175</v>
      </c>
      <c r="E2204" s="146" t="s">
        <v>695</v>
      </c>
      <c r="F2204" s="146" t="s">
        <v>695</v>
      </c>
      <c r="G2204" s="147">
        <v>2400</v>
      </c>
      <c r="H2204" s="147">
        <v>4</v>
      </c>
      <c r="I2204" s="146" t="s">
        <v>209</v>
      </c>
      <c r="J2204" s="146" t="s">
        <v>696</v>
      </c>
      <c r="K2204" s="146" t="s">
        <v>695</v>
      </c>
      <c r="L2204" s="147">
        <v>1</v>
      </c>
      <c r="M2204" s="147">
        <v>6</v>
      </c>
      <c r="N2204" s="146" t="s">
        <v>189</v>
      </c>
      <c r="O2204" s="147">
        <v>10</v>
      </c>
      <c r="P2204" s="147">
        <v>3</v>
      </c>
      <c r="Q2204" s="147">
        <v>17</v>
      </c>
      <c r="R2204" s="146" t="s">
        <v>190</v>
      </c>
      <c r="S2204" s="146" t="s">
        <v>191</v>
      </c>
      <c r="T2204" s="147">
        <v>223</v>
      </c>
      <c r="U2204" s="146" t="s">
        <v>557</v>
      </c>
      <c r="V2204" s="146" t="s">
        <v>558</v>
      </c>
      <c r="W2204" s="147">
        <v>1</v>
      </c>
      <c r="X2204" s="147">
        <v>2</v>
      </c>
      <c r="Y2204" s="146" t="s">
        <v>194</v>
      </c>
      <c r="Z2204" s="146" t="s">
        <v>195</v>
      </c>
      <c r="AA2204" s="146" t="s">
        <v>196</v>
      </c>
      <c r="AB2204" s="146" t="s">
        <v>187</v>
      </c>
      <c r="AC2204" s="146" t="s">
        <v>187</v>
      </c>
      <c r="AD2204" s="148"/>
      <c r="AE2204" s="146" t="s">
        <v>209</v>
      </c>
      <c r="AF2204" s="147">
        <v>1.3447</v>
      </c>
      <c r="AG2204" s="149">
        <v>127.50474</v>
      </c>
      <c r="AO2204" s="121"/>
      <c r="AT2204" s="111"/>
      <c r="AX2204" s="121"/>
    </row>
    <row r="2205" spans="1:50" s="110" customFormat="1" ht="20" customHeight="1">
      <c r="A2205" s="125" t="s">
        <v>185</v>
      </c>
      <c r="B2205" s="126" t="s">
        <v>59</v>
      </c>
      <c r="C2205" s="127">
        <v>19074</v>
      </c>
      <c r="D2205" s="145">
        <v>112461</v>
      </c>
      <c r="E2205" s="146" t="s">
        <v>898</v>
      </c>
      <c r="F2205" s="146" t="s">
        <v>898</v>
      </c>
      <c r="G2205" s="147">
        <v>600</v>
      </c>
      <c r="H2205" s="147">
        <v>4</v>
      </c>
      <c r="I2205" s="146" t="s">
        <v>209</v>
      </c>
      <c r="J2205" s="146" t="s">
        <v>899</v>
      </c>
      <c r="K2205" s="146" t="s">
        <v>900</v>
      </c>
      <c r="L2205" s="147">
        <v>0</v>
      </c>
      <c r="M2205" s="147">
        <v>6</v>
      </c>
      <c r="N2205" s="146" t="s">
        <v>189</v>
      </c>
      <c r="O2205" s="147">
        <v>15</v>
      </c>
      <c r="P2205" s="147">
        <v>3</v>
      </c>
      <c r="Q2205" s="147">
        <v>17</v>
      </c>
      <c r="R2205" s="146" t="s">
        <v>190</v>
      </c>
      <c r="S2205" s="146" t="s">
        <v>191</v>
      </c>
      <c r="T2205" s="147">
        <v>223</v>
      </c>
      <c r="U2205" s="146" t="s">
        <v>557</v>
      </c>
      <c r="V2205" s="146" t="s">
        <v>558</v>
      </c>
      <c r="W2205" s="147">
        <v>1</v>
      </c>
      <c r="X2205" s="147">
        <v>2</v>
      </c>
      <c r="Y2205" s="146" t="s">
        <v>194</v>
      </c>
      <c r="Z2205" s="146" t="s">
        <v>195</v>
      </c>
      <c r="AA2205" s="146" t="s">
        <v>196</v>
      </c>
      <c r="AB2205" s="146" t="s">
        <v>187</v>
      </c>
      <c r="AC2205" s="146" t="s">
        <v>187</v>
      </c>
      <c r="AD2205" s="148"/>
      <c r="AE2205" s="146" t="s">
        <v>209</v>
      </c>
      <c r="AF2205" s="147">
        <v>1.1608400000000001</v>
      </c>
      <c r="AG2205" s="149">
        <v>127.84972</v>
      </c>
      <c r="AO2205" s="121"/>
      <c r="AT2205" s="111"/>
      <c r="AX2205" s="121"/>
    </row>
    <row r="2206" spans="1:50" s="110" customFormat="1" ht="20" customHeight="1">
      <c r="A2206" s="125" t="s">
        <v>185</v>
      </c>
      <c r="B2206" s="126" t="s">
        <v>59</v>
      </c>
      <c r="C2206" s="127">
        <v>18378</v>
      </c>
      <c r="D2206" s="163">
        <v>113965</v>
      </c>
      <c r="E2206" s="164" t="s">
        <v>1010</v>
      </c>
      <c r="F2206" s="164" t="s">
        <v>1010</v>
      </c>
      <c r="G2206" s="165">
        <v>1000</v>
      </c>
      <c r="H2206" s="165">
        <v>1</v>
      </c>
      <c r="I2206" s="164" t="s">
        <v>187</v>
      </c>
      <c r="J2206" s="164" t="s">
        <v>1011</v>
      </c>
      <c r="K2206" s="164" t="s">
        <v>1012</v>
      </c>
      <c r="L2206" s="165">
        <v>1</v>
      </c>
      <c r="M2206" s="165">
        <v>6</v>
      </c>
      <c r="N2206" s="164" t="s">
        <v>189</v>
      </c>
      <c r="O2206" s="165">
        <v>5</v>
      </c>
      <c r="P2206" s="165">
        <v>2</v>
      </c>
      <c r="Q2206" s="165">
        <v>17</v>
      </c>
      <c r="R2206" s="164" t="s">
        <v>190</v>
      </c>
      <c r="S2206" s="164" t="s">
        <v>191</v>
      </c>
      <c r="T2206" s="165">
        <v>224</v>
      </c>
      <c r="U2206" s="164" t="s">
        <v>420</v>
      </c>
      <c r="V2206" s="164" t="s">
        <v>421</v>
      </c>
      <c r="W2206" s="165">
        <v>1</v>
      </c>
      <c r="X2206" s="165">
        <v>2</v>
      </c>
      <c r="Y2206" s="164" t="s">
        <v>194</v>
      </c>
      <c r="Z2206" s="164" t="s">
        <v>195</v>
      </c>
      <c r="AA2206" s="164" t="s">
        <v>196</v>
      </c>
      <c r="AB2206" s="164" t="s">
        <v>187</v>
      </c>
      <c r="AC2206" s="164" t="s">
        <v>187</v>
      </c>
      <c r="AD2206" s="165">
        <v>1</v>
      </c>
      <c r="AE2206" s="164" t="s">
        <v>209</v>
      </c>
      <c r="AF2206" s="165">
        <v>-6.3225100000000003</v>
      </c>
      <c r="AG2206" s="166">
        <v>134.87927999999999</v>
      </c>
      <c r="AO2206" s="121"/>
      <c r="AT2206" s="111"/>
      <c r="AX2206" s="121"/>
    </row>
    <row r="2207" spans="1:50" s="110" customFormat="1" ht="20" customHeight="1">
      <c r="A2207" s="125" t="s">
        <v>185</v>
      </c>
      <c r="B2207" s="126" t="s">
        <v>59</v>
      </c>
      <c r="C2207" s="127">
        <v>13226</v>
      </c>
      <c r="D2207" s="163">
        <v>106066</v>
      </c>
      <c r="E2207" s="164" t="s">
        <v>1044</v>
      </c>
      <c r="F2207" s="164" t="s">
        <v>1044</v>
      </c>
      <c r="G2207" s="165">
        <v>300</v>
      </c>
      <c r="H2207" s="165">
        <v>1</v>
      </c>
      <c r="I2207" s="164" t="s">
        <v>187</v>
      </c>
      <c r="J2207" s="164" t="s">
        <v>1045</v>
      </c>
      <c r="K2207" s="164" t="s">
        <v>1046</v>
      </c>
      <c r="L2207" s="165">
        <v>1</v>
      </c>
      <c r="M2207" s="165">
        <v>6</v>
      </c>
      <c r="N2207" s="164" t="s">
        <v>189</v>
      </c>
      <c r="O2207" s="165">
        <v>4</v>
      </c>
      <c r="P2207" s="165">
        <v>1</v>
      </c>
      <c r="Q2207" s="165">
        <v>17</v>
      </c>
      <c r="R2207" s="164" t="s">
        <v>190</v>
      </c>
      <c r="S2207" s="164" t="s">
        <v>191</v>
      </c>
      <c r="T2207" s="165">
        <v>224</v>
      </c>
      <c r="U2207" s="164" t="s">
        <v>420</v>
      </c>
      <c r="V2207" s="164" t="s">
        <v>421</v>
      </c>
      <c r="W2207" s="165">
        <v>1</v>
      </c>
      <c r="X2207" s="165">
        <v>2</v>
      </c>
      <c r="Y2207" s="164" t="s">
        <v>194</v>
      </c>
      <c r="Z2207" s="164" t="s">
        <v>195</v>
      </c>
      <c r="AA2207" s="164" t="s">
        <v>196</v>
      </c>
      <c r="AB2207" s="164" t="s">
        <v>187</v>
      </c>
      <c r="AC2207" s="164" t="s">
        <v>187</v>
      </c>
      <c r="AD2207" s="165">
        <v>1</v>
      </c>
      <c r="AE2207" s="164" t="s">
        <v>209</v>
      </c>
      <c r="AF2207" s="165">
        <v>-6.1504289999999999</v>
      </c>
      <c r="AG2207" s="166">
        <v>134.88079200000001</v>
      </c>
      <c r="AO2207" s="121"/>
      <c r="AT2207" s="111"/>
      <c r="AX2207" s="121"/>
    </row>
    <row r="2208" spans="1:50" s="110" customFormat="1" ht="20" customHeight="1">
      <c r="A2208" s="125" t="s">
        <v>185</v>
      </c>
      <c r="B2208" s="126" t="s">
        <v>59</v>
      </c>
      <c r="C2208" s="127">
        <v>11226</v>
      </c>
      <c r="D2208" s="157">
        <v>103045</v>
      </c>
      <c r="E2208" s="158" t="s">
        <v>682</v>
      </c>
      <c r="F2208" s="158" t="s">
        <v>682</v>
      </c>
      <c r="G2208" s="159">
        <v>67000</v>
      </c>
      <c r="H2208" s="159">
        <v>2</v>
      </c>
      <c r="I2208" s="158" t="s">
        <v>209</v>
      </c>
      <c r="J2208" s="158" t="s">
        <v>683</v>
      </c>
      <c r="K2208" s="158" t="s">
        <v>684</v>
      </c>
      <c r="L2208" s="159">
        <v>4</v>
      </c>
      <c r="M2208" s="159">
        <v>6</v>
      </c>
      <c r="N2208" s="158" t="s">
        <v>189</v>
      </c>
      <c r="O2208" s="159">
        <v>15</v>
      </c>
      <c r="P2208" s="159">
        <v>1</v>
      </c>
      <c r="Q2208" s="159">
        <v>17</v>
      </c>
      <c r="R2208" s="158" t="s">
        <v>190</v>
      </c>
      <c r="S2208" s="158" t="s">
        <v>191</v>
      </c>
      <c r="T2208" s="159">
        <v>224</v>
      </c>
      <c r="U2208" s="158" t="s">
        <v>420</v>
      </c>
      <c r="V2208" s="158" t="s">
        <v>421</v>
      </c>
      <c r="W2208" s="159">
        <v>1</v>
      </c>
      <c r="X2208" s="159">
        <v>2</v>
      </c>
      <c r="Y2208" s="158" t="s">
        <v>194</v>
      </c>
      <c r="Z2208" s="158" t="s">
        <v>195</v>
      </c>
      <c r="AA2208" s="158" t="s">
        <v>196</v>
      </c>
      <c r="AB2208" s="158" t="s">
        <v>187</v>
      </c>
      <c r="AC2208" s="158" t="s">
        <v>187</v>
      </c>
      <c r="AD2208" s="160"/>
      <c r="AE2208" s="158" t="s">
        <v>209</v>
      </c>
      <c r="AF2208" s="159">
        <v>-7.2315399999999999</v>
      </c>
      <c r="AG2208" s="161">
        <v>131.54716999999999</v>
      </c>
      <c r="AO2208" s="121"/>
      <c r="AT2208" s="111"/>
      <c r="AX2208" s="121"/>
    </row>
    <row r="2209" spans="1:50" s="110" customFormat="1" ht="20" customHeight="1">
      <c r="A2209" s="125" t="s">
        <v>185</v>
      </c>
      <c r="B2209" s="126" t="s">
        <v>59</v>
      </c>
      <c r="C2209" s="127">
        <v>12750</v>
      </c>
      <c r="D2209" s="157">
        <v>105111</v>
      </c>
      <c r="E2209" s="158" t="s">
        <v>940</v>
      </c>
      <c r="F2209" s="158" t="s">
        <v>940</v>
      </c>
      <c r="G2209" s="159">
        <v>8300</v>
      </c>
      <c r="H2209" s="159">
        <v>2</v>
      </c>
      <c r="I2209" s="158" t="s">
        <v>209</v>
      </c>
      <c r="J2209" s="158" t="s">
        <v>941</v>
      </c>
      <c r="K2209" s="158" t="s">
        <v>940</v>
      </c>
      <c r="L2209" s="159">
        <v>3</v>
      </c>
      <c r="M2209" s="159">
        <v>6</v>
      </c>
      <c r="N2209" s="158" t="s">
        <v>189</v>
      </c>
      <c r="O2209" s="159">
        <v>15</v>
      </c>
      <c r="P2209" s="159">
        <v>1</v>
      </c>
      <c r="Q2209" s="159">
        <v>17</v>
      </c>
      <c r="R2209" s="158" t="s">
        <v>190</v>
      </c>
      <c r="S2209" s="158" t="s">
        <v>191</v>
      </c>
      <c r="T2209" s="159">
        <v>224</v>
      </c>
      <c r="U2209" s="158" t="s">
        <v>420</v>
      </c>
      <c r="V2209" s="158" t="s">
        <v>421</v>
      </c>
      <c r="W2209" s="159">
        <v>1</v>
      </c>
      <c r="X2209" s="159">
        <v>2</v>
      </c>
      <c r="Y2209" s="158" t="s">
        <v>194</v>
      </c>
      <c r="Z2209" s="158" t="s">
        <v>195</v>
      </c>
      <c r="AA2209" s="158" t="s">
        <v>196</v>
      </c>
      <c r="AB2209" s="158" t="s">
        <v>187</v>
      </c>
      <c r="AC2209" s="158" t="s">
        <v>187</v>
      </c>
      <c r="AD2209" s="160"/>
      <c r="AE2209" s="158" t="s">
        <v>209</v>
      </c>
      <c r="AF2209" s="159">
        <v>-5.50929</v>
      </c>
      <c r="AG2209" s="161">
        <v>134.58157</v>
      </c>
      <c r="AO2209" s="121"/>
      <c r="AT2209" s="111"/>
      <c r="AX2209" s="121"/>
    </row>
    <row r="2210" spans="1:50" s="110" customFormat="1" ht="20" customHeight="1">
      <c r="A2210" s="125" t="s">
        <v>185</v>
      </c>
      <c r="B2210" s="126" t="s">
        <v>59</v>
      </c>
      <c r="C2210" s="127">
        <v>10675</v>
      </c>
      <c r="D2210" s="157">
        <v>101037</v>
      </c>
      <c r="E2210" s="158" t="s">
        <v>417</v>
      </c>
      <c r="F2210" s="158" t="s">
        <v>418</v>
      </c>
      <c r="G2210" s="159">
        <v>5000</v>
      </c>
      <c r="H2210" s="159">
        <v>2</v>
      </c>
      <c r="I2210" s="158" t="s">
        <v>209</v>
      </c>
      <c r="J2210" s="158" t="s">
        <v>419</v>
      </c>
      <c r="K2210" s="158" t="s">
        <v>417</v>
      </c>
      <c r="L2210" s="159">
        <v>1</v>
      </c>
      <c r="M2210" s="159">
        <v>6</v>
      </c>
      <c r="N2210" s="158" t="s">
        <v>189</v>
      </c>
      <c r="O2210" s="159">
        <v>12</v>
      </c>
      <c r="P2210" s="159">
        <v>1</v>
      </c>
      <c r="Q2210" s="159">
        <v>17</v>
      </c>
      <c r="R2210" s="158" t="s">
        <v>190</v>
      </c>
      <c r="S2210" s="158" t="s">
        <v>191</v>
      </c>
      <c r="T2210" s="159">
        <v>224</v>
      </c>
      <c r="U2210" s="158" t="s">
        <v>420</v>
      </c>
      <c r="V2210" s="158" t="s">
        <v>421</v>
      </c>
      <c r="W2210" s="159">
        <v>1</v>
      </c>
      <c r="X2210" s="159">
        <v>2</v>
      </c>
      <c r="Y2210" s="158" t="s">
        <v>194</v>
      </c>
      <c r="Z2210" s="158" t="s">
        <v>195</v>
      </c>
      <c r="AA2210" s="158" t="s">
        <v>196</v>
      </c>
      <c r="AB2210" s="158" t="s">
        <v>187</v>
      </c>
      <c r="AC2210" s="158" t="s">
        <v>187</v>
      </c>
      <c r="AD2210" s="160"/>
      <c r="AE2210" s="158" t="s">
        <v>209</v>
      </c>
      <c r="AF2210" s="159">
        <v>-6.6996000000000002</v>
      </c>
      <c r="AG2210" s="161">
        <v>134.69361000000001</v>
      </c>
      <c r="AO2210" s="121"/>
      <c r="AT2210" s="111"/>
      <c r="AX2210" s="121"/>
    </row>
    <row r="2211" spans="1:50" s="110" customFormat="1" ht="20" customHeight="1">
      <c r="A2211" s="125" t="s">
        <v>185</v>
      </c>
      <c r="B2211" s="126" t="s">
        <v>59</v>
      </c>
      <c r="C2211" s="127">
        <v>15345</v>
      </c>
      <c r="D2211" s="157">
        <v>109953</v>
      </c>
      <c r="E2211" s="158" t="s">
        <v>1437</v>
      </c>
      <c r="F2211" s="158" t="s">
        <v>1437</v>
      </c>
      <c r="G2211" s="159">
        <v>1800</v>
      </c>
      <c r="H2211" s="159">
        <v>2</v>
      </c>
      <c r="I2211" s="158" t="s">
        <v>209</v>
      </c>
      <c r="J2211" s="158" t="s">
        <v>1438</v>
      </c>
      <c r="K2211" s="158" t="s">
        <v>1437</v>
      </c>
      <c r="L2211" s="159">
        <v>1</v>
      </c>
      <c r="M2211" s="159">
        <v>6</v>
      </c>
      <c r="N2211" s="158" t="s">
        <v>189</v>
      </c>
      <c r="O2211" s="159">
        <v>10</v>
      </c>
      <c r="P2211" s="159">
        <v>2</v>
      </c>
      <c r="Q2211" s="159">
        <v>17</v>
      </c>
      <c r="R2211" s="158" t="s">
        <v>190</v>
      </c>
      <c r="S2211" s="158" t="s">
        <v>191</v>
      </c>
      <c r="T2211" s="159">
        <v>224</v>
      </c>
      <c r="U2211" s="158" t="s">
        <v>420</v>
      </c>
      <c r="V2211" s="158" t="s">
        <v>421</v>
      </c>
      <c r="W2211" s="159">
        <v>1</v>
      </c>
      <c r="X2211" s="159">
        <v>2</v>
      </c>
      <c r="Y2211" s="158" t="s">
        <v>194</v>
      </c>
      <c r="Z2211" s="158" t="s">
        <v>195</v>
      </c>
      <c r="AA2211" s="158" t="s">
        <v>196</v>
      </c>
      <c r="AB2211" s="158" t="s">
        <v>187</v>
      </c>
      <c r="AC2211" s="158" t="s">
        <v>187</v>
      </c>
      <c r="AD2211" s="160"/>
      <c r="AE2211" s="158" t="s">
        <v>209</v>
      </c>
      <c r="AF2211" s="159">
        <v>-4.7363799999999996</v>
      </c>
      <c r="AG2211" s="161">
        <v>131.73833999999999</v>
      </c>
      <c r="AO2211" s="121"/>
      <c r="AT2211" s="111"/>
      <c r="AX2211" s="121"/>
    </row>
    <row r="2212" spans="1:50" s="110" customFormat="1" ht="20" customHeight="1">
      <c r="A2212" s="125" t="s">
        <v>185</v>
      </c>
      <c r="B2212" s="126" t="s">
        <v>59</v>
      </c>
      <c r="C2212" s="127">
        <v>15685</v>
      </c>
      <c r="D2212" s="157">
        <v>110361</v>
      </c>
      <c r="E2212" s="158" t="s">
        <v>1483</v>
      </c>
      <c r="F2212" s="158" t="s">
        <v>1483</v>
      </c>
      <c r="G2212" s="159">
        <v>1200</v>
      </c>
      <c r="H2212" s="159">
        <v>2</v>
      </c>
      <c r="I2212" s="158" t="s">
        <v>209</v>
      </c>
      <c r="J2212" s="158" t="s">
        <v>1484</v>
      </c>
      <c r="K2212" s="158" t="s">
        <v>1483</v>
      </c>
      <c r="L2212" s="159">
        <v>0</v>
      </c>
      <c r="M2212" s="159">
        <v>6</v>
      </c>
      <c r="N2212" s="158" t="s">
        <v>189</v>
      </c>
      <c r="O2212" s="159">
        <v>7</v>
      </c>
      <c r="P2212" s="159">
        <v>2</v>
      </c>
      <c r="Q2212" s="159">
        <v>17</v>
      </c>
      <c r="R2212" s="158" t="s">
        <v>190</v>
      </c>
      <c r="S2212" s="158" t="s">
        <v>191</v>
      </c>
      <c r="T2212" s="159">
        <v>224</v>
      </c>
      <c r="U2212" s="158" t="s">
        <v>420</v>
      </c>
      <c r="V2212" s="158" t="s">
        <v>421</v>
      </c>
      <c r="W2212" s="159">
        <v>1</v>
      </c>
      <c r="X2212" s="159">
        <v>2</v>
      </c>
      <c r="Y2212" s="158" t="s">
        <v>194</v>
      </c>
      <c r="Z2212" s="158" t="s">
        <v>195</v>
      </c>
      <c r="AA2212" s="158" t="s">
        <v>196</v>
      </c>
      <c r="AB2212" s="158" t="s">
        <v>187</v>
      </c>
      <c r="AC2212" s="158" t="s">
        <v>187</v>
      </c>
      <c r="AD2212" s="160"/>
      <c r="AE2212" s="158" t="s">
        <v>209</v>
      </c>
      <c r="AF2212" s="159">
        <v>-5.6062399999999997</v>
      </c>
      <c r="AG2212" s="161">
        <v>134.27017000000001</v>
      </c>
      <c r="AO2212" s="121"/>
      <c r="AT2212" s="111"/>
      <c r="AX2212" s="121"/>
    </row>
    <row r="2213" spans="1:50" s="110" customFormat="1" ht="20" customHeight="1">
      <c r="A2213" s="125" t="s">
        <v>185</v>
      </c>
      <c r="B2213" s="126" t="s">
        <v>59</v>
      </c>
      <c r="C2213" s="127">
        <v>15892</v>
      </c>
      <c r="D2213" s="145">
        <v>110723</v>
      </c>
      <c r="E2213" s="146" t="s">
        <v>1511</v>
      </c>
      <c r="F2213" s="146" t="s">
        <v>1512</v>
      </c>
      <c r="G2213" s="147">
        <v>4100</v>
      </c>
      <c r="H2213" s="147">
        <v>4</v>
      </c>
      <c r="I2213" s="146" t="s">
        <v>209</v>
      </c>
      <c r="J2213" s="146" t="s">
        <v>1513</v>
      </c>
      <c r="K2213" s="146" t="s">
        <v>1514</v>
      </c>
      <c r="L2213" s="147">
        <v>1</v>
      </c>
      <c r="M2213" s="147">
        <v>6</v>
      </c>
      <c r="N2213" s="146" t="s">
        <v>189</v>
      </c>
      <c r="O2213" s="147">
        <v>30</v>
      </c>
      <c r="P2213" s="147">
        <v>4</v>
      </c>
      <c r="Q2213" s="147">
        <v>17</v>
      </c>
      <c r="R2213" s="146" t="s">
        <v>190</v>
      </c>
      <c r="S2213" s="146" t="s">
        <v>191</v>
      </c>
      <c r="T2213" s="147">
        <v>224</v>
      </c>
      <c r="U2213" s="146" t="s">
        <v>420</v>
      </c>
      <c r="V2213" s="146" t="s">
        <v>421</v>
      </c>
      <c r="W2213" s="147">
        <v>1</v>
      </c>
      <c r="X2213" s="147">
        <v>2</v>
      </c>
      <c r="Y2213" s="146" t="s">
        <v>194</v>
      </c>
      <c r="Z2213" s="146" t="s">
        <v>195</v>
      </c>
      <c r="AA2213" s="146" t="s">
        <v>196</v>
      </c>
      <c r="AB2213" s="146" t="s">
        <v>187</v>
      </c>
      <c r="AC2213" s="146" t="s">
        <v>187</v>
      </c>
      <c r="AD2213" s="148"/>
      <c r="AE2213" s="146" t="s">
        <v>209</v>
      </c>
      <c r="AF2213" s="147">
        <v>-5.6683950000000003</v>
      </c>
      <c r="AG2213" s="149">
        <v>134.78541000000001</v>
      </c>
      <c r="AO2213" s="121"/>
      <c r="AT2213" s="111"/>
      <c r="AX2213" s="121"/>
    </row>
    <row r="2214" spans="1:50" s="110" customFormat="1" ht="20" customHeight="1">
      <c r="A2214" s="125" t="s">
        <v>185</v>
      </c>
      <c r="B2214" s="126" t="s">
        <v>59</v>
      </c>
      <c r="C2214" s="127">
        <v>12730</v>
      </c>
      <c r="D2214" s="145">
        <v>105066</v>
      </c>
      <c r="E2214" s="146" t="s">
        <v>932</v>
      </c>
      <c r="F2214" s="146" t="s">
        <v>932</v>
      </c>
      <c r="G2214" s="147">
        <v>1000</v>
      </c>
      <c r="H2214" s="147">
        <v>4</v>
      </c>
      <c r="I2214" s="146" t="s">
        <v>209</v>
      </c>
      <c r="J2214" s="146" t="s">
        <v>933</v>
      </c>
      <c r="K2214" s="146" t="s">
        <v>932</v>
      </c>
      <c r="L2214" s="147">
        <v>1</v>
      </c>
      <c r="M2214" s="147">
        <v>6</v>
      </c>
      <c r="N2214" s="146" t="s">
        <v>189</v>
      </c>
      <c r="O2214" s="147">
        <v>30</v>
      </c>
      <c r="P2214" s="147">
        <v>5</v>
      </c>
      <c r="Q2214" s="147">
        <v>17</v>
      </c>
      <c r="R2214" s="146" t="s">
        <v>190</v>
      </c>
      <c r="S2214" s="146" t="s">
        <v>191</v>
      </c>
      <c r="T2214" s="147">
        <v>224</v>
      </c>
      <c r="U2214" s="146" t="s">
        <v>420</v>
      </c>
      <c r="V2214" s="146" t="s">
        <v>421</v>
      </c>
      <c r="W2214" s="147">
        <v>1</v>
      </c>
      <c r="X2214" s="147">
        <v>2</v>
      </c>
      <c r="Y2214" s="146" t="s">
        <v>194</v>
      </c>
      <c r="Z2214" s="146" t="s">
        <v>195</v>
      </c>
      <c r="AA2214" s="146" t="s">
        <v>196</v>
      </c>
      <c r="AB2214" s="146" t="s">
        <v>187</v>
      </c>
      <c r="AC2214" s="146" t="s">
        <v>187</v>
      </c>
      <c r="AD2214" s="148"/>
      <c r="AE2214" s="146" t="s">
        <v>209</v>
      </c>
      <c r="AF2214" s="147">
        <v>-6.4753400000000001</v>
      </c>
      <c r="AG2214" s="149">
        <v>134.60824</v>
      </c>
      <c r="AO2214" s="121"/>
      <c r="AT2214" s="111"/>
      <c r="AX2214" s="121"/>
    </row>
    <row r="2215" spans="1:50" s="110" customFormat="1" ht="20" customHeight="1">
      <c r="A2215" s="125" t="s">
        <v>185</v>
      </c>
      <c r="B2215" s="126" t="s">
        <v>59</v>
      </c>
      <c r="C2215" s="127">
        <v>12762</v>
      </c>
      <c r="D2215" s="145">
        <v>105150</v>
      </c>
      <c r="E2215" s="146" t="s">
        <v>944</v>
      </c>
      <c r="F2215" s="146" t="s">
        <v>944</v>
      </c>
      <c r="G2215" s="147">
        <v>500</v>
      </c>
      <c r="H2215" s="147">
        <v>4</v>
      </c>
      <c r="I2215" s="146" t="s">
        <v>209</v>
      </c>
      <c r="J2215" s="146" t="s">
        <v>945</v>
      </c>
      <c r="K2215" s="146" t="s">
        <v>946</v>
      </c>
      <c r="L2215" s="147">
        <v>1</v>
      </c>
      <c r="M2215" s="147">
        <v>6</v>
      </c>
      <c r="N2215" s="146" t="s">
        <v>189</v>
      </c>
      <c r="O2215" s="147">
        <v>8</v>
      </c>
      <c r="P2215" s="147">
        <v>5</v>
      </c>
      <c r="Q2215" s="147">
        <v>17</v>
      </c>
      <c r="R2215" s="146" t="s">
        <v>190</v>
      </c>
      <c r="S2215" s="146" t="s">
        <v>191</v>
      </c>
      <c r="T2215" s="147">
        <v>224</v>
      </c>
      <c r="U2215" s="146" t="s">
        <v>420</v>
      </c>
      <c r="V2215" s="146" t="s">
        <v>421</v>
      </c>
      <c r="W2215" s="147">
        <v>1</v>
      </c>
      <c r="X2215" s="147">
        <v>2</v>
      </c>
      <c r="Y2215" s="146" t="s">
        <v>194</v>
      </c>
      <c r="Z2215" s="146" t="s">
        <v>195</v>
      </c>
      <c r="AA2215" s="146" t="s">
        <v>196</v>
      </c>
      <c r="AB2215" s="146" t="s">
        <v>187</v>
      </c>
      <c r="AC2215" s="146" t="s">
        <v>187</v>
      </c>
      <c r="AD2215" s="148"/>
      <c r="AE2215" s="146" t="s">
        <v>209</v>
      </c>
      <c r="AF2215" s="147">
        <v>-5.6494200000000001</v>
      </c>
      <c r="AG2215" s="149">
        <v>134.74284</v>
      </c>
      <c r="AO2215" s="121"/>
      <c r="AT2215" s="111"/>
      <c r="AX2215" s="121"/>
    </row>
    <row r="2216" spans="1:50" s="110" customFormat="1" ht="20" customHeight="1">
      <c r="A2216" s="125" t="s">
        <v>185</v>
      </c>
      <c r="B2216" s="126" t="s">
        <v>59</v>
      </c>
      <c r="C2216" s="127">
        <v>20292</v>
      </c>
      <c r="D2216" s="163">
        <v>116020</v>
      </c>
      <c r="E2216" s="164" t="s">
        <v>1082</v>
      </c>
      <c r="F2216" s="164" t="s">
        <v>1082</v>
      </c>
      <c r="G2216" s="165">
        <v>2242000</v>
      </c>
      <c r="H2216" s="165">
        <v>1</v>
      </c>
      <c r="I2216" s="164" t="s">
        <v>187</v>
      </c>
      <c r="J2216" s="164" t="s">
        <v>210</v>
      </c>
      <c r="K2216" s="164" t="s">
        <v>211</v>
      </c>
      <c r="L2216" s="165">
        <v>5</v>
      </c>
      <c r="M2216" s="165">
        <v>6</v>
      </c>
      <c r="N2216" s="164" t="s">
        <v>189</v>
      </c>
      <c r="O2216" s="165">
        <v>0.05</v>
      </c>
      <c r="P2216" s="165">
        <v>2E-3</v>
      </c>
      <c r="Q2216" s="165">
        <v>17</v>
      </c>
      <c r="R2216" s="164" t="s">
        <v>190</v>
      </c>
      <c r="S2216" s="164" t="s">
        <v>191</v>
      </c>
      <c r="T2216" s="165">
        <v>229</v>
      </c>
      <c r="U2216" s="164" t="s">
        <v>235</v>
      </c>
      <c r="V2216" s="164" t="s">
        <v>236</v>
      </c>
      <c r="W2216" s="165">
        <v>1</v>
      </c>
      <c r="X2216" s="165">
        <v>2</v>
      </c>
      <c r="Y2216" s="164" t="s">
        <v>194</v>
      </c>
      <c r="Z2216" s="164" t="s">
        <v>195</v>
      </c>
      <c r="AA2216" s="164" t="s">
        <v>196</v>
      </c>
      <c r="AB2216" s="164" t="s">
        <v>187</v>
      </c>
      <c r="AC2216" s="164" t="s">
        <v>187</v>
      </c>
      <c r="AD2216" s="165">
        <v>45</v>
      </c>
      <c r="AE2216" s="164" t="s">
        <v>187</v>
      </c>
      <c r="AF2216" s="165">
        <v>-0.91040100000000002</v>
      </c>
      <c r="AG2216" s="166">
        <v>103.487416</v>
      </c>
      <c r="AO2216" s="121"/>
      <c r="AT2216" s="111"/>
      <c r="AX2216" s="121"/>
    </row>
    <row r="2217" spans="1:50" s="110" customFormat="1" ht="20" customHeight="1">
      <c r="A2217" s="125" t="s">
        <v>185</v>
      </c>
      <c r="B2217" s="126" t="s">
        <v>59</v>
      </c>
      <c r="C2217" s="127">
        <v>14556</v>
      </c>
      <c r="D2217" s="163">
        <v>108373</v>
      </c>
      <c r="E2217" s="164" t="s">
        <v>1077</v>
      </c>
      <c r="F2217" s="164" t="s">
        <v>1077</v>
      </c>
      <c r="G2217" s="165">
        <v>1860000</v>
      </c>
      <c r="H2217" s="165">
        <v>1</v>
      </c>
      <c r="I2217" s="164" t="s">
        <v>187</v>
      </c>
      <c r="J2217" s="164" t="s">
        <v>210</v>
      </c>
      <c r="K2217" s="164" t="s">
        <v>211</v>
      </c>
      <c r="L2217" s="165">
        <v>5</v>
      </c>
      <c r="M2217" s="165">
        <v>6</v>
      </c>
      <c r="N2217" s="164" t="s">
        <v>189</v>
      </c>
      <c r="O2217" s="165">
        <v>0.08</v>
      </c>
      <c r="P2217" s="165">
        <v>1E-3</v>
      </c>
      <c r="Q2217" s="165">
        <v>17</v>
      </c>
      <c r="R2217" s="164" t="s">
        <v>190</v>
      </c>
      <c r="S2217" s="164" t="s">
        <v>191</v>
      </c>
      <c r="T2217" s="165">
        <v>229</v>
      </c>
      <c r="U2217" s="164" t="s">
        <v>235</v>
      </c>
      <c r="V2217" s="164" t="s">
        <v>236</v>
      </c>
      <c r="W2217" s="165">
        <v>2</v>
      </c>
      <c r="X2217" s="165">
        <v>2</v>
      </c>
      <c r="Y2217" s="164" t="s">
        <v>194</v>
      </c>
      <c r="Z2217" s="164" t="s">
        <v>195</v>
      </c>
      <c r="AA2217" s="164" t="s">
        <v>196</v>
      </c>
      <c r="AB2217" s="164" t="s">
        <v>187</v>
      </c>
      <c r="AC2217" s="164" t="s">
        <v>187</v>
      </c>
      <c r="AD2217" s="165">
        <v>37</v>
      </c>
      <c r="AE2217" s="164" t="s">
        <v>187</v>
      </c>
      <c r="AF2217" s="165">
        <v>0.53073933205450896</v>
      </c>
      <c r="AG2217" s="166">
        <v>101.448228392826</v>
      </c>
      <c r="AO2217" s="121"/>
      <c r="AT2217" s="111"/>
      <c r="AX2217" s="121"/>
    </row>
    <row r="2218" spans="1:50" s="110" customFormat="1" ht="20" customHeight="1">
      <c r="A2218" s="125" t="s">
        <v>185</v>
      </c>
      <c r="B2218" s="126" t="s">
        <v>59</v>
      </c>
      <c r="C2218" s="127">
        <v>12318</v>
      </c>
      <c r="D2218" s="163">
        <v>104172</v>
      </c>
      <c r="E2218" s="164" t="s">
        <v>759</v>
      </c>
      <c r="F2218" s="164" t="s">
        <v>759</v>
      </c>
      <c r="G2218" s="165">
        <v>1019000</v>
      </c>
      <c r="H2218" s="165">
        <v>1</v>
      </c>
      <c r="I2218" s="164" t="s">
        <v>187</v>
      </c>
      <c r="J2218" s="164" t="s">
        <v>532</v>
      </c>
      <c r="K2218" s="164" t="s">
        <v>533</v>
      </c>
      <c r="L2218" s="165">
        <v>1</v>
      </c>
      <c r="M2218" s="165">
        <v>6</v>
      </c>
      <c r="N2218" s="164" t="s">
        <v>189</v>
      </c>
      <c r="O2218" s="165">
        <v>0.06</v>
      </c>
      <c r="P2218" s="165">
        <v>1E-3</v>
      </c>
      <c r="Q2218" s="165">
        <v>17</v>
      </c>
      <c r="R2218" s="164" t="s">
        <v>190</v>
      </c>
      <c r="S2218" s="164" t="s">
        <v>191</v>
      </c>
      <c r="T2218" s="165">
        <v>229</v>
      </c>
      <c r="U2218" s="164" t="s">
        <v>235</v>
      </c>
      <c r="V2218" s="164" t="s">
        <v>236</v>
      </c>
      <c r="W2218" s="165">
        <v>1</v>
      </c>
      <c r="X2218" s="165">
        <v>2</v>
      </c>
      <c r="Y2218" s="164" t="s">
        <v>194</v>
      </c>
      <c r="Z2218" s="164" t="s">
        <v>195</v>
      </c>
      <c r="AA2218" s="164" t="s">
        <v>196</v>
      </c>
      <c r="AB2218" s="164" t="s">
        <v>187</v>
      </c>
      <c r="AC2218" s="164" t="s">
        <v>187</v>
      </c>
      <c r="AD2218" s="165">
        <v>20</v>
      </c>
      <c r="AE2218" s="164" t="s">
        <v>187</v>
      </c>
      <c r="AF2218" s="165">
        <v>-1.6876800000000001</v>
      </c>
      <c r="AG2218" s="166">
        <v>102.83383000000001</v>
      </c>
      <c r="AO2218" s="121"/>
      <c r="AT2218" s="111"/>
      <c r="AX2218" s="121"/>
    </row>
    <row r="2219" spans="1:50" s="110" customFormat="1" ht="20" customHeight="1">
      <c r="A2219" s="125" t="s">
        <v>185</v>
      </c>
      <c r="B2219" s="126" t="s">
        <v>59</v>
      </c>
      <c r="C2219" s="127">
        <v>10651</v>
      </c>
      <c r="D2219" s="163">
        <v>100984</v>
      </c>
      <c r="E2219" s="164" t="s">
        <v>402</v>
      </c>
      <c r="F2219" s="164" t="s">
        <v>402</v>
      </c>
      <c r="G2219" s="165">
        <v>436000</v>
      </c>
      <c r="H2219" s="165">
        <v>1</v>
      </c>
      <c r="I2219" s="164" t="s">
        <v>187</v>
      </c>
      <c r="J2219" s="164" t="s">
        <v>403</v>
      </c>
      <c r="K2219" s="164" t="s">
        <v>402</v>
      </c>
      <c r="L2219" s="165">
        <v>1</v>
      </c>
      <c r="M2219" s="165">
        <v>6</v>
      </c>
      <c r="N2219" s="164" t="s">
        <v>189</v>
      </c>
      <c r="O2219" s="165">
        <v>0.5</v>
      </c>
      <c r="P2219" s="165">
        <v>3.0000000000000001E-3</v>
      </c>
      <c r="Q2219" s="165">
        <v>17</v>
      </c>
      <c r="R2219" s="164" t="s">
        <v>190</v>
      </c>
      <c r="S2219" s="164" t="s">
        <v>191</v>
      </c>
      <c r="T2219" s="165">
        <v>229</v>
      </c>
      <c r="U2219" s="164" t="s">
        <v>235</v>
      </c>
      <c r="V2219" s="164" t="s">
        <v>236</v>
      </c>
      <c r="W2219" s="165">
        <v>1</v>
      </c>
      <c r="X2219" s="165">
        <v>2</v>
      </c>
      <c r="Y2219" s="164" t="s">
        <v>194</v>
      </c>
      <c r="Z2219" s="164" t="s">
        <v>195</v>
      </c>
      <c r="AA2219" s="164" t="s">
        <v>196</v>
      </c>
      <c r="AB2219" s="164" t="s">
        <v>187</v>
      </c>
      <c r="AC2219" s="164" t="s">
        <v>187</v>
      </c>
      <c r="AD2219" s="165">
        <v>9</v>
      </c>
      <c r="AE2219" s="164" t="s">
        <v>209</v>
      </c>
      <c r="AF2219" s="165">
        <v>-2.0305700000055298</v>
      </c>
      <c r="AG2219" s="166">
        <v>105.901273000049</v>
      </c>
      <c r="AO2219" s="121"/>
      <c r="AT2219" s="111"/>
      <c r="AX2219" s="121"/>
    </row>
    <row r="2220" spans="1:50" s="110" customFormat="1" ht="20" customHeight="1">
      <c r="A2220" s="125" t="s">
        <v>185</v>
      </c>
      <c r="B2220" s="126" t="s">
        <v>59</v>
      </c>
      <c r="C2220" s="127">
        <v>14517</v>
      </c>
      <c r="D2220" s="163">
        <v>108290</v>
      </c>
      <c r="E2220" s="164" t="s">
        <v>1289</v>
      </c>
      <c r="F2220" s="164" t="s">
        <v>1289</v>
      </c>
      <c r="G2220" s="165">
        <v>158000</v>
      </c>
      <c r="H2220" s="165">
        <v>1</v>
      </c>
      <c r="I2220" s="164" t="s">
        <v>187</v>
      </c>
      <c r="J2220" s="164" t="s">
        <v>465</v>
      </c>
      <c r="K2220" s="164" t="s">
        <v>466</v>
      </c>
      <c r="L2220" s="165">
        <v>4</v>
      </c>
      <c r="M2220" s="165">
        <v>6</v>
      </c>
      <c r="N2220" s="164" t="s">
        <v>189</v>
      </c>
      <c r="O2220" s="165">
        <v>0</v>
      </c>
      <c r="P2220" s="165">
        <v>0</v>
      </c>
      <c r="Q2220" s="165">
        <v>17</v>
      </c>
      <c r="R2220" s="164" t="s">
        <v>190</v>
      </c>
      <c r="S2220" s="164" t="s">
        <v>191</v>
      </c>
      <c r="T2220" s="165">
        <v>229</v>
      </c>
      <c r="U2220" s="164" t="s">
        <v>235</v>
      </c>
      <c r="V2220" s="164" t="s">
        <v>236</v>
      </c>
      <c r="W2220" s="165">
        <v>1</v>
      </c>
      <c r="X2220" s="165">
        <v>2</v>
      </c>
      <c r="Y2220" s="164" t="s">
        <v>194</v>
      </c>
      <c r="Z2220" s="164" t="s">
        <v>195</v>
      </c>
      <c r="AA2220" s="164" t="s">
        <v>196</v>
      </c>
      <c r="AB2220" s="164" t="s">
        <v>187</v>
      </c>
      <c r="AC2220" s="164" t="s">
        <v>187</v>
      </c>
      <c r="AD2220" s="165">
        <v>3</v>
      </c>
      <c r="AE2220" s="164" t="s">
        <v>187</v>
      </c>
      <c r="AF2220" s="165">
        <v>-3.8120630000000002</v>
      </c>
      <c r="AG2220" s="166">
        <v>104.039103</v>
      </c>
      <c r="AO2220" s="121"/>
      <c r="AT2220" s="111"/>
      <c r="AX2220" s="121"/>
    </row>
    <row r="2221" spans="1:50" s="110" customFormat="1" ht="20" customHeight="1">
      <c r="A2221" s="125" t="s">
        <v>185</v>
      </c>
      <c r="B2221" s="126" t="s">
        <v>59</v>
      </c>
      <c r="C2221" s="127">
        <v>14374</v>
      </c>
      <c r="D2221" s="163">
        <v>107995</v>
      </c>
      <c r="E2221" s="164" t="s">
        <v>463</v>
      </c>
      <c r="F2221" s="164" t="s">
        <v>463</v>
      </c>
      <c r="G2221" s="165">
        <v>113000</v>
      </c>
      <c r="H2221" s="165">
        <v>1</v>
      </c>
      <c r="I2221" s="164" t="s">
        <v>187</v>
      </c>
      <c r="J2221" s="164" t="s">
        <v>210</v>
      </c>
      <c r="K2221" s="164" t="s">
        <v>211</v>
      </c>
      <c r="L2221" s="165">
        <v>5</v>
      </c>
      <c r="M2221" s="165">
        <v>6</v>
      </c>
      <c r="N2221" s="164" t="s">
        <v>189</v>
      </c>
      <c r="O2221" s="165">
        <v>0.05</v>
      </c>
      <c r="P2221" s="165">
        <v>2.4E-2</v>
      </c>
      <c r="Q2221" s="165">
        <v>17</v>
      </c>
      <c r="R2221" s="164" t="s">
        <v>190</v>
      </c>
      <c r="S2221" s="164" t="s">
        <v>191</v>
      </c>
      <c r="T2221" s="165">
        <v>229</v>
      </c>
      <c r="U2221" s="164" t="s">
        <v>235</v>
      </c>
      <c r="V2221" s="164" t="s">
        <v>236</v>
      </c>
      <c r="W2221" s="165">
        <v>1</v>
      </c>
      <c r="X2221" s="165">
        <v>2</v>
      </c>
      <c r="Y2221" s="164" t="s">
        <v>194</v>
      </c>
      <c r="Z2221" s="164" t="s">
        <v>195</v>
      </c>
      <c r="AA2221" s="164" t="s">
        <v>196</v>
      </c>
      <c r="AB2221" s="164" t="s">
        <v>187</v>
      </c>
      <c r="AC2221" s="164" t="s">
        <v>187</v>
      </c>
      <c r="AD2221" s="165">
        <v>2</v>
      </c>
      <c r="AE2221" s="164" t="s">
        <v>187</v>
      </c>
      <c r="AF2221" s="165">
        <v>-2.7993520003944901</v>
      </c>
      <c r="AG2221" s="166">
        <v>107.834005000231</v>
      </c>
      <c r="AO2221" s="121"/>
      <c r="AT2221" s="111"/>
      <c r="AX2221" s="121"/>
    </row>
    <row r="2222" spans="1:50" s="110" customFormat="1" ht="20" customHeight="1">
      <c r="A2222" s="125" t="s">
        <v>185</v>
      </c>
      <c r="B2222" s="126" t="s">
        <v>59</v>
      </c>
      <c r="C2222" s="127">
        <v>14191</v>
      </c>
      <c r="D2222" s="163">
        <v>109026</v>
      </c>
      <c r="E2222" s="164" t="s">
        <v>1377</v>
      </c>
      <c r="F2222" s="164" t="s">
        <v>1377</v>
      </c>
      <c r="G2222" s="165">
        <v>69000</v>
      </c>
      <c r="H2222" s="165">
        <v>1</v>
      </c>
      <c r="I2222" s="164" t="s">
        <v>187</v>
      </c>
      <c r="J2222" s="164" t="s">
        <v>996</v>
      </c>
      <c r="K2222" s="164" t="s">
        <v>997</v>
      </c>
      <c r="L2222" s="165">
        <v>1</v>
      </c>
      <c r="M2222" s="165">
        <v>6</v>
      </c>
      <c r="N2222" s="164" t="s">
        <v>189</v>
      </c>
      <c r="O2222" s="165">
        <v>0</v>
      </c>
      <c r="P2222" s="165">
        <v>0</v>
      </c>
      <c r="Q2222" s="165">
        <v>17</v>
      </c>
      <c r="R2222" s="164" t="s">
        <v>190</v>
      </c>
      <c r="S2222" s="164" t="s">
        <v>191</v>
      </c>
      <c r="T2222" s="165">
        <v>229</v>
      </c>
      <c r="U2222" s="164" t="s">
        <v>235</v>
      </c>
      <c r="V2222" s="164" t="s">
        <v>236</v>
      </c>
      <c r="W2222" s="165">
        <v>1</v>
      </c>
      <c r="X2222" s="165">
        <v>2</v>
      </c>
      <c r="Y2222" s="164" t="s">
        <v>194</v>
      </c>
      <c r="Z2222" s="164" t="s">
        <v>195</v>
      </c>
      <c r="AA2222" s="164" t="s">
        <v>196</v>
      </c>
      <c r="AB2222" s="164" t="s">
        <v>187</v>
      </c>
      <c r="AC2222" s="164" t="s">
        <v>187</v>
      </c>
      <c r="AD2222" s="165">
        <v>1</v>
      </c>
      <c r="AE2222" s="164" t="s">
        <v>187</v>
      </c>
      <c r="AF2222" s="165">
        <v>-3.4284400000000002</v>
      </c>
      <c r="AG2222" s="166">
        <v>102.94309</v>
      </c>
      <c r="AO2222" s="121"/>
      <c r="AT2222" s="111"/>
      <c r="AX2222" s="121"/>
    </row>
    <row r="2223" spans="1:50" s="110" customFormat="1" ht="20" customHeight="1">
      <c r="A2223" s="125" t="s">
        <v>185</v>
      </c>
      <c r="B2223" s="126" t="s">
        <v>59</v>
      </c>
      <c r="C2223" s="127">
        <v>14362</v>
      </c>
      <c r="D2223" s="163">
        <v>107973</v>
      </c>
      <c r="E2223" s="164" t="s">
        <v>1202</v>
      </c>
      <c r="F2223" s="164" t="s">
        <v>1202</v>
      </c>
      <c r="G2223" s="165">
        <v>28000</v>
      </c>
      <c r="H2223" s="165">
        <v>1</v>
      </c>
      <c r="I2223" s="164" t="s">
        <v>187</v>
      </c>
      <c r="J2223" s="164" t="s">
        <v>266</v>
      </c>
      <c r="K2223" s="164" t="s">
        <v>267</v>
      </c>
      <c r="L2223" s="165">
        <v>4</v>
      </c>
      <c r="M2223" s="165">
        <v>6</v>
      </c>
      <c r="N2223" s="164" t="s">
        <v>189</v>
      </c>
      <c r="O2223" s="165">
        <v>5.0999999999999997E-2</v>
      </c>
      <c r="P2223" s="165">
        <v>5.0999999999999997E-2</v>
      </c>
      <c r="Q2223" s="165">
        <v>17</v>
      </c>
      <c r="R2223" s="164" t="s">
        <v>190</v>
      </c>
      <c r="S2223" s="164" t="s">
        <v>191</v>
      </c>
      <c r="T2223" s="165">
        <v>229</v>
      </c>
      <c r="U2223" s="164" t="s">
        <v>235</v>
      </c>
      <c r="V2223" s="164" t="s">
        <v>236</v>
      </c>
      <c r="W2223" s="165">
        <v>1</v>
      </c>
      <c r="X2223" s="165">
        <v>2</v>
      </c>
      <c r="Y2223" s="164" t="s">
        <v>194</v>
      </c>
      <c r="Z2223" s="164" t="s">
        <v>195</v>
      </c>
      <c r="AA2223" s="164" t="s">
        <v>196</v>
      </c>
      <c r="AB2223" s="164" t="s">
        <v>187</v>
      </c>
      <c r="AC2223" s="164" t="s">
        <v>187</v>
      </c>
      <c r="AD2223" s="165">
        <v>1</v>
      </c>
      <c r="AE2223" s="164" t="s">
        <v>187</v>
      </c>
      <c r="AF2223" s="165">
        <v>-1.61603596818537</v>
      </c>
      <c r="AG2223" s="166">
        <v>103.589029675679</v>
      </c>
      <c r="AO2223" s="121"/>
      <c r="AT2223" s="111"/>
      <c r="AX2223" s="121"/>
    </row>
    <row r="2224" spans="1:50" s="110" customFormat="1" ht="20" customHeight="1">
      <c r="A2224" s="125" t="s">
        <v>185</v>
      </c>
      <c r="B2224" s="126" t="s">
        <v>59</v>
      </c>
      <c r="C2224" s="127">
        <v>15212</v>
      </c>
      <c r="D2224" s="163">
        <v>109752</v>
      </c>
      <c r="E2224" s="164" t="s">
        <v>1094</v>
      </c>
      <c r="F2224" s="164" t="s">
        <v>1094</v>
      </c>
      <c r="G2224" s="165">
        <v>26000</v>
      </c>
      <c r="H2224" s="165">
        <v>1</v>
      </c>
      <c r="I2224" s="164" t="s">
        <v>187</v>
      </c>
      <c r="J2224" s="164" t="s">
        <v>266</v>
      </c>
      <c r="K2224" s="164" t="s">
        <v>267</v>
      </c>
      <c r="L2224" s="165">
        <v>4</v>
      </c>
      <c r="M2224" s="165">
        <v>6</v>
      </c>
      <c r="N2224" s="164" t="s">
        <v>189</v>
      </c>
      <c r="O2224" s="165">
        <v>2</v>
      </c>
      <c r="P2224" s="165">
        <v>1.5</v>
      </c>
      <c r="Q2224" s="165">
        <v>17</v>
      </c>
      <c r="R2224" s="164" t="s">
        <v>190</v>
      </c>
      <c r="S2224" s="164" t="s">
        <v>191</v>
      </c>
      <c r="T2224" s="165">
        <v>229</v>
      </c>
      <c r="U2224" s="164" t="s">
        <v>235</v>
      </c>
      <c r="V2224" s="164" t="s">
        <v>236</v>
      </c>
      <c r="W2224" s="165">
        <v>2</v>
      </c>
      <c r="X2224" s="165">
        <v>2</v>
      </c>
      <c r="Y2224" s="164" t="s">
        <v>194</v>
      </c>
      <c r="Z2224" s="164" t="s">
        <v>195</v>
      </c>
      <c r="AA2224" s="164" t="s">
        <v>196</v>
      </c>
      <c r="AB2224" s="164" t="s">
        <v>187</v>
      </c>
      <c r="AC2224" s="164" t="s">
        <v>187</v>
      </c>
      <c r="AD2224" s="165">
        <v>1</v>
      </c>
      <c r="AE2224" s="164" t="s">
        <v>209</v>
      </c>
      <c r="AF2224" s="165">
        <v>0.33702991659737302</v>
      </c>
      <c r="AG2224" s="166">
        <v>101.020991196986</v>
      </c>
      <c r="AO2224" s="121"/>
      <c r="AT2224" s="111"/>
      <c r="AX2224" s="121"/>
    </row>
    <row r="2225" spans="1:50" s="110" customFormat="1" ht="20" customHeight="1">
      <c r="A2225" s="125" t="s">
        <v>185</v>
      </c>
      <c r="B2225" s="126" t="s">
        <v>59</v>
      </c>
      <c r="C2225" s="127">
        <v>18950</v>
      </c>
      <c r="D2225" s="163">
        <v>115228</v>
      </c>
      <c r="E2225" s="164" t="s">
        <v>232</v>
      </c>
      <c r="F2225" s="164" t="s">
        <v>232</v>
      </c>
      <c r="G2225" s="165">
        <v>17000</v>
      </c>
      <c r="H2225" s="165">
        <v>1</v>
      </c>
      <c r="I2225" s="164" t="s">
        <v>187</v>
      </c>
      <c r="J2225" s="164" t="s">
        <v>233</v>
      </c>
      <c r="K2225" s="164" t="s">
        <v>234</v>
      </c>
      <c r="L2225" s="165">
        <v>1</v>
      </c>
      <c r="M2225" s="165">
        <v>6</v>
      </c>
      <c r="N2225" s="164" t="s">
        <v>189</v>
      </c>
      <c r="O2225" s="165">
        <v>0.27</v>
      </c>
      <c r="P2225" s="165">
        <v>0.27</v>
      </c>
      <c r="Q2225" s="165">
        <v>17</v>
      </c>
      <c r="R2225" s="164" t="s">
        <v>190</v>
      </c>
      <c r="S2225" s="164" t="s">
        <v>191</v>
      </c>
      <c r="T2225" s="165">
        <v>229</v>
      </c>
      <c r="U2225" s="164" t="s">
        <v>235</v>
      </c>
      <c r="V2225" s="164" t="s">
        <v>236</v>
      </c>
      <c r="W2225" s="165">
        <v>1</v>
      </c>
      <c r="X2225" s="165">
        <v>2</v>
      </c>
      <c r="Y2225" s="164" t="s">
        <v>194</v>
      </c>
      <c r="Z2225" s="164" t="s">
        <v>195</v>
      </c>
      <c r="AA2225" s="164" t="s">
        <v>196</v>
      </c>
      <c r="AB2225" s="164" t="s">
        <v>187</v>
      </c>
      <c r="AC2225" s="164" t="s">
        <v>187</v>
      </c>
      <c r="AD2225" s="165">
        <v>1</v>
      </c>
      <c r="AE2225" s="164" t="s">
        <v>209</v>
      </c>
      <c r="AF2225" s="165">
        <v>-4.5849500000000001</v>
      </c>
      <c r="AG2225" s="166">
        <v>103.97931</v>
      </c>
      <c r="AO2225" s="121"/>
      <c r="AT2225" s="111"/>
      <c r="AX2225" s="121"/>
    </row>
    <row r="2226" spans="1:50" s="110" customFormat="1" ht="20" customHeight="1">
      <c r="A2226" s="125" t="s">
        <v>185</v>
      </c>
      <c r="B2226" s="126" t="s">
        <v>59</v>
      </c>
      <c r="C2226" s="127">
        <v>21465</v>
      </c>
      <c r="D2226" s="163">
        <v>117253</v>
      </c>
      <c r="E2226" s="164" t="s">
        <v>531</v>
      </c>
      <c r="F2226" s="164" t="s">
        <v>531</v>
      </c>
      <c r="G2226" s="165">
        <v>15000</v>
      </c>
      <c r="H2226" s="165">
        <v>1</v>
      </c>
      <c r="I2226" s="164" t="s">
        <v>187</v>
      </c>
      <c r="J2226" s="164" t="s">
        <v>532</v>
      </c>
      <c r="K2226" s="164" t="s">
        <v>533</v>
      </c>
      <c r="L2226" s="165">
        <v>1</v>
      </c>
      <c r="M2226" s="165">
        <v>6</v>
      </c>
      <c r="N2226" s="164" t="s">
        <v>189</v>
      </c>
      <c r="O2226" s="165">
        <v>0</v>
      </c>
      <c r="P2226" s="165">
        <v>0</v>
      </c>
      <c r="Q2226" s="165">
        <v>17</v>
      </c>
      <c r="R2226" s="164" t="s">
        <v>190</v>
      </c>
      <c r="S2226" s="164" t="s">
        <v>191</v>
      </c>
      <c r="T2226" s="165">
        <v>229</v>
      </c>
      <c r="U2226" s="164" t="s">
        <v>235</v>
      </c>
      <c r="V2226" s="164" t="s">
        <v>236</v>
      </c>
      <c r="W2226" s="165">
        <v>1</v>
      </c>
      <c r="X2226" s="165">
        <v>2</v>
      </c>
      <c r="Y2226" s="164" t="s">
        <v>194</v>
      </c>
      <c r="Z2226" s="164" t="s">
        <v>195</v>
      </c>
      <c r="AA2226" s="164" t="s">
        <v>196</v>
      </c>
      <c r="AB2226" s="164" t="s">
        <v>187</v>
      </c>
      <c r="AC2226" s="164" t="s">
        <v>187</v>
      </c>
      <c r="AD2226" s="165">
        <v>1</v>
      </c>
      <c r="AE2226" s="164" t="s">
        <v>187</v>
      </c>
      <c r="AF2226" s="165">
        <v>1.274519</v>
      </c>
      <c r="AG2226" s="166">
        <v>100.863546</v>
      </c>
      <c r="AO2226" s="121"/>
      <c r="AT2226" s="111"/>
      <c r="AX2226" s="121"/>
    </row>
    <row r="2227" spans="1:50" s="110" customFormat="1" ht="20" customHeight="1">
      <c r="A2227" s="125" t="s">
        <v>185</v>
      </c>
      <c r="B2227" s="126" t="s">
        <v>59</v>
      </c>
      <c r="C2227" s="127">
        <v>13102</v>
      </c>
      <c r="D2227" s="145">
        <v>105847</v>
      </c>
      <c r="E2227" s="146" t="s">
        <v>1021</v>
      </c>
      <c r="F2227" s="146" t="s">
        <v>1022</v>
      </c>
      <c r="G2227" s="147">
        <v>600</v>
      </c>
      <c r="H2227" s="147">
        <v>4</v>
      </c>
      <c r="I2227" s="146" t="s">
        <v>209</v>
      </c>
      <c r="J2227" s="146" t="s">
        <v>1023</v>
      </c>
      <c r="K2227" s="146" t="s">
        <v>1024</v>
      </c>
      <c r="L2227" s="147">
        <v>1</v>
      </c>
      <c r="M2227" s="147">
        <v>6</v>
      </c>
      <c r="N2227" s="146" t="s">
        <v>189</v>
      </c>
      <c r="O2227" s="147">
        <v>4</v>
      </c>
      <c r="P2227" s="147">
        <v>2.5</v>
      </c>
      <c r="Q2227" s="147">
        <v>17</v>
      </c>
      <c r="R2227" s="146" t="s">
        <v>190</v>
      </c>
      <c r="S2227" s="146" t="s">
        <v>191</v>
      </c>
      <c r="T2227" s="147">
        <v>229</v>
      </c>
      <c r="U2227" s="146" t="s">
        <v>235</v>
      </c>
      <c r="V2227" s="146" t="s">
        <v>236</v>
      </c>
      <c r="W2227" s="147">
        <v>1</v>
      </c>
      <c r="X2227" s="147">
        <v>2</v>
      </c>
      <c r="Y2227" s="146" t="s">
        <v>194</v>
      </c>
      <c r="Z2227" s="146" t="s">
        <v>195</v>
      </c>
      <c r="AA2227" s="146" t="s">
        <v>196</v>
      </c>
      <c r="AB2227" s="146" t="s">
        <v>187</v>
      </c>
      <c r="AC2227" s="146" t="s">
        <v>187</v>
      </c>
      <c r="AD2227" s="148"/>
      <c r="AE2227" s="146" t="s">
        <v>209</v>
      </c>
      <c r="AF2227" s="147">
        <v>0.59877000000000002</v>
      </c>
      <c r="AG2227" s="149">
        <v>103.26754</v>
      </c>
      <c r="AO2227" s="121"/>
      <c r="AT2227" s="111"/>
      <c r="AX2227" s="121"/>
    </row>
    <row r="2228" spans="1:50" s="110" customFormat="1" ht="20" customHeight="1">
      <c r="A2228" s="125" t="s">
        <v>185</v>
      </c>
      <c r="B2228" s="126" t="s">
        <v>59</v>
      </c>
      <c r="C2228" s="127">
        <v>13095</v>
      </c>
      <c r="D2228" s="145">
        <v>105837</v>
      </c>
      <c r="E2228" s="146" t="s">
        <v>1019</v>
      </c>
      <c r="F2228" s="146" t="s">
        <v>1020</v>
      </c>
      <c r="G2228" s="147">
        <v>60</v>
      </c>
      <c r="H2228" s="147">
        <v>4</v>
      </c>
      <c r="I2228" s="146" t="s">
        <v>209</v>
      </c>
      <c r="J2228" s="146" t="s">
        <v>403</v>
      </c>
      <c r="K2228" s="146" t="s">
        <v>402</v>
      </c>
      <c r="L2228" s="147">
        <v>1</v>
      </c>
      <c r="M2228" s="147">
        <v>6</v>
      </c>
      <c r="N2228" s="146" t="s">
        <v>189</v>
      </c>
      <c r="O2228" s="147">
        <v>10</v>
      </c>
      <c r="P2228" s="147">
        <v>6</v>
      </c>
      <c r="Q2228" s="147">
        <v>17</v>
      </c>
      <c r="R2228" s="146" t="s">
        <v>190</v>
      </c>
      <c r="S2228" s="146" t="s">
        <v>191</v>
      </c>
      <c r="T2228" s="147">
        <v>229</v>
      </c>
      <c r="U2228" s="146" t="s">
        <v>235</v>
      </c>
      <c r="V2228" s="146" t="s">
        <v>236</v>
      </c>
      <c r="W2228" s="147">
        <v>1</v>
      </c>
      <c r="X2228" s="147">
        <v>2</v>
      </c>
      <c r="Y2228" s="146" t="s">
        <v>194</v>
      </c>
      <c r="Z2228" s="146" t="s">
        <v>195</v>
      </c>
      <c r="AA2228" s="146" t="s">
        <v>196</v>
      </c>
      <c r="AB2228" s="146" t="s">
        <v>187</v>
      </c>
      <c r="AC2228" s="146" t="s">
        <v>187</v>
      </c>
      <c r="AD2228" s="148"/>
      <c r="AE2228" s="146" t="s">
        <v>209</v>
      </c>
      <c r="AF2228" s="147">
        <v>-1.73288000011195</v>
      </c>
      <c r="AG2228" s="149">
        <v>105.897189999719</v>
      </c>
      <c r="AO2228" s="121"/>
      <c r="AT2228" s="111"/>
      <c r="AX2228" s="121"/>
    </row>
    <row r="2229" spans="1:50" s="110" customFormat="1" ht="20" customHeight="1">
      <c r="A2229" s="125" t="s">
        <v>237</v>
      </c>
      <c r="B2229" s="126" t="s">
        <v>60</v>
      </c>
      <c r="C2229" s="127">
        <v>15212</v>
      </c>
      <c r="D2229" s="163">
        <v>109752</v>
      </c>
      <c r="E2229" s="164" t="s">
        <v>1094</v>
      </c>
      <c r="F2229" s="164" t="s">
        <v>1094</v>
      </c>
      <c r="G2229" s="165">
        <v>123000</v>
      </c>
      <c r="H2229" s="165">
        <v>1</v>
      </c>
      <c r="I2229" s="164" t="s">
        <v>187</v>
      </c>
      <c r="J2229" s="164" t="s">
        <v>210</v>
      </c>
      <c r="K2229" s="164" t="s">
        <v>211</v>
      </c>
      <c r="L2229" s="165">
        <v>5</v>
      </c>
      <c r="M2229" s="165">
        <v>6</v>
      </c>
      <c r="N2229" s="164" t="s">
        <v>189</v>
      </c>
      <c r="O2229" s="165">
        <v>0</v>
      </c>
      <c r="P2229" s="165">
        <v>0</v>
      </c>
      <c r="Q2229" s="165">
        <v>17</v>
      </c>
      <c r="R2229" s="164" t="s">
        <v>190</v>
      </c>
      <c r="S2229" s="164" t="s">
        <v>191</v>
      </c>
      <c r="T2229" s="165">
        <v>229</v>
      </c>
      <c r="U2229" s="164" t="s">
        <v>235</v>
      </c>
      <c r="V2229" s="164" t="s">
        <v>236</v>
      </c>
      <c r="W2229" s="165">
        <v>2</v>
      </c>
      <c r="X2229" s="165">
        <v>2</v>
      </c>
      <c r="Y2229" s="164" t="s">
        <v>194</v>
      </c>
      <c r="Z2229" s="164" t="s">
        <v>195</v>
      </c>
      <c r="AA2229" s="164" t="s">
        <v>196</v>
      </c>
      <c r="AB2229" s="164" t="s">
        <v>187</v>
      </c>
      <c r="AC2229" s="164" t="s">
        <v>187</v>
      </c>
      <c r="AD2229" s="165">
        <v>2</v>
      </c>
      <c r="AE2229" s="164" t="s">
        <v>187</v>
      </c>
      <c r="AF2229" s="165">
        <v>3.1949599996042899</v>
      </c>
      <c r="AG2229" s="166">
        <v>101.784206000007</v>
      </c>
      <c r="AO2229" s="121"/>
      <c r="AT2229" s="111"/>
      <c r="AX2229" s="121"/>
    </row>
    <row r="2230" spans="1:50" s="110" customFormat="1" ht="20" customHeight="1">
      <c r="A2230" s="125" t="s">
        <v>408</v>
      </c>
      <c r="B2230" s="126" t="s">
        <v>64</v>
      </c>
      <c r="C2230" s="127">
        <v>14556</v>
      </c>
      <c r="D2230" s="163">
        <v>108373</v>
      </c>
      <c r="E2230" s="164" t="s">
        <v>1077</v>
      </c>
      <c r="F2230" s="164" t="s">
        <v>1077</v>
      </c>
      <c r="G2230" s="165">
        <v>16000</v>
      </c>
      <c r="H2230" s="165">
        <v>1</v>
      </c>
      <c r="I2230" s="164" t="s">
        <v>187</v>
      </c>
      <c r="J2230" s="164" t="s">
        <v>210</v>
      </c>
      <c r="K2230" s="164" t="s">
        <v>211</v>
      </c>
      <c r="L2230" s="165">
        <v>5</v>
      </c>
      <c r="M2230" s="165">
        <v>6</v>
      </c>
      <c r="N2230" s="164" t="s">
        <v>189</v>
      </c>
      <c r="O2230" s="165">
        <v>0.3</v>
      </c>
      <c r="P2230" s="165">
        <v>0.05</v>
      </c>
      <c r="Q2230" s="165">
        <v>17</v>
      </c>
      <c r="R2230" s="164" t="s">
        <v>190</v>
      </c>
      <c r="S2230" s="164" t="s">
        <v>191</v>
      </c>
      <c r="T2230" s="165">
        <v>229</v>
      </c>
      <c r="U2230" s="164" t="s">
        <v>235</v>
      </c>
      <c r="V2230" s="164" t="s">
        <v>236</v>
      </c>
      <c r="W2230" s="165">
        <v>2</v>
      </c>
      <c r="X2230" s="165">
        <v>2</v>
      </c>
      <c r="Y2230" s="164" t="s">
        <v>194</v>
      </c>
      <c r="Z2230" s="164" t="s">
        <v>195</v>
      </c>
      <c r="AA2230" s="164" t="s">
        <v>196</v>
      </c>
      <c r="AB2230" s="164" t="s">
        <v>209</v>
      </c>
      <c r="AC2230" s="164" t="s">
        <v>209</v>
      </c>
      <c r="AD2230" s="165">
        <v>1</v>
      </c>
      <c r="AE2230" s="164" t="s">
        <v>209</v>
      </c>
      <c r="AF2230" s="165">
        <v>1.4296319950205401</v>
      </c>
      <c r="AG2230" s="166">
        <v>103.779036998659</v>
      </c>
      <c r="AO2230" s="121"/>
      <c r="AT2230" s="111"/>
      <c r="AX2230" s="121"/>
    </row>
    <row r="2231" spans="1:50" s="110" customFormat="1" ht="20" customHeight="1">
      <c r="A2231" s="125" t="s">
        <v>185</v>
      </c>
      <c r="B2231" s="126" t="s">
        <v>59</v>
      </c>
      <c r="C2231" s="127">
        <v>10864</v>
      </c>
      <c r="D2231" s="163">
        <v>101471</v>
      </c>
      <c r="E2231" s="164" t="s">
        <v>506</v>
      </c>
      <c r="F2231" s="164" t="s">
        <v>506</v>
      </c>
      <c r="G2231" s="165">
        <v>14000</v>
      </c>
      <c r="H2231" s="165">
        <v>1</v>
      </c>
      <c r="I2231" s="164" t="s">
        <v>187</v>
      </c>
      <c r="J2231" s="164" t="s">
        <v>507</v>
      </c>
      <c r="K2231" s="164" t="s">
        <v>506</v>
      </c>
      <c r="L2231" s="165">
        <v>0</v>
      </c>
      <c r="M2231" s="165">
        <v>6</v>
      </c>
      <c r="N2231" s="164" t="s">
        <v>189</v>
      </c>
      <c r="O2231" s="165">
        <v>0.19800000000000001</v>
      </c>
      <c r="P2231" s="165">
        <v>0.19800000000000001</v>
      </c>
      <c r="Q2231" s="165">
        <v>17</v>
      </c>
      <c r="R2231" s="164" t="s">
        <v>190</v>
      </c>
      <c r="S2231" s="164" t="s">
        <v>191</v>
      </c>
      <c r="T2231" s="165">
        <v>232</v>
      </c>
      <c r="U2231" s="164" t="s">
        <v>508</v>
      </c>
      <c r="V2231" s="164" t="s">
        <v>509</v>
      </c>
      <c r="W2231" s="165">
        <v>1</v>
      </c>
      <c r="X2231" s="165">
        <v>2</v>
      </c>
      <c r="Y2231" s="164" t="s">
        <v>194</v>
      </c>
      <c r="Z2231" s="164" t="s">
        <v>195</v>
      </c>
      <c r="AA2231" s="164" t="s">
        <v>196</v>
      </c>
      <c r="AB2231" s="164" t="s">
        <v>187</v>
      </c>
      <c r="AC2231" s="164" t="s">
        <v>187</v>
      </c>
      <c r="AD2231" s="165">
        <v>1</v>
      </c>
      <c r="AE2231" s="164" t="s">
        <v>209</v>
      </c>
      <c r="AF2231" s="165">
        <v>0.77742</v>
      </c>
      <c r="AG2231" s="166">
        <v>123.46930999999999</v>
      </c>
      <c r="AO2231" s="121"/>
      <c r="AT2231" s="111"/>
      <c r="AX2231" s="121"/>
    </row>
    <row r="2232" spans="1:50" s="110" customFormat="1" ht="20" customHeight="1">
      <c r="A2232" s="125" t="s">
        <v>185</v>
      </c>
      <c r="B2232" s="126" t="s">
        <v>59</v>
      </c>
      <c r="C2232" s="127">
        <v>15142</v>
      </c>
      <c r="D2232" s="163">
        <v>109639</v>
      </c>
      <c r="E2232" s="164" t="s">
        <v>1398</v>
      </c>
      <c r="F2232" s="164" t="s">
        <v>1398</v>
      </c>
      <c r="G2232" s="165">
        <v>5500</v>
      </c>
      <c r="H2232" s="165">
        <v>1</v>
      </c>
      <c r="I2232" s="164" t="s">
        <v>187</v>
      </c>
      <c r="J2232" s="164" t="s">
        <v>1399</v>
      </c>
      <c r="K2232" s="164" t="s">
        <v>1398</v>
      </c>
      <c r="L2232" s="165">
        <v>0</v>
      </c>
      <c r="M2232" s="165">
        <v>6</v>
      </c>
      <c r="N2232" s="164" t="s">
        <v>189</v>
      </c>
      <c r="O2232" s="165">
        <v>0</v>
      </c>
      <c r="P2232" s="165">
        <v>0</v>
      </c>
      <c r="Q2232" s="165">
        <v>17</v>
      </c>
      <c r="R2232" s="164" t="s">
        <v>190</v>
      </c>
      <c r="S2232" s="164" t="s">
        <v>191</v>
      </c>
      <c r="T2232" s="165">
        <v>232</v>
      </c>
      <c r="U2232" s="164" t="s">
        <v>508</v>
      </c>
      <c r="V2232" s="164" t="s">
        <v>509</v>
      </c>
      <c r="W2232" s="165">
        <v>1</v>
      </c>
      <c r="X2232" s="165">
        <v>2</v>
      </c>
      <c r="Y2232" s="164" t="s">
        <v>194</v>
      </c>
      <c r="Z2232" s="164" t="s">
        <v>195</v>
      </c>
      <c r="AA2232" s="164" t="s">
        <v>196</v>
      </c>
      <c r="AB2232" s="164" t="s">
        <v>187</v>
      </c>
      <c r="AC2232" s="164" t="s">
        <v>187</v>
      </c>
      <c r="AD2232" s="165">
        <v>1</v>
      </c>
      <c r="AE2232" s="164" t="s">
        <v>187</v>
      </c>
      <c r="AF2232" s="165">
        <v>0.48353000000000002</v>
      </c>
      <c r="AG2232" s="166">
        <v>123.37291</v>
      </c>
      <c r="AO2232" s="121"/>
      <c r="AT2232" s="111"/>
      <c r="AX2232" s="121"/>
    </row>
    <row r="2233" spans="1:50" s="110" customFormat="1" ht="20" customHeight="1">
      <c r="A2233" s="125" t="s">
        <v>185</v>
      </c>
      <c r="B2233" s="126" t="s">
        <v>59</v>
      </c>
      <c r="C2233" s="127">
        <v>13724</v>
      </c>
      <c r="D2233" s="163">
        <v>106640</v>
      </c>
      <c r="E2233" s="164" t="s">
        <v>267</v>
      </c>
      <c r="F2233" s="164" t="s">
        <v>267</v>
      </c>
      <c r="G2233" s="165">
        <v>6743000</v>
      </c>
      <c r="H2233" s="165">
        <v>1</v>
      </c>
      <c r="I2233" s="164" t="s">
        <v>187</v>
      </c>
      <c r="J2233" s="164" t="s">
        <v>266</v>
      </c>
      <c r="K2233" s="164" t="s">
        <v>267</v>
      </c>
      <c r="L2233" s="165">
        <v>4</v>
      </c>
      <c r="M2233" s="165">
        <v>6</v>
      </c>
      <c r="N2233" s="164" t="s">
        <v>189</v>
      </c>
      <c r="O2233" s="165">
        <v>0.26</v>
      </c>
      <c r="P2233" s="165">
        <v>1.2999999999999999E-2</v>
      </c>
      <c r="Q2233" s="165">
        <v>17</v>
      </c>
      <c r="R2233" s="164" t="s">
        <v>190</v>
      </c>
      <c r="S2233" s="164" t="s">
        <v>191</v>
      </c>
      <c r="T2233" s="165">
        <v>233</v>
      </c>
      <c r="U2233" s="164" t="s">
        <v>467</v>
      </c>
      <c r="V2233" s="164" t="s">
        <v>468</v>
      </c>
      <c r="W2233" s="165">
        <v>1</v>
      </c>
      <c r="X2233" s="165">
        <v>2</v>
      </c>
      <c r="Y2233" s="164" t="s">
        <v>194</v>
      </c>
      <c r="Z2233" s="164" t="s">
        <v>195</v>
      </c>
      <c r="AA2233" s="164" t="s">
        <v>196</v>
      </c>
      <c r="AB2233" s="164" t="s">
        <v>187</v>
      </c>
      <c r="AC2233" s="164" t="s">
        <v>187</v>
      </c>
      <c r="AD2233" s="165">
        <v>135</v>
      </c>
      <c r="AE2233" s="164" t="s">
        <v>209</v>
      </c>
      <c r="AF2233" s="165">
        <v>-0.93726370835344097</v>
      </c>
      <c r="AG2233" s="166">
        <v>100.399942610663</v>
      </c>
      <c r="AO2233" s="121"/>
      <c r="AT2233" s="111"/>
      <c r="AX2233" s="121"/>
    </row>
    <row r="2234" spans="1:50" s="110" customFormat="1" ht="20" customHeight="1">
      <c r="A2234" s="125" t="s">
        <v>185</v>
      </c>
      <c r="B2234" s="126" t="s">
        <v>59</v>
      </c>
      <c r="C2234" s="127">
        <v>14537</v>
      </c>
      <c r="D2234" s="163">
        <v>108346</v>
      </c>
      <c r="E2234" s="164" t="s">
        <v>1297</v>
      </c>
      <c r="F2234" s="164" t="s">
        <v>1297</v>
      </c>
      <c r="G2234" s="165">
        <v>392000</v>
      </c>
      <c r="H2234" s="165">
        <v>1</v>
      </c>
      <c r="I2234" s="164" t="s">
        <v>187</v>
      </c>
      <c r="J2234" s="164" t="s">
        <v>1298</v>
      </c>
      <c r="K2234" s="164" t="s">
        <v>1297</v>
      </c>
      <c r="L2234" s="165">
        <v>4</v>
      </c>
      <c r="M2234" s="165">
        <v>6</v>
      </c>
      <c r="N2234" s="164" t="s">
        <v>189</v>
      </c>
      <c r="O2234" s="165">
        <v>0.04</v>
      </c>
      <c r="P2234" s="165">
        <v>1.0999999999999999E-2</v>
      </c>
      <c r="Q2234" s="165">
        <v>17</v>
      </c>
      <c r="R2234" s="164" t="s">
        <v>190</v>
      </c>
      <c r="S2234" s="164" t="s">
        <v>191</v>
      </c>
      <c r="T2234" s="165">
        <v>233</v>
      </c>
      <c r="U2234" s="164" t="s">
        <v>467</v>
      </c>
      <c r="V2234" s="164" t="s">
        <v>468</v>
      </c>
      <c r="W2234" s="165">
        <v>1</v>
      </c>
      <c r="X2234" s="165">
        <v>2</v>
      </c>
      <c r="Y2234" s="164" t="s">
        <v>194</v>
      </c>
      <c r="Z2234" s="164" t="s">
        <v>195</v>
      </c>
      <c r="AA2234" s="164" t="s">
        <v>196</v>
      </c>
      <c r="AB2234" s="164" t="s">
        <v>187</v>
      </c>
      <c r="AC2234" s="164" t="s">
        <v>187</v>
      </c>
      <c r="AD2234" s="165">
        <v>8</v>
      </c>
      <c r="AE2234" s="164" t="s">
        <v>187</v>
      </c>
      <c r="AF2234" s="165">
        <v>-3.2876500000000002</v>
      </c>
      <c r="AG2234" s="166">
        <v>102.32631000000001</v>
      </c>
      <c r="AO2234" s="121"/>
      <c r="AT2234" s="111"/>
      <c r="AX2234" s="121"/>
    </row>
    <row r="2235" spans="1:50" s="110" customFormat="1" ht="20" customHeight="1">
      <c r="A2235" s="125" t="s">
        <v>185</v>
      </c>
      <c r="B2235" s="126" t="s">
        <v>59</v>
      </c>
      <c r="C2235" s="127">
        <v>12640</v>
      </c>
      <c r="D2235" s="163">
        <v>104863</v>
      </c>
      <c r="E2235" s="164" t="s">
        <v>916</v>
      </c>
      <c r="F2235" s="164" t="s">
        <v>916</v>
      </c>
      <c r="G2235" s="165">
        <v>296000</v>
      </c>
      <c r="H2235" s="165">
        <v>1</v>
      </c>
      <c r="I2235" s="164" t="s">
        <v>187</v>
      </c>
      <c r="J2235" s="164" t="s">
        <v>917</v>
      </c>
      <c r="K2235" s="164" t="s">
        <v>916</v>
      </c>
      <c r="L2235" s="165">
        <v>1</v>
      </c>
      <c r="M2235" s="165">
        <v>6</v>
      </c>
      <c r="N2235" s="164" t="s">
        <v>189</v>
      </c>
      <c r="O2235" s="165">
        <v>1.5</v>
      </c>
      <c r="P2235" s="165">
        <v>0.108</v>
      </c>
      <c r="Q2235" s="165">
        <v>17</v>
      </c>
      <c r="R2235" s="164" t="s">
        <v>190</v>
      </c>
      <c r="S2235" s="164" t="s">
        <v>191</v>
      </c>
      <c r="T2235" s="165">
        <v>233</v>
      </c>
      <c r="U2235" s="164" t="s">
        <v>467</v>
      </c>
      <c r="V2235" s="164" t="s">
        <v>468</v>
      </c>
      <c r="W2235" s="165">
        <v>2</v>
      </c>
      <c r="X2235" s="165">
        <v>2</v>
      </c>
      <c r="Y2235" s="164" t="s">
        <v>194</v>
      </c>
      <c r="Z2235" s="164" t="s">
        <v>195</v>
      </c>
      <c r="AA2235" s="164" t="s">
        <v>196</v>
      </c>
      <c r="AB2235" s="164" t="s">
        <v>187</v>
      </c>
      <c r="AC2235" s="164" t="s">
        <v>187</v>
      </c>
      <c r="AD2235" s="165">
        <v>6</v>
      </c>
      <c r="AE2235" s="164" t="s">
        <v>209</v>
      </c>
      <c r="AF2235" s="165">
        <v>-2.0639596251365901</v>
      </c>
      <c r="AG2235" s="166">
        <v>101.395136083064</v>
      </c>
      <c r="AO2235" s="121"/>
      <c r="AT2235" s="111"/>
      <c r="AX2235" s="121"/>
    </row>
    <row r="2236" spans="1:50" s="110" customFormat="1" ht="20" customHeight="1">
      <c r="A2236" s="125" t="s">
        <v>185</v>
      </c>
      <c r="B2236" s="126" t="s">
        <v>59</v>
      </c>
      <c r="C2236" s="127">
        <v>10791</v>
      </c>
      <c r="D2236" s="163">
        <v>101255</v>
      </c>
      <c r="E2236" s="164" t="s">
        <v>464</v>
      </c>
      <c r="F2236" s="164" t="s">
        <v>464</v>
      </c>
      <c r="G2236" s="165">
        <v>67000</v>
      </c>
      <c r="H2236" s="165">
        <v>1</v>
      </c>
      <c r="I2236" s="164" t="s">
        <v>187</v>
      </c>
      <c r="J2236" s="164" t="s">
        <v>465</v>
      </c>
      <c r="K2236" s="164" t="s">
        <v>466</v>
      </c>
      <c r="L2236" s="165">
        <v>4</v>
      </c>
      <c r="M2236" s="165">
        <v>6</v>
      </c>
      <c r="N2236" s="164" t="s">
        <v>189</v>
      </c>
      <c r="O2236" s="165">
        <v>3.3000000000000002E-2</v>
      </c>
      <c r="P2236" s="165">
        <v>3.3000000000000002E-2</v>
      </c>
      <c r="Q2236" s="165">
        <v>17</v>
      </c>
      <c r="R2236" s="164" t="s">
        <v>190</v>
      </c>
      <c r="S2236" s="164" t="s">
        <v>191</v>
      </c>
      <c r="T2236" s="165">
        <v>233</v>
      </c>
      <c r="U2236" s="164" t="s">
        <v>467</v>
      </c>
      <c r="V2236" s="164" t="s">
        <v>468</v>
      </c>
      <c r="W2236" s="165">
        <v>1</v>
      </c>
      <c r="X2236" s="165">
        <v>2</v>
      </c>
      <c r="Y2236" s="164" t="s">
        <v>194</v>
      </c>
      <c r="Z2236" s="164" t="s">
        <v>195</v>
      </c>
      <c r="AA2236" s="164" t="s">
        <v>196</v>
      </c>
      <c r="AB2236" s="164" t="s">
        <v>187</v>
      </c>
      <c r="AC2236" s="164" t="s">
        <v>187</v>
      </c>
      <c r="AD2236" s="165">
        <v>1</v>
      </c>
      <c r="AE2236" s="164" t="s">
        <v>187</v>
      </c>
      <c r="AF2236" s="165">
        <v>-3.8105549196737898</v>
      </c>
      <c r="AG2236" s="166">
        <v>102.269145263143</v>
      </c>
      <c r="AO2236" s="121"/>
      <c r="AT2236" s="111"/>
      <c r="AX2236" s="121"/>
    </row>
    <row r="2237" spans="1:50" s="110" customFormat="1" ht="20" customHeight="1">
      <c r="A2237" s="125" t="s">
        <v>185</v>
      </c>
      <c r="B2237" s="126" t="s">
        <v>59</v>
      </c>
      <c r="C2237" s="127">
        <v>13859</v>
      </c>
      <c r="D2237" s="163">
        <v>106874</v>
      </c>
      <c r="E2237" s="164" t="s">
        <v>1140</v>
      </c>
      <c r="F2237" s="164" t="s">
        <v>1140</v>
      </c>
      <c r="G2237" s="165">
        <v>57000</v>
      </c>
      <c r="H2237" s="165">
        <v>1</v>
      </c>
      <c r="I2237" s="164" t="s">
        <v>187</v>
      </c>
      <c r="J2237" s="164" t="s">
        <v>266</v>
      </c>
      <c r="K2237" s="164" t="s">
        <v>267</v>
      </c>
      <c r="L2237" s="165">
        <v>4</v>
      </c>
      <c r="M2237" s="165">
        <v>6</v>
      </c>
      <c r="N2237" s="164" t="s">
        <v>189</v>
      </c>
      <c r="O2237" s="165">
        <v>1.6E-2</v>
      </c>
      <c r="P2237" s="165">
        <v>1.6E-2</v>
      </c>
      <c r="Q2237" s="165">
        <v>17</v>
      </c>
      <c r="R2237" s="164" t="s">
        <v>190</v>
      </c>
      <c r="S2237" s="164" t="s">
        <v>191</v>
      </c>
      <c r="T2237" s="165">
        <v>233</v>
      </c>
      <c r="U2237" s="164" t="s">
        <v>467</v>
      </c>
      <c r="V2237" s="164" t="s">
        <v>468</v>
      </c>
      <c r="W2237" s="165">
        <v>1</v>
      </c>
      <c r="X2237" s="165">
        <v>2</v>
      </c>
      <c r="Y2237" s="164" t="s">
        <v>194</v>
      </c>
      <c r="Z2237" s="164" t="s">
        <v>195</v>
      </c>
      <c r="AA2237" s="164" t="s">
        <v>196</v>
      </c>
      <c r="AB2237" s="164" t="s">
        <v>187</v>
      </c>
      <c r="AC2237" s="164" t="s">
        <v>187</v>
      </c>
      <c r="AD2237" s="165">
        <v>1</v>
      </c>
      <c r="AE2237" s="164" t="s">
        <v>187</v>
      </c>
      <c r="AF2237" s="165">
        <v>-2.6313726671149298</v>
      </c>
      <c r="AG2237" s="166">
        <v>101.325005707947</v>
      </c>
      <c r="AO2237" s="121"/>
      <c r="AT2237" s="111"/>
      <c r="AX2237" s="121"/>
    </row>
    <row r="2238" spans="1:50" s="110" customFormat="1" ht="20" customHeight="1">
      <c r="A2238" s="125" t="s">
        <v>185</v>
      </c>
      <c r="B2238" s="126" t="s">
        <v>59</v>
      </c>
      <c r="C2238" s="127">
        <v>13136</v>
      </c>
      <c r="D2238" s="163">
        <v>105901</v>
      </c>
      <c r="E2238" s="164" t="s">
        <v>1026</v>
      </c>
      <c r="F2238" s="164" t="s">
        <v>1026</v>
      </c>
      <c r="G2238" s="165">
        <v>54000</v>
      </c>
      <c r="H2238" s="165">
        <v>1</v>
      </c>
      <c r="I2238" s="164" t="s">
        <v>187</v>
      </c>
      <c r="J2238" s="164" t="s">
        <v>1027</v>
      </c>
      <c r="K2238" s="164" t="s">
        <v>1026</v>
      </c>
      <c r="L2238" s="165">
        <v>1</v>
      </c>
      <c r="M2238" s="165">
        <v>6</v>
      </c>
      <c r="N2238" s="164" t="s">
        <v>189</v>
      </c>
      <c r="O2238" s="165">
        <v>0</v>
      </c>
      <c r="P2238" s="165">
        <v>0</v>
      </c>
      <c r="Q2238" s="165">
        <v>17</v>
      </c>
      <c r="R2238" s="164" t="s">
        <v>190</v>
      </c>
      <c r="S2238" s="164" t="s">
        <v>191</v>
      </c>
      <c r="T2238" s="165">
        <v>233</v>
      </c>
      <c r="U2238" s="164" t="s">
        <v>467</v>
      </c>
      <c r="V2238" s="164" t="s">
        <v>468</v>
      </c>
      <c r="W2238" s="165">
        <v>1</v>
      </c>
      <c r="X2238" s="165">
        <v>2</v>
      </c>
      <c r="Y2238" s="164" t="s">
        <v>194</v>
      </c>
      <c r="Z2238" s="164" t="s">
        <v>195</v>
      </c>
      <c r="AA2238" s="164" t="s">
        <v>196</v>
      </c>
      <c r="AB2238" s="164" t="s">
        <v>187</v>
      </c>
      <c r="AC2238" s="164" t="s">
        <v>187</v>
      </c>
      <c r="AD2238" s="165">
        <v>1</v>
      </c>
      <c r="AE2238" s="164" t="s">
        <v>187</v>
      </c>
      <c r="AF2238" s="165">
        <v>0.66996999999999995</v>
      </c>
      <c r="AG2238" s="166">
        <v>99.74324</v>
      </c>
      <c r="AO2238" s="121"/>
      <c r="AT2238" s="111"/>
      <c r="AX2238" s="121"/>
    </row>
    <row r="2239" spans="1:50" s="110" customFormat="1" ht="20" customHeight="1">
      <c r="A2239" s="125" t="s">
        <v>185</v>
      </c>
      <c r="B2239" s="126" t="s">
        <v>59</v>
      </c>
      <c r="C2239" s="127">
        <v>14352</v>
      </c>
      <c r="D2239" s="163">
        <v>107962</v>
      </c>
      <c r="E2239" s="164" t="s">
        <v>1196</v>
      </c>
      <c r="F2239" s="164" t="s">
        <v>1196</v>
      </c>
      <c r="G2239" s="165">
        <v>40000</v>
      </c>
      <c r="H2239" s="165">
        <v>1</v>
      </c>
      <c r="I2239" s="164" t="s">
        <v>187</v>
      </c>
      <c r="J2239" s="164" t="s">
        <v>1197</v>
      </c>
      <c r="K2239" s="164" t="s">
        <v>1196</v>
      </c>
      <c r="L2239" s="165">
        <v>1</v>
      </c>
      <c r="M2239" s="165">
        <v>6</v>
      </c>
      <c r="N2239" s="164" t="s">
        <v>189</v>
      </c>
      <c r="O2239" s="165">
        <v>0.01</v>
      </c>
      <c r="P2239" s="165">
        <v>0.01</v>
      </c>
      <c r="Q2239" s="165">
        <v>17</v>
      </c>
      <c r="R2239" s="164" t="s">
        <v>190</v>
      </c>
      <c r="S2239" s="164" t="s">
        <v>191</v>
      </c>
      <c r="T2239" s="165">
        <v>233</v>
      </c>
      <c r="U2239" s="164" t="s">
        <v>467</v>
      </c>
      <c r="V2239" s="164" t="s">
        <v>468</v>
      </c>
      <c r="W2239" s="165">
        <v>1</v>
      </c>
      <c r="X2239" s="165">
        <v>2</v>
      </c>
      <c r="Y2239" s="164" t="s">
        <v>194</v>
      </c>
      <c r="Z2239" s="164" t="s">
        <v>195</v>
      </c>
      <c r="AA2239" s="164" t="s">
        <v>196</v>
      </c>
      <c r="AB2239" s="164" t="s">
        <v>187</v>
      </c>
      <c r="AC2239" s="164" t="s">
        <v>187</v>
      </c>
      <c r="AD2239" s="165">
        <v>1</v>
      </c>
      <c r="AE2239" s="164" t="s">
        <v>187</v>
      </c>
      <c r="AF2239" s="165">
        <v>-3.1251099999999998</v>
      </c>
      <c r="AG2239" s="166">
        <v>101.78762</v>
      </c>
      <c r="AO2239" s="121"/>
      <c r="AT2239" s="111"/>
      <c r="AX2239" s="121"/>
    </row>
    <row r="2240" spans="1:50" s="110" customFormat="1" ht="20" customHeight="1">
      <c r="A2240" s="125" t="s">
        <v>185</v>
      </c>
      <c r="B2240" s="126" t="s">
        <v>59</v>
      </c>
      <c r="C2240" s="127">
        <v>14274</v>
      </c>
      <c r="D2240" s="163">
        <v>107781</v>
      </c>
      <c r="E2240" s="164" t="s">
        <v>1177</v>
      </c>
      <c r="F2240" s="164" t="s">
        <v>1177</v>
      </c>
      <c r="G2240" s="165">
        <v>3391000</v>
      </c>
      <c r="H2240" s="165">
        <v>1</v>
      </c>
      <c r="I2240" s="164" t="s">
        <v>187</v>
      </c>
      <c r="J2240" s="164" t="s">
        <v>459</v>
      </c>
      <c r="K2240" s="164" t="s">
        <v>460</v>
      </c>
      <c r="L2240" s="165">
        <v>0</v>
      </c>
      <c r="M2240" s="165">
        <v>6</v>
      </c>
      <c r="N2240" s="164" t="s">
        <v>189</v>
      </c>
      <c r="O2240" s="165">
        <v>0.03</v>
      </c>
      <c r="P2240" s="165">
        <v>0</v>
      </c>
      <c r="Q2240" s="165">
        <v>17</v>
      </c>
      <c r="R2240" s="164" t="s">
        <v>190</v>
      </c>
      <c r="S2240" s="164" t="s">
        <v>191</v>
      </c>
      <c r="T2240" s="165">
        <v>241</v>
      </c>
      <c r="U2240" s="164" t="s">
        <v>461</v>
      </c>
      <c r="V2240" s="164" t="s">
        <v>462</v>
      </c>
      <c r="W2240" s="165">
        <v>2</v>
      </c>
      <c r="X2240" s="165">
        <v>2</v>
      </c>
      <c r="Y2240" s="164" t="s">
        <v>194</v>
      </c>
      <c r="Z2240" s="164" t="s">
        <v>195</v>
      </c>
      <c r="AA2240" s="164" t="s">
        <v>196</v>
      </c>
      <c r="AB2240" s="164" t="s">
        <v>187</v>
      </c>
      <c r="AC2240" s="164" t="s">
        <v>187</v>
      </c>
      <c r="AD2240" s="165">
        <v>68</v>
      </c>
      <c r="AE2240" s="164" t="s">
        <v>187</v>
      </c>
      <c r="AF2240" s="165">
        <v>-2.9518678751023799</v>
      </c>
      <c r="AG2240" s="166">
        <v>104.757256916773</v>
      </c>
      <c r="AO2240" s="121"/>
      <c r="AT2240" s="111"/>
      <c r="AX2240" s="121"/>
    </row>
    <row r="2241" spans="1:50" s="110" customFormat="1" ht="20" customHeight="1">
      <c r="A2241" s="125" t="s">
        <v>185</v>
      </c>
      <c r="B2241" s="126" t="s">
        <v>59</v>
      </c>
      <c r="C2241" s="127">
        <v>19645</v>
      </c>
      <c r="D2241" s="163">
        <v>108799</v>
      </c>
      <c r="E2241" s="164" t="s">
        <v>460</v>
      </c>
      <c r="F2241" s="164" t="s">
        <v>460</v>
      </c>
      <c r="G2241" s="165">
        <v>673000</v>
      </c>
      <c r="H2241" s="165">
        <v>1</v>
      </c>
      <c r="I2241" s="164" t="s">
        <v>187</v>
      </c>
      <c r="J2241" s="164" t="s">
        <v>459</v>
      </c>
      <c r="K2241" s="164" t="s">
        <v>460</v>
      </c>
      <c r="L2241" s="165">
        <v>0</v>
      </c>
      <c r="M2241" s="165">
        <v>6</v>
      </c>
      <c r="N2241" s="164" t="s">
        <v>189</v>
      </c>
      <c r="O2241" s="165">
        <v>7.0000000000000007E-2</v>
      </c>
      <c r="P2241" s="165">
        <v>2E-3</v>
      </c>
      <c r="Q2241" s="165">
        <v>17</v>
      </c>
      <c r="R2241" s="164" t="s">
        <v>190</v>
      </c>
      <c r="S2241" s="164" t="s">
        <v>191</v>
      </c>
      <c r="T2241" s="165">
        <v>241</v>
      </c>
      <c r="U2241" s="164" t="s">
        <v>461</v>
      </c>
      <c r="V2241" s="164" t="s">
        <v>462</v>
      </c>
      <c r="W2241" s="165">
        <v>1</v>
      </c>
      <c r="X2241" s="165">
        <v>2</v>
      </c>
      <c r="Y2241" s="164" t="s">
        <v>194</v>
      </c>
      <c r="Z2241" s="164" t="s">
        <v>195</v>
      </c>
      <c r="AA2241" s="164" t="s">
        <v>196</v>
      </c>
      <c r="AB2241" s="164" t="s">
        <v>187</v>
      </c>
      <c r="AC2241" s="164" t="s">
        <v>187</v>
      </c>
      <c r="AD2241" s="165">
        <v>13</v>
      </c>
      <c r="AE2241" s="164" t="s">
        <v>187</v>
      </c>
      <c r="AF2241" s="165">
        <v>-2.9398699999005702</v>
      </c>
      <c r="AG2241" s="166">
        <v>103.944609999752</v>
      </c>
      <c r="AO2241" s="121"/>
      <c r="AT2241" s="111"/>
      <c r="AX2241" s="121"/>
    </row>
    <row r="2242" spans="1:50" s="110" customFormat="1" ht="20" customHeight="1">
      <c r="A2242" s="125" t="s">
        <v>185</v>
      </c>
      <c r="B2242" s="126" t="s">
        <v>59</v>
      </c>
      <c r="C2242" s="127">
        <v>13027</v>
      </c>
      <c r="D2242" s="163">
        <v>105705</v>
      </c>
      <c r="E2242" s="164" t="s">
        <v>994</v>
      </c>
      <c r="F2242" s="164" t="s">
        <v>994</v>
      </c>
      <c r="G2242" s="165">
        <v>311000</v>
      </c>
      <c r="H2242" s="165">
        <v>1</v>
      </c>
      <c r="I2242" s="164" t="s">
        <v>187</v>
      </c>
      <c r="J2242" s="164" t="s">
        <v>459</v>
      </c>
      <c r="K2242" s="164" t="s">
        <v>460</v>
      </c>
      <c r="L2242" s="165">
        <v>0</v>
      </c>
      <c r="M2242" s="165">
        <v>6</v>
      </c>
      <c r="N2242" s="164" t="s">
        <v>189</v>
      </c>
      <c r="O2242" s="165">
        <v>0.3</v>
      </c>
      <c r="P2242" s="165">
        <v>1E-3</v>
      </c>
      <c r="Q2242" s="165">
        <v>17</v>
      </c>
      <c r="R2242" s="164" t="s">
        <v>190</v>
      </c>
      <c r="S2242" s="164" t="s">
        <v>191</v>
      </c>
      <c r="T2242" s="165">
        <v>241</v>
      </c>
      <c r="U2242" s="164" t="s">
        <v>461</v>
      </c>
      <c r="V2242" s="164" t="s">
        <v>462</v>
      </c>
      <c r="W2242" s="165">
        <v>1</v>
      </c>
      <c r="X2242" s="165">
        <v>2</v>
      </c>
      <c r="Y2242" s="164" t="s">
        <v>194</v>
      </c>
      <c r="Z2242" s="164" t="s">
        <v>195</v>
      </c>
      <c r="AA2242" s="164" t="s">
        <v>196</v>
      </c>
      <c r="AB2242" s="164" t="s">
        <v>187</v>
      </c>
      <c r="AC2242" s="164" t="s">
        <v>187</v>
      </c>
      <c r="AD2242" s="165">
        <v>6</v>
      </c>
      <c r="AE2242" s="164" t="s">
        <v>209</v>
      </c>
      <c r="AF2242" s="165">
        <v>-3.2781368754164601</v>
      </c>
      <c r="AG2242" s="166">
        <v>103.83798337513301</v>
      </c>
      <c r="AO2242" s="121"/>
      <c r="AT2242" s="111"/>
      <c r="AX2242" s="121"/>
    </row>
    <row r="2243" spans="1:50" s="110" customFormat="1" ht="20" customHeight="1">
      <c r="A2243" s="125" t="s">
        <v>185</v>
      </c>
      <c r="B2243" s="126" t="s">
        <v>59</v>
      </c>
      <c r="C2243" s="127">
        <v>13028</v>
      </c>
      <c r="D2243" s="163">
        <v>105706</v>
      </c>
      <c r="E2243" s="164" t="s">
        <v>995</v>
      </c>
      <c r="F2243" s="164" t="s">
        <v>995</v>
      </c>
      <c r="G2243" s="165">
        <v>235000</v>
      </c>
      <c r="H2243" s="165">
        <v>1</v>
      </c>
      <c r="I2243" s="164" t="s">
        <v>187</v>
      </c>
      <c r="J2243" s="164" t="s">
        <v>996</v>
      </c>
      <c r="K2243" s="164" t="s">
        <v>997</v>
      </c>
      <c r="L2243" s="165">
        <v>1</v>
      </c>
      <c r="M2243" s="165">
        <v>6</v>
      </c>
      <c r="N2243" s="164" t="s">
        <v>189</v>
      </c>
      <c r="O2243" s="165">
        <v>0.01</v>
      </c>
      <c r="P2243" s="165">
        <v>4.0000000000000001E-3</v>
      </c>
      <c r="Q2243" s="165">
        <v>17</v>
      </c>
      <c r="R2243" s="164" t="s">
        <v>190</v>
      </c>
      <c r="S2243" s="164" t="s">
        <v>191</v>
      </c>
      <c r="T2243" s="165">
        <v>241</v>
      </c>
      <c r="U2243" s="164" t="s">
        <v>461</v>
      </c>
      <c r="V2243" s="164" t="s">
        <v>462</v>
      </c>
      <c r="W2243" s="165">
        <v>1</v>
      </c>
      <c r="X2243" s="165">
        <v>2</v>
      </c>
      <c r="Y2243" s="164" t="s">
        <v>194</v>
      </c>
      <c r="Z2243" s="164" t="s">
        <v>195</v>
      </c>
      <c r="AA2243" s="164" t="s">
        <v>196</v>
      </c>
      <c r="AB2243" s="164" t="s">
        <v>187</v>
      </c>
      <c r="AC2243" s="164" t="s">
        <v>187</v>
      </c>
      <c r="AD2243" s="165">
        <v>5</v>
      </c>
      <c r="AE2243" s="164" t="s">
        <v>187</v>
      </c>
      <c r="AF2243" s="165">
        <v>-3.2868738331608802</v>
      </c>
      <c r="AG2243" s="166">
        <v>102.870212542275</v>
      </c>
      <c r="AO2243" s="121"/>
      <c r="AT2243" s="111"/>
      <c r="AX2243" s="121"/>
    </row>
    <row r="2244" spans="1:50" s="110" customFormat="1" ht="20" customHeight="1">
      <c r="A2244" s="125" t="s">
        <v>185</v>
      </c>
      <c r="B2244" s="126" t="s">
        <v>59</v>
      </c>
      <c r="C2244" s="127">
        <v>14529</v>
      </c>
      <c r="D2244" s="163">
        <v>108327</v>
      </c>
      <c r="E2244" s="164" t="s">
        <v>1295</v>
      </c>
      <c r="F2244" s="164" t="s">
        <v>1295</v>
      </c>
      <c r="G2244" s="165">
        <v>227000</v>
      </c>
      <c r="H2244" s="165">
        <v>1</v>
      </c>
      <c r="I2244" s="164" t="s">
        <v>187</v>
      </c>
      <c r="J2244" s="164" t="s">
        <v>459</v>
      </c>
      <c r="K2244" s="164" t="s">
        <v>460</v>
      </c>
      <c r="L2244" s="165">
        <v>0</v>
      </c>
      <c r="M2244" s="165">
        <v>6</v>
      </c>
      <c r="N2244" s="164" t="s">
        <v>189</v>
      </c>
      <c r="O2244" s="165">
        <v>0</v>
      </c>
      <c r="P2244" s="165">
        <v>0</v>
      </c>
      <c r="Q2244" s="165">
        <v>17</v>
      </c>
      <c r="R2244" s="164" t="s">
        <v>190</v>
      </c>
      <c r="S2244" s="164" t="s">
        <v>191</v>
      </c>
      <c r="T2244" s="165">
        <v>241</v>
      </c>
      <c r="U2244" s="164" t="s">
        <v>461</v>
      </c>
      <c r="V2244" s="164" t="s">
        <v>462</v>
      </c>
      <c r="W2244" s="165">
        <v>1</v>
      </c>
      <c r="X2244" s="165">
        <v>2</v>
      </c>
      <c r="Y2244" s="164" t="s">
        <v>194</v>
      </c>
      <c r="Z2244" s="164" t="s">
        <v>195</v>
      </c>
      <c r="AA2244" s="164" t="s">
        <v>196</v>
      </c>
      <c r="AB2244" s="164" t="s">
        <v>187</v>
      </c>
      <c r="AC2244" s="164" t="s">
        <v>187</v>
      </c>
      <c r="AD2244" s="165">
        <v>5</v>
      </c>
      <c r="AE2244" s="164" t="s">
        <v>187</v>
      </c>
      <c r="AF2244" s="165">
        <v>-2.88876000007394</v>
      </c>
      <c r="AG2244" s="166">
        <v>102.767179999757</v>
      </c>
      <c r="AO2244" s="121"/>
      <c r="AT2244" s="111"/>
      <c r="AX2244" s="121"/>
    </row>
    <row r="2245" spans="1:50" s="110" customFormat="1" ht="20" customHeight="1">
      <c r="A2245" s="125" t="s">
        <v>185</v>
      </c>
      <c r="B2245" s="126" t="s">
        <v>59</v>
      </c>
      <c r="C2245" s="127">
        <v>14361</v>
      </c>
      <c r="D2245" s="163">
        <v>107972</v>
      </c>
      <c r="E2245" s="164" t="s">
        <v>1201</v>
      </c>
      <c r="F2245" s="164" t="s">
        <v>1201</v>
      </c>
      <c r="G2245" s="165">
        <v>148000</v>
      </c>
      <c r="H2245" s="165">
        <v>1</v>
      </c>
      <c r="I2245" s="164" t="s">
        <v>187</v>
      </c>
      <c r="J2245" s="164" t="s">
        <v>459</v>
      </c>
      <c r="K2245" s="164" t="s">
        <v>460</v>
      </c>
      <c r="L2245" s="165">
        <v>0</v>
      </c>
      <c r="M2245" s="165">
        <v>6</v>
      </c>
      <c r="N2245" s="164" t="s">
        <v>189</v>
      </c>
      <c r="O2245" s="165">
        <v>2</v>
      </c>
      <c r="P2245" s="165">
        <v>0</v>
      </c>
      <c r="Q2245" s="165">
        <v>17</v>
      </c>
      <c r="R2245" s="164" t="s">
        <v>190</v>
      </c>
      <c r="S2245" s="164" t="s">
        <v>191</v>
      </c>
      <c r="T2245" s="165">
        <v>241</v>
      </c>
      <c r="U2245" s="164" t="s">
        <v>461</v>
      </c>
      <c r="V2245" s="164" t="s">
        <v>462</v>
      </c>
      <c r="W2245" s="165">
        <v>1</v>
      </c>
      <c r="X2245" s="165">
        <v>2</v>
      </c>
      <c r="Y2245" s="164" t="s">
        <v>194</v>
      </c>
      <c r="Z2245" s="164" t="s">
        <v>195</v>
      </c>
      <c r="AA2245" s="164" t="s">
        <v>196</v>
      </c>
      <c r="AB2245" s="164" t="s">
        <v>187</v>
      </c>
      <c r="AC2245" s="164" t="s">
        <v>187</v>
      </c>
      <c r="AD2245" s="165">
        <v>3</v>
      </c>
      <c r="AE2245" s="164" t="s">
        <v>209</v>
      </c>
      <c r="AF2245" s="165">
        <v>-3.3777895831227598</v>
      </c>
      <c r="AG2245" s="166">
        <v>104.613373083101</v>
      </c>
      <c r="AO2245" s="121"/>
      <c r="AT2245" s="111"/>
      <c r="AX2245" s="121"/>
    </row>
    <row r="2246" spans="1:50" s="110" customFormat="1" ht="20" customHeight="1">
      <c r="A2246" s="125" t="s">
        <v>185</v>
      </c>
      <c r="B2246" s="126" t="s">
        <v>59</v>
      </c>
      <c r="C2246" s="127">
        <v>10777</v>
      </c>
      <c r="D2246" s="163">
        <v>101235</v>
      </c>
      <c r="E2246" s="164" t="s">
        <v>458</v>
      </c>
      <c r="F2246" s="164" t="s">
        <v>458</v>
      </c>
      <c r="G2246" s="165">
        <v>85000</v>
      </c>
      <c r="H2246" s="165">
        <v>1</v>
      </c>
      <c r="I2246" s="164" t="s">
        <v>187</v>
      </c>
      <c r="J2246" s="164" t="s">
        <v>459</v>
      </c>
      <c r="K2246" s="164" t="s">
        <v>460</v>
      </c>
      <c r="L2246" s="165">
        <v>0</v>
      </c>
      <c r="M2246" s="165">
        <v>6</v>
      </c>
      <c r="N2246" s="164" t="s">
        <v>189</v>
      </c>
      <c r="O2246" s="165">
        <v>0</v>
      </c>
      <c r="P2246" s="165">
        <v>0</v>
      </c>
      <c r="Q2246" s="165">
        <v>17</v>
      </c>
      <c r="R2246" s="164" t="s">
        <v>190</v>
      </c>
      <c r="S2246" s="164" t="s">
        <v>191</v>
      </c>
      <c r="T2246" s="165">
        <v>241</v>
      </c>
      <c r="U2246" s="164" t="s">
        <v>461</v>
      </c>
      <c r="V2246" s="164" t="s">
        <v>462</v>
      </c>
      <c r="W2246" s="165">
        <v>1</v>
      </c>
      <c r="X2246" s="165">
        <v>2</v>
      </c>
      <c r="Y2246" s="164" t="s">
        <v>194</v>
      </c>
      <c r="Z2246" s="164" t="s">
        <v>195</v>
      </c>
      <c r="AA2246" s="164" t="s">
        <v>196</v>
      </c>
      <c r="AB2246" s="164" t="s">
        <v>187</v>
      </c>
      <c r="AC2246" s="164" t="s">
        <v>187</v>
      </c>
      <c r="AD2246" s="165">
        <v>2</v>
      </c>
      <c r="AE2246" s="164" t="s">
        <v>187</v>
      </c>
      <c r="AF2246" s="165">
        <v>-3.3170069547072099</v>
      </c>
      <c r="AG2246" s="166">
        <v>104.37260961114499</v>
      </c>
      <c r="AO2246" s="121"/>
      <c r="AT2246" s="111"/>
      <c r="AX2246" s="121"/>
    </row>
    <row r="2247" spans="1:50" s="110" customFormat="1" ht="20" customHeight="1">
      <c r="A2247" s="125" t="s">
        <v>408</v>
      </c>
      <c r="B2247" s="126" t="s">
        <v>64</v>
      </c>
      <c r="C2247" s="127">
        <v>14274</v>
      </c>
      <c r="D2247" s="163">
        <v>107781</v>
      </c>
      <c r="E2247" s="164" t="s">
        <v>1177</v>
      </c>
      <c r="F2247" s="164" t="s">
        <v>1177</v>
      </c>
      <c r="G2247" s="165">
        <v>11000</v>
      </c>
      <c r="H2247" s="165">
        <v>1</v>
      </c>
      <c r="I2247" s="164" t="s">
        <v>187</v>
      </c>
      <c r="J2247" s="164" t="s">
        <v>459</v>
      </c>
      <c r="K2247" s="164" t="s">
        <v>460</v>
      </c>
      <c r="L2247" s="165">
        <v>0</v>
      </c>
      <c r="M2247" s="165">
        <v>6</v>
      </c>
      <c r="N2247" s="164" t="s">
        <v>189</v>
      </c>
      <c r="O2247" s="165">
        <v>0.05</v>
      </c>
      <c r="P2247" s="165">
        <v>8.9999999999999993E-3</v>
      </c>
      <c r="Q2247" s="165">
        <v>17</v>
      </c>
      <c r="R2247" s="164" t="s">
        <v>190</v>
      </c>
      <c r="S2247" s="164" t="s">
        <v>191</v>
      </c>
      <c r="T2247" s="165">
        <v>241</v>
      </c>
      <c r="U2247" s="164" t="s">
        <v>461</v>
      </c>
      <c r="V2247" s="164" t="s">
        <v>462</v>
      </c>
      <c r="W2247" s="165">
        <v>2</v>
      </c>
      <c r="X2247" s="165">
        <v>2</v>
      </c>
      <c r="Y2247" s="164" t="s">
        <v>194</v>
      </c>
      <c r="Z2247" s="164" t="s">
        <v>195</v>
      </c>
      <c r="AA2247" s="164" t="s">
        <v>196</v>
      </c>
      <c r="AB2247" s="164" t="s">
        <v>209</v>
      </c>
      <c r="AC2247" s="164" t="s">
        <v>209</v>
      </c>
      <c r="AD2247" s="165">
        <v>1</v>
      </c>
      <c r="AE2247" s="164" t="s">
        <v>187</v>
      </c>
      <c r="AF2247" s="165">
        <v>1.3151001029873399</v>
      </c>
      <c r="AG2247" s="166">
        <v>103.883360614201</v>
      </c>
      <c r="AO2247" s="121"/>
      <c r="AT2247" s="111"/>
      <c r="AX2247" s="121"/>
    </row>
    <row r="2248" spans="1:50" s="110" customFormat="1" ht="20" customHeight="1">
      <c r="A2248" s="125" t="s">
        <v>185</v>
      </c>
      <c r="B2248" s="126" t="s">
        <v>59</v>
      </c>
      <c r="C2248" s="127">
        <v>12704</v>
      </c>
      <c r="D2248" s="163">
        <v>105023</v>
      </c>
      <c r="E2248" s="164" t="s">
        <v>928</v>
      </c>
      <c r="F2248" s="164" t="s">
        <v>928</v>
      </c>
      <c r="G2248" s="165">
        <v>8200</v>
      </c>
      <c r="H2248" s="165">
        <v>1</v>
      </c>
      <c r="I2248" s="164" t="s">
        <v>187</v>
      </c>
      <c r="J2248" s="164" t="s">
        <v>929</v>
      </c>
      <c r="K2248" s="164" t="s">
        <v>930</v>
      </c>
      <c r="L2248" s="165">
        <v>1</v>
      </c>
      <c r="M2248" s="165">
        <v>6</v>
      </c>
      <c r="N2248" s="164" t="s">
        <v>189</v>
      </c>
      <c r="O2248" s="165">
        <v>0</v>
      </c>
      <c r="P2248" s="165">
        <v>0</v>
      </c>
      <c r="Q2248" s="165">
        <v>19</v>
      </c>
      <c r="R2248" s="164" t="s">
        <v>654</v>
      </c>
      <c r="S2248" s="164" t="s">
        <v>655</v>
      </c>
      <c r="T2248" s="165">
        <v>244</v>
      </c>
      <c r="U2248" s="164" t="s">
        <v>656</v>
      </c>
      <c r="V2248" s="164" t="s">
        <v>657</v>
      </c>
      <c r="W2248" s="165">
        <v>1</v>
      </c>
      <c r="X2248" s="165">
        <v>2</v>
      </c>
      <c r="Y2248" s="164" t="s">
        <v>194</v>
      </c>
      <c r="Z2248" s="164" t="s">
        <v>195</v>
      </c>
      <c r="AA2248" s="164" t="s">
        <v>196</v>
      </c>
      <c r="AB2248" s="164" t="s">
        <v>187</v>
      </c>
      <c r="AC2248" s="164" t="s">
        <v>187</v>
      </c>
      <c r="AD2248" s="165">
        <v>1</v>
      </c>
      <c r="AE2248" s="164" t="s">
        <v>187</v>
      </c>
      <c r="AF2248" s="165">
        <v>-4.9874799999999997</v>
      </c>
      <c r="AG2248" s="166">
        <v>122.94607000000001</v>
      </c>
      <c r="AO2248" s="121"/>
      <c r="AT2248" s="111"/>
      <c r="AX2248" s="121"/>
    </row>
    <row r="2249" spans="1:50" s="110" customFormat="1" ht="20" customHeight="1">
      <c r="A2249" s="125" t="s">
        <v>185</v>
      </c>
      <c r="B2249" s="126" t="s">
        <v>59</v>
      </c>
      <c r="C2249" s="127">
        <v>13456</v>
      </c>
      <c r="D2249" s="163">
        <v>106181</v>
      </c>
      <c r="E2249" s="164" t="s">
        <v>1086</v>
      </c>
      <c r="F2249" s="164" t="s">
        <v>1086</v>
      </c>
      <c r="G2249" s="165">
        <v>7000</v>
      </c>
      <c r="H2249" s="165">
        <v>1</v>
      </c>
      <c r="I2249" s="164" t="s">
        <v>187</v>
      </c>
      <c r="J2249" s="164" t="s">
        <v>1087</v>
      </c>
      <c r="K2249" s="164" t="s">
        <v>1086</v>
      </c>
      <c r="L2249" s="165">
        <v>1</v>
      </c>
      <c r="M2249" s="165">
        <v>6</v>
      </c>
      <c r="N2249" s="164" t="s">
        <v>189</v>
      </c>
      <c r="O2249" s="165">
        <v>0</v>
      </c>
      <c r="P2249" s="165">
        <v>0</v>
      </c>
      <c r="Q2249" s="165">
        <v>19</v>
      </c>
      <c r="R2249" s="164" t="s">
        <v>654</v>
      </c>
      <c r="S2249" s="164" t="s">
        <v>655</v>
      </c>
      <c r="T2249" s="165">
        <v>244</v>
      </c>
      <c r="U2249" s="164" t="s">
        <v>656</v>
      </c>
      <c r="V2249" s="164" t="s">
        <v>657</v>
      </c>
      <c r="W2249" s="165">
        <v>1</v>
      </c>
      <c r="X2249" s="165">
        <v>2</v>
      </c>
      <c r="Y2249" s="164" t="s">
        <v>194</v>
      </c>
      <c r="Z2249" s="164" t="s">
        <v>195</v>
      </c>
      <c r="AA2249" s="164" t="s">
        <v>196</v>
      </c>
      <c r="AB2249" s="164" t="s">
        <v>187</v>
      </c>
      <c r="AC2249" s="164" t="s">
        <v>187</v>
      </c>
      <c r="AD2249" s="165">
        <v>1</v>
      </c>
      <c r="AE2249" s="164" t="s">
        <v>187</v>
      </c>
      <c r="AF2249" s="165">
        <v>-3.7014800000000001</v>
      </c>
      <c r="AG2249" s="166">
        <v>119.75923</v>
      </c>
      <c r="AO2249" s="121"/>
      <c r="AT2249" s="111"/>
      <c r="AX2249" s="121"/>
    </row>
    <row r="2250" spans="1:50" s="110" customFormat="1" ht="20" customHeight="1">
      <c r="A2250" s="125" t="s">
        <v>185</v>
      </c>
      <c r="B2250" s="126" t="s">
        <v>59</v>
      </c>
      <c r="C2250" s="127">
        <v>12844</v>
      </c>
      <c r="D2250" s="163">
        <v>105393</v>
      </c>
      <c r="E2250" s="164" t="s">
        <v>957</v>
      </c>
      <c r="F2250" s="164" t="s">
        <v>957</v>
      </c>
      <c r="G2250" s="165">
        <v>4200</v>
      </c>
      <c r="H2250" s="165">
        <v>1</v>
      </c>
      <c r="I2250" s="164" t="s">
        <v>187</v>
      </c>
      <c r="J2250" s="164" t="s">
        <v>958</v>
      </c>
      <c r="K2250" s="164" t="s">
        <v>959</v>
      </c>
      <c r="L2250" s="165">
        <v>1</v>
      </c>
      <c r="M2250" s="165">
        <v>6</v>
      </c>
      <c r="N2250" s="164" t="s">
        <v>189</v>
      </c>
      <c r="O2250" s="165">
        <v>0</v>
      </c>
      <c r="P2250" s="165">
        <v>0</v>
      </c>
      <c r="Q2250" s="165">
        <v>19</v>
      </c>
      <c r="R2250" s="164" t="s">
        <v>654</v>
      </c>
      <c r="S2250" s="164" t="s">
        <v>655</v>
      </c>
      <c r="T2250" s="165">
        <v>244</v>
      </c>
      <c r="U2250" s="164" t="s">
        <v>656</v>
      </c>
      <c r="V2250" s="164" t="s">
        <v>657</v>
      </c>
      <c r="W2250" s="165">
        <v>1</v>
      </c>
      <c r="X2250" s="165">
        <v>2</v>
      </c>
      <c r="Y2250" s="164" t="s">
        <v>194</v>
      </c>
      <c r="Z2250" s="164" t="s">
        <v>195</v>
      </c>
      <c r="AA2250" s="164" t="s">
        <v>196</v>
      </c>
      <c r="AB2250" s="164" t="s">
        <v>187</v>
      </c>
      <c r="AC2250" s="164" t="s">
        <v>187</v>
      </c>
      <c r="AD2250" s="165">
        <v>1</v>
      </c>
      <c r="AE2250" s="164" t="s">
        <v>187</v>
      </c>
      <c r="AF2250" s="165">
        <v>-5.3507499999999997</v>
      </c>
      <c r="AG2250" s="166">
        <v>123.14764</v>
      </c>
      <c r="AO2250" s="121"/>
      <c r="AT2250" s="111"/>
      <c r="AX2250" s="121"/>
    </row>
    <row r="2251" spans="1:50" s="110" customFormat="1" ht="20" customHeight="1">
      <c r="A2251" s="125" t="s">
        <v>185</v>
      </c>
      <c r="B2251" s="126" t="s">
        <v>59</v>
      </c>
      <c r="C2251" s="127">
        <v>12868</v>
      </c>
      <c r="D2251" s="163">
        <v>105439</v>
      </c>
      <c r="E2251" s="164" t="s">
        <v>962</v>
      </c>
      <c r="F2251" s="164" t="s">
        <v>962</v>
      </c>
      <c r="G2251" s="165">
        <v>4200</v>
      </c>
      <c r="H2251" s="165">
        <v>1</v>
      </c>
      <c r="I2251" s="164" t="s">
        <v>187</v>
      </c>
      <c r="J2251" s="164" t="s">
        <v>963</v>
      </c>
      <c r="K2251" s="164" t="s">
        <v>962</v>
      </c>
      <c r="L2251" s="165">
        <v>1</v>
      </c>
      <c r="M2251" s="165">
        <v>6</v>
      </c>
      <c r="N2251" s="164" t="s">
        <v>189</v>
      </c>
      <c r="O2251" s="165">
        <v>3</v>
      </c>
      <c r="P2251" s="165">
        <v>2</v>
      </c>
      <c r="Q2251" s="165">
        <v>19</v>
      </c>
      <c r="R2251" s="164" t="s">
        <v>654</v>
      </c>
      <c r="S2251" s="164" t="s">
        <v>655</v>
      </c>
      <c r="T2251" s="165">
        <v>244</v>
      </c>
      <c r="U2251" s="164" t="s">
        <v>656</v>
      </c>
      <c r="V2251" s="164" t="s">
        <v>657</v>
      </c>
      <c r="W2251" s="165">
        <v>1</v>
      </c>
      <c r="X2251" s="165">
        <v>2</v>
      </c>
      <c r="Y2251" s="164" t="s">
        <v>194</v>
      </c>
      <c r="Z2251" s="164" t="s">
        <v>195</v>
      </c>
      <c r="AA2251" s="164" t="s">
        <v>196</v>
      </c>
      <c r="AB2251" s="164" t="s">
        <v>187</v>
      </c>
      <c r="AC2251" s="164" t="s">
        <v>187</v>
      </c>
      <c r="AD2251" s="165">
        <v>1</v>
      </c>
      <c r="AE2251" s="164" t="s">
        <v>209</v>
      </c>
      <c r="AF2251" s="165">
        <v>-5.3418400000000004</v>
      </c>
      <c r="AG2251" s="166">
        <v>131.98868999999999</v>
      </c>
      <c r="AO2251" s="121"/>
      <c r="AT2251" s="111"/>
      <c r="AX2251" s="121"/>
    </row>
    <row r="2252" spans="1:50" s="110" customFormat="1" ht="20" customHeight="1">
      <c r="A2252" s="125" t="s">
        <v>185</v>
      </c>
      <c r="B2252" s="126" t="s">
        <v>59</v>
      </c>
      <c r="C2252" s="127">
        <v>19300</v>
      </c>
      <c r="D2252" s="163">
        <v>115372</v>
      </c>
      <c r="E2252" s="164" t="s">
        <v>1145</v>
      </c>
      <c r="F2252" s="164" t="s">
        <v>1145</v>
      </c>
      <c r="G2252" s="165">
        <v>300</v>
      </c>
      <c r="H2252" s="165">
        <v>1</v>
      </c>
      <c r="I2252" s="164" t="s">
        <v>187</v>
      </c>
      <c r="J2252" s="164" t="s">
        <v>1146</v>
      </c>
      <c r="K2252" s="164" t="s">
        <v>1145</v>
      </c>
      <c r="L2252" s="165">
        <v>1</v>
      </c>
      <c r="M2252" s="165">
        <v>6</v>
      </c>
      <c r="N2252" s="164" t="s">
        <v>189</v>
      </c>
      <c r="O2252" s="165">
        <v>0</v>
      </c>
      <c r="P2252" s="165">
        <v>0</v>
      </c>
      <c r="Q2252" s="165">
        <v>19</v>
      </c>
      <c r="R2252" s="164" t="s">
        <v>654</v>
      </c>
      <c r="S2252" s="164" t="s">
        <v>655</v>
      </c>
      <c r="T2252" s="165">
        <v>244</v>
      </c>
      <c r="U2252" s="164" t="s">
        <v>656</v>
      </c>
      <c r="V2252" s="164" t="s">
        <v>657</v>
      </c>
      <c r="W2252" s="165">
        <v>1</v>
      </c>
      <c r="X2252" s="165">
        <v>2</v>
      </c>
      <c r="Y2252" s="164" t="s">
        <v>194</v>
      </c>
      <c r="Z2252" s="164" t="s">
        <v>195</v>
      </c>
      <c r="AA2252" s="164" t="s">
        <v>196</v>
      </c>
      <c r="AB2252" s="164" t="s">
        <v>187</v>
      </c>
      <c r="AC2252" s="164" t="s">
        <v>187</v>
      </c>
      <c r="AD2252" s="165">
        <v>1</v>
      </c>
      <c r="AE2252" s="164" t="s">
        <v>187</v>
      </c>
      <c r="AF2252" s="165">
        <v>-4.1549500000000004</v>
      </c>
      <c r="AG2252" s="166">
        <v>140.80586</v>
      </c>
      <c r="AO2252" s="121"/>
      <c r="AT2252" s="111"/>
      <c r="AX2252" s="121"/>
    </row>
    <row r="2253" spans="1:50" s="110" customFormat="1" ht="20" customHeight="1">
      <c r="A2253" s="125" t="s">
        <v>185</v>
      </c>
      <c r="B2253" s="126" t="s">
        <v>59</v>
      </c>
      <c r="C2253" s="127">
        <v>19295</v>
      </c>
      <c r="D2253" s="163">
        <v>115284</v>
      </c>
      <c r="E2253" s="164" t="s">
        <v>906</v>
      </c>
      <c r="F2253" s="164" t="s">
        <v>906</v>
      </c>
      <c r="G2253" s="165">
        <v>200</v>
      </c>
      <c r="H2253" s="165">
        <v>1</v>
      </c>
      <c r="I2253" s="164" t="s">
        <v>187</v>
      </c>
      <c r="J2253" s="164" t="s">
        <v>907</v>
      </c>
      <c r="K2253" s="164" t="s">
        <v>906</v>
      </c>
      <c r="L2253" s="165">
        <v>1</v>
      </c>
      <c r="M2253" s="165">
        <v>6</v>
      </c>
      <c r="N2253" s="164" t="s">
        <v>189</v>
      </c>
      <c r="O2253" s="165">
        <v>0</v>
      </c>
      <c r="P2253" s="165">
        <v>0</v>
      </c>
      <c r="Q2253" s="165">
        <v>19</v>
      </c>
      <c r="R2253" s="164" t="s">
        <v>654</v>
      </c>
      <c r="S2253" s="164" t="s">
        <v>655</v>
      </c>
      <c r="T2253" s="165">
        <v>244</v>
      </c>
      <c r="U2253" s="164" t="s">
        <v>656</v>
      </c>
      <c r="V2253" s="164" t="s">
        <v>657</v>
      </c>
      <c r="W2253" s="165">
        <v>1</v>
      </c>
      <c r="X2253" s="165">
        <v>2</v>
      </c>
      <c r="Y2253" s="164" t="s">
        <v>194</v>
      </c>
      <c r="Z2253" s="164" t="s">
        <v>195</v>
      </c>
      <c r="AA2253" s="164" t="s">
        <v>196</v>
      </c>
      <c r="AB2253" s="164" t="s">
        <v>187</v>
      </c>
      <c r="AC2253" s="164" t="s">
        <v>187</v>
      </c>
      <c r="AD2253" s="165">
        <v>1</v>
      </c>
      <c r="AE2253" s="164" t="s">
        <v>187</v>
      </c>
      <c r="AF2253" s="165">
        <v>-3.1574200000000001</v>
      </c>
      <c r="AG2253" s="166">
        <v>136.06004999999999</v>
      </c>
      <c r="AO2253" s="121"/>
      <c r="AT2253" s="111"/>
      <c r="AX2253" s="121"/>
    </row>
    <row r="2254" spans="1:50" s="110" customFormat="1" ht="20" customHeight="1">
      <c r="A2254" s="125" t="s">
        <v>185</v>
      </c>
      <c r="B2254" s="126" t="s">
        <v>59</v>
      </c>
      <c r="C2254" s="127">
        <v>19293</v>
      </c>
      <c r="D2254" s="163">
        <v>115086</v>
      </c>
      <c r="E2254" s="164" t="s">
        <v>652</v>
      </c>
      <c r="F2254" s="164" t="s">
        <v>652</v>
      </c>
      <c r="G2254" s="165">
        <v>100</v>
      </c>
      <c r="H2254" s="165">
        <v>1</v>
      </c>
      <c r="I2254" s="164" t="s">
        <v>187</v>
      </c>
      <c r="J2254" s="164" t="s">
        <v>653</v>
      </c>
      <c r="K2254" s="164" t="s">
        <v>652</v>
      </c>
      <c r="L2254" s="165">
        <v>1</v>
      </c>
      <c r="M2254" s="165">
        <v>6</v>
      </c>
      <c r="N2254" s="164" t="s">
        <v>189</v>
      </c>
      <c r="O2254" s="165">
        <v>0</v>
      </c>
      <c r="P2254" s="165">
        <v>0</v>
      </c>
      <c r="Q2254" s="165">
        <v>19</v>
      </c>
      <c r="R2254" s="164" t="s">
        <v>654</v>
      </c>
      <c r="S2254" s="164" t="s">
        <v>655</v>
      </c>
      <c r="T2254" s="165">
        <v>244</v>
      </c>
      <c r="U2254" s="164" t="s">
        <v>656</v>
      </c>
      <c r="V2254" s="164" t="s">
        <v>657</v>
      </c>
      <c r="W2254" s="165">
        <v>1</v>
      </c>
      <c r="X2254" s="165">
        <v>2</v>
      </c>
      <c r="Y2254" s="164" t="s">
        <v>194</v>
      </c>
      <c r="Z2254" s="164" t="s">
        <v>195</v>
      </c>
      <c r="AA2254" s="164" t="s">
        <v>196</v>
      </c>
      <c r="AB2254" s="164" t="s">
        <v>187</v>
      </c>
      <c r="AC2254" s="164" t="s">
        <v>187</v>
      </c>
      <c r="AD2254" s="165">
        <v>1</v>
      </c>
      <c r="AE2254" s="164" t="s">
        <v>187</v>
      </c>
      <c r="AF2254" s="165">
        <v>-5.1543700000000001</v>
      </c>
      <c r="AG2254" s="166">
        <v>139.43190999999999</v>
      </c>
      <c r="AO2254" s="121"/>
      <c r="AT2254" s="111"/>
      <c r="AX2254" s="121"/>
    </row>
    <row r="2255" spans="1:50" s="110" customFormat="1" ht="20" customHeight="1">
      <c r="A2255" s="125" t="s">
        <v>185</v>
      </c>
      <c r="B2255" s="126" t="s">
        <v>59</v>
      </c>
      <c r="C2255" s="127">
        <v>12433</v>
      </c>
      <c r="D2255" s="145">
        <v>104433</v>
      </c>
      <c r="E2255" s="146" t="s">
        <v>872</v>
      </c>
      <c r="F2255" s="146" t="s">
        <v>873</v>
      </c>
      <c r="G2255" s="147">
        <v>1000</v>
      </c>
      <c r="H2255" s="147">
        <v>4</v>
      </c>
      <c r="I2255" s="146" t="s">
        <v>209</v>
      </c>
      <c r="J2255" s="146" t="s">
        <v>874</v>
      </c>
      <c r="K2255" s="146" t="s">
        <v>875</v>
      </c>
      <c r="L2255" s="147">
        <v>3</v>
      </c>
      <c r="M2255" s="147">
        <v>6</v>
      </c>
      <c r="N2255" s="146" t="s">
        <v>189</v>
      </c>
      <c r="O2255" s="147">
        <v>30</v>
      </c>
      <c r="P2255" s="147">
        <v>3</v>
      </c>
      <c r="Q2255" s="147">
        <v>19</v>
      </c>
      <c r="R2255" s="146" t="s">
        <v>654</v>
      </c>
      <c r="S2255" s="146" t="s">
        <v>655</v>
      </c>
      <c r="T2255" s="147">
        <v>244</v>
      </c>
      <c r="U2255" s="146" t="s">
        <v>656</v>
      </c>
      <c r="V2255" s="146" t="s">
        <v>657</v>
      </c>
      <c r="W2255" s="147">
        <v>1</v>
      </c>
      <c r="X2255" s="147">
        <v>2</v>
      </c>
      <c r="Y2255" s="146" t="s">
        <v>194</v>
      </c>
      <c r="Z2255" s="146" t="s">
        <v>195</v>
      </c>
      <c r="AA2255" s="146" t="s">
        <v>196</v>
      </c>
      <c r="AB2255" s="146" t="s">
        <v>187</v>
      </c>
      <c r="AC2255" s="146" t="s">
        <v>187</v>
      </c>
      <c r="AD2255" s="148"/>
      <c r="AE2255" s="146" t="s">
        <v>209</v>
      </c>
      <c r="AF2255" s="147">
        <v>-4.16798</v>
      </c>
      <c r="AG2255" s="149">
        <v>133.37902</v>
      </c>
      <c r="AO2255" s="121"/>
      <c r="AT2255" s="111"/>
      <c r="AX2255" s="121"/>
    </row>
    <row r="2256" spans="1:50" s="110" customFormat="1" ht="20" customHeight="1">
      <c r="A2256" s="125" t="s">
        <v>231</v>
      </c>
      <c r="B2256" s="126" t="s">
        <v>66</v>
      </c>
      <c r="C2256" s="127">
        <v>10703</v>
      </c>
      <c r="D2256" s="163">
        <v>101097</v>
      </c>
      <c r="E2256" s="164" t="s">
        <v>1167</v>
      </c>
      <c r="F2256" s="164" t="s">
        <v>1167</v>
      </c>
      <c r="G2256" s="165">
        <v>42000</v>
      </c>
      <c r="H2256" s="165">
        <v>1</v>
      </c>
      <c r="I2256" s="164" t="s">
        <v>187</v>
      </c>
      <c r="J2256" s="164" t="s">
        <v>427</v>
      </c>
      <c r="K2256" s="164" t="s">
        <v>428</v>
      </c>
      <c r="L2256" s="165">
        <v>0</v>
      </c>
      <c r="M2256" s="165">
        <v>6</v>
      </c>
      <c r="N2256" s="164" t="s">
        <v>189</v>
      </c>
      <c r="O2256" s="165">
        <v>0</v>
      </c>
      <c r="P2256" s="165">
        <v>0</v>
      </c>
      <c r="Q2256" s="165">
        <v>14</v>
      </c>
      <c r="R2256" s="164" t="s">
        <v>227</v>
      </c>
      <c r="S2256" s="164" t="s">
        <v>228</v>
      </c>
      <c r="T2256" s="165">
        <v>251</v>
      </c>
      <c r="U2256" s="164" t="s">
        <v>1168</v>
      </c>
      <c r="V2256" s="164" t="s">
        <v>1169</v>
      </c>
      <c r="W2256" s="165">
        <v>2</v>
      </c>
      <c r="X2256" s="165">
        <v>4</v>
      </c>
      <c r="Y2256" s="164" t="s">
        <v>203</v>
      </c>
      <c r="Z2256" s="164" t="s">
        <v>195</v>
      </c>
      <c r="AA2256" s="164" t="s">
        <v>196</v>
      </c>
      <c r="AB2256" s="164" t="s">
        <v>187</v>
      </c>
      <c r="AC2256" s="164" t="s">
        <v>187</v>
      </c>
      <c r="AD2256" s="165">
        <v>1</v>
      </c>
      <c r="AE2256" s="164" t="s">
        <v>187</v>
      </c>
      <c r="AF2256" s="165">
        <v>36.171709999999997</v>
      </c>
      <c r="AG2256" s="166">
        <v>72.216210000000004</v>
      </c>
      <c r="AO2256" s="121"/>
      <c r="AT2256" s="111"/>
      <c r="AX2256" s="121"/>
    </row>
    <row r="2257" spans="1:50" s="110" customFormat="1" ht="20" customHeight="1">
      <c r="A2257" s="125" t="s">
        <v>185</v>
      </c>
      <c r="B2257" s="126" t="s">
        <v>59</v>
      </c>
      <c r="C2257" s="127">
        <v>19920</v>
      </c>
      <c r="D2257" s="163">
        <v>115562</v>
      </c>
      <c r="E2257" s="164" t="s">
        <v>1195</v>
      </c>
      <c r="F2257" s="164" t="s">
        <v>1195</v>
      </c>
      <c r="G2257" s="165">
        <v>255000</v>
      </c>
      <c r="H2257" s="165">
        <v>1</v>
      </c>
      <c r="I2257" s="164" t="s">
        <v>187</v>
      </c>
      <c r="J2257" s="164" t="s">
        <v>465</v>
      </c>
      <c r="K2257" s="164" t="s">
        <v>466</v>
      </c>
      <c r="L2257" s="165">
        <v>4</v>
      </c>
      <c r="M2257" s="165">
        <v>6</v>
      </c>
      <c r="N2257" s="164" t="s">
        <v>189</v>
      </c>
      <c r="O2257" s="165">
        <v>0</v>
      </c>
      <c r="P2257" s="165">
        <v>0</v>
      </c>
      <c r="Q2257" s="165">
        <v>17</v>
      </c>
      <c r="R2257" s="164" t="s">
        <v>190</v>
      </c>
      <c r="S2257" s="164" t="s">
        <v>191</v>
      </c>
      <c r="T2257" s="165">
        <v>252</v>
      </c>
      <c r="U2257" s="164" t="s">
        <v>674</v>
      </c>
      <c r="V2257" s="164" t="s">
        <v>675</v>
      </c>
      <c r="W2257" s="165">
        <v>1</v>
      </c>
      <c r="X2257" s="165">
        <v>2</v>
      </c>
      <c r="Y2257" s="164" t="s">
        <v>194</v>
      </c>
      <c r="Z2257" s="164" t="s">
        <v>195</v>
      </c>
      <c r="AA2257" s="164" t="s">
        <v>196</v>
      </c>
      <c r="AB2257" s="164" t="s">
        <v>187</v>
      </c>
      <c r="AC2257" s="164" t="s">
        <v>187</v>
      </c>
      <c r="AD2257" s="165">
        <v>5</v>
      </c>
      <c r="AE2257" s="164" t="s">
        <v>187</v>
      </c>
      <c r="AF2257" s="165">
        <v>-3.7621586942683498</v>
      </c>
      <c r="AG2257" s="166">
        <v>104.361865470015</v>
      </c>
      <c r="AO2257" s="121"/>
      <c r="AT2257" s="111"/>
      <c r="AX2257" s="121"/>
    </row>
    <row r="2258" spans="1:50" s="110" customFormat="1" ht="20" customHeight="1">
      <c r="A2258" s="125" t="s">
        <v>185</v>
      </c>
      <c r="B2258" s="126" t="s">
        <v>59</v>
      </c>
      <c r="C2258" s="127">
        <v>14121</v>
      </c>
      <c r="D2258" s="163">
        <v>107596</v>
      </c>
      <c r="E2258" s="164" t="s">
        <v>1170</v>
      </c>
      <c r="F2258" s="164" t="s">
        <v>1170</v>
      </c>
      <c r="G2258" s="165">
        <v>170000</v>
      </c>
      <c r="H2258" s="165">
        <v>1</v>
      </c>
      <c r="I2258" s="164" t="s">
        <v>187</v>
      </c>
      <c r="J2258" s="164" t="s">
        <v>465</v>
      </c>
      <c r="K2258" s="164" t="s">
        <v>466</v>
      </c>
      <c r="L2258" s="165">
        <v>4</v>
      </c>
      <c r="M2258" s="165">
        <v>6</v>
      </c>
      <c r="N2258" s="164" t="s">
        <v>189</v>
      </c>
      <c r="O2258" s="165">
        <v>0.216</v>
      </c>
      <c r="P2258" s="165">
        <v>0.216</v>
      </c>
      <c r="Q2258" s="165">
        <v>17</v>
      </c>
      <c r="R2258" s="164" t="s">
        <v>190</v>
      </c>
      <c r="S2258" s="164" t="s">
        <v>191</v>
      </c>
      <c r="T2258" s="165">
        <v>252</v>
      </c>
      <c r="U2258" s="164" t="s">
        <v>674</v>
      </c>
      <c r="V2258" s="164" t="s">
        <v>675</v>
      </c>
      <c r="W2258" s="165">
        <v>1</v>
      </c>
      <c r="X2258" s="165">
        <v>2</v>
      </c>
      <c r="Y2258" s="164" t="s">
        <v>194</v>
      </c>
      <c r="Z2258" s="164" t="s">
        <v>195</v>
      </c>
      <c r="AA2258" s="164" t="s">
        <v>196</v>
      </c>
      <c r="AB2258" s="164" t="s">
        <v>187</v>
      </c>
      <c r="AC2258" s="164" t="s">
        <v>187</v>
      </c>
      <c r="AD2258" s="165">
        <v>3</v>
      </c>
      <c r="AE2258" s="164" t="s">
        <v>209</v>
      </c>
      <c r="AF2258" s="165">
        <v>-3.77470216567241</v>
      </c>
      <c r="AG2258" s="166">
        <v>104.512841375329</v>
      </c>
      <c r="AO2258" s="121"/>
      <c r="AT2258" s="111"/>
      <c r="AX2258" s="121"/>
    </row>
    <row r="2259" spans="1:50" s="110" customFormat="1" ht="20" customHeight="1">
      <c r="A2259" s="125" t="s">
        <v>185</v>
      </c>
      <c r="B2259" s="126" t="s">
        <v>59</v>
      </c>
      <c r="C2259" s="127">
        <v>11142</v>
      </c>
      <c r="D2259" s="163">
        <v>102929</v>
      </c>
      <c r="E2259" s="164" t="s">
        <v>673</v>
      </c>
      <c r="F2259" s="164" t="s">
        <v>673</v>
      </c>
      <c r="G2259" s="165">
        <v>136000</v>
      </c>
      <c r="H2259" s="165">
        <v>1</v>
      </c>
      <c r="I2259" s="164" t="s">
        <v>187</v>
      </c>
      <c r="J2259" s="164" t="s">
        <v>465</v>
      </c>
      <c r="K2259" s="164" t="s">
        <v>466</v>
      </c>
      <c r="L2259" s="165">
        <v>4</v>
      </c>
      <c r="M2259" s="165">
        <v>6</v>
      </c>
      <c r="N2259" s="164" t="s">
        <v>189</v>
      </c>
      <c r="O2259" s="165">
        <v>1</v>
      </c>
      <c r="P2259" s="165">
        <v>6.0000000000000001E-3</v>
      </c>
      <c r="Q2259" s="165">
        <v>17</v>
      </c>
      <c r="R2259" s="164" t="s">
        <v>190</v>
      </c>
      <c r="S2259" s="164" t="s">
        <v>191</v>
      </c>
      <c r="T2259" s="165">
        <v>252</v>
      </c>
      <c r="U2259" s="164" t="s">
        <v>674</v>
      </c>
      <c r="V2259" s="164" t="s">
        <v>675</v>
      </c>
      <c r="W2259" s="165">
        <v>1</v>
      </c>
      <c r="X2259" s="165">
        <v>2</v>
      </c>
      <c r="Y2259" s="164" t="s">
        <v>194</v>
      </c>
      <c r="Z2259" s="164" t="s">
        <v>195</v>
      </c>
      <c r="AA2259" s="164" t="s">
        <v>196</v>
      </c>
      <c r="AB2259" s="164" t="s">
        <v>187</v>
      </c>
      <c r="AC2259" s="164" t="s">
        <v>187</v>
      </c>
      <c r="AD2259" s="165">
        <v>3</v>
      </c>
      <c r="AE2259" s="164" t="s">
        <v>209</v>
      </c>
      <c r="AF2259" s="165">
        <v>-3.7503551670573101</v>
      </c>
      <c r="AG2259" s="166">
        <v>103.80062691689901</v>
      </c>
      <c r="AO2259" s="121"/>
      <c r="AT2259" s="111"/>
      <c r="AX2259" s="121"/>
    </row>
    <row r="2260" spans="1:50" s="110" customFormat="1" ht="20" customHeight="1">
      <c r="A2260" s="125" t="s">
        <v>185</v>
      </c>
      <c r="B2260" s="126" t="s">
        <v>59</v>
      </c>
      <c r="C2260" s="127">
        <v>20294</v>
      </c>
      <c r="D2260" s="163">
        <v>116022</v>
      </c>
      <c r="E2260" s="164" t="s">
        <v>475</v>
      </c>
      <c r="F2260" s="164" t="s">
        <v>475</v>
      </c>
      <c r="G2260" s="165">
        <v>724000</v>
      </c>
      <c r="H2260" s="165">
        <v>1</v>
      </c>
      <c r="I2260" s="164" t="s">
        <v>187</v>
      </c>
      <c r="J2260" s="164" t="s">
        <v>465</v>
      </c>
      <c r="K2260" s="164" t="s">
        <v>466</v>
      </c>
      <c r="L2260" s="165">
        <v>4</v>
      </c>
      <c r="M2260" s="165">
        <v>6</v>
      </c>
      <c r="N2260" s="164" t="s">
        <v>189</v>
      </c>
      <c r="O2260" s="165">
        <v>1.5</v>
      </c>
      <c r="P2260" s="165">
        <v>6.0000000000000001E-3</v>
      </c>
      <c r="Q2260" s="165">
        <v>17</v>
      </c>
      <c r="R2260" s="164" t="s">
        <v>190</v>
      </c>
      <c r="S2260" s="164" t="s">
        <v>191</v>
      </c>
      <c r="T2260" s="165">
        <v>266</v>
      </c>
      <c r="U2260" s="164" t="s">
        <v>476</v>
      </c>
      <c r="V2260" s="164" t="s">
        <v>477</v>
      </c>
      <c r="W2260" s="165">
        <v>1</v>
      </c>
      <c r="X2260" s="165">
        <v>2</v>
      </c>
      <c r="Y2260" s="164" t="s">
        <v>194</v>
      </c>
      <c r="Z2260" s="164" t="s">
        <v>195</v>
      </c>
      <c r="AA2260" s="164" t="s">
        <v>196</v>
      </c>
      <c r="AB2260" s="164" t="s">
        <v>187</v>
      </c>
      <c r="AC2260" s="164" t="s">
        <v>187</v>
      </c>
      <c r="AD2260" s="165">
        <v>14</v>
      </c>
      <c r="AE2260" s="164" t="s">
        <v>209</v>
      </c>
      <c r="AF2260" s="165">
        <v>-3.7125119999999998</v>
      </c>
      <c r="AG2260" s="166">
        <v>102.54589</v>
      </c>
      <c r="AO2260" s="121"/>
      <c r="AT2260" s="111"/>
      <c r="AX2260" s="121"/>
    </row>
    <row r="2261" spans="1:50" s="110" customFormat="1" ht="20" customHeight="1">
      <c r="A2261" s="125" t="s">
        <v>185</v>
      </c>
      <c r="B2261" s="126" t="s">
        <v>59</v>
      </c>
      <c r="C2261" s="127">
        <v>14863</v>
      </c>
      <c r="D2261" s="163">
        <v>108855</v>
      </c>
      <c r="E2261" s="164" t="s">
        <v>1361</v>
      </c>
      <c r="F2261" s="164" t="s">
        <v>1361</v>
      </c>
      <c r="G2261" s="165">
        <v>328000</v>
      </c>
      <c r="H2261" s="165">
        <v>1</v>
      </c>
      <c r="I2261" s="164" t="s">
        <v>187</v>
      </c>
      <c r="J2261" s="164" t="s">
        <v>465</v>
      </c>
      <c r="K2261" s="164" t="s">
        <v>466</v>
      </c>
      <c r="L2261" s="165">
        <v>4</v>
      </c>
      <c r="M2261" s="165">
        <v>6</v>
      </c>
      <c r="N2261" s="164" t="s">
        <v>189</v>
      </c>
      <c r="O2261" s="165">
        <v>3</v>
      </c>
      <c r="P2261" s="165">
        <v>0.621</v>
      </c>
      <c r="Q2261" s="165">
        <v>17</v>
      </c>
      <c r="R2261" s="164" t="s">
        <v>190</v>
      </c>
      <c r="S2261" s="164" t="s">
        <v>191</v>
      </c>
      <c r="T2261" s="165">
        <v>266</v>
      </c>
      <c r="U2261" s="164" t="s">
        <v>476</v>
      </c>
      <c r="V2261" s="164" t="s">
        <v>477</v>
      </c>
      <c r="W2261" s="165">
        <v>1</v>
      </c>
      <c r="X2261" s="165">
        <v>2</v>
      </c>
      <c r="Y2261" s="164" t="s">
        <v>194</v>
      </c>
      <c r="Z2261" s="164" t="s">
        <v>195</v>
      </c>
      <c r="AA2261" s="164" t="s">
        <v>196</v>
      </c>
      <c r="AB2261" s="164" t="s">
        <v>187</v>
      </c>
      <c r="AC2261" s="164" t="s">
        <v>187</v>
      </c>
      <c r="AD2261" s="165">
        <v>7</v>
      </c>
      <c r="AE2261" s="164" t="s">
        <v>209</v>
      </c>
      <c r="AF2261" s="165">
        <v>-4.1351599997341904</v>
      </c>
      <c r="AG2261" s="166">
        <v>102.787180000257</v>
      </c>
      <c r="AO2261" s="121"/>
      <c r="AT2261" s="111"/>
      <c r="AX2261" s="121"/>
    </row>
    <row r="2262" spans="1:50" s="110" customFormat="1" ht="20" customHeight="1">
      <c r="A2262" s="125" t="s">
        <v>185</v>
      </c>
      <c r="B2262" s="126" t="s">
        <v>59</v>
      </c>
      <c r="C2262" s="127">
        <v>14843</v>
      </c>
      <c r="D2262" s="163">
        <v>108825</v>
      </c>
      <c r="E2262" s="164" t="s">
        <v>1360</v>
      </c>
      <c r="F2262" s="164" t="s">
        <v>1360</v>
      </c>
      <c r="G2262" s="165">
        <v>255000</v>
      </c>
      <c r="H2262" s="165">
        <v>1</v>
      </c>
      <c r="I2262" s="164" t="s">
        <v>187</v>
      </c>
      <c r="J2262" s="164" t="s">
        <v>465</v>
      </c>
      <c r="K2262" s="164" t="s">
        <v>466</v>
      </c>
      <c r="L2262" s="165">
        <v>4</v>
      </c>
      <c r="M2262" s="165">
        <v>6</v>
      </c>
      <c r="N2262" s="164" t="s">
        <v>189</v>
      </c>
      <c r="O2262" s="165">
        <v>0.02</v>
      </c>
      <c r="P2262" s="165">
        <v>1E-3</v>
      </c>
      <c r="Q2262" s="165">
        <v>17</v>
      </c>
      <c r="R2262" s="164" t="s">
        <v>190</v>
      </c>
      <c r="S2262" s="164" t="s">
        <v>191</v>
      </c>
      <c r="T2262" s="165">
        <v>266</v>
      </c>
      <c r="U2262" s="164" t="s">
        <v>476</v>
      </c>
      <c r="V2262" s="164" t="s">
        <v>477</v>
      </c>
      <c r="W2262" s="165">
        <v>1</v>
      </c>
      <c r="X2262" s="165">
        <v>2</v>
      </c>
      <c r="Y2262" s="164" t="s">
        <v>194</v>
      </c>
      <c r="Z2262" s="164" t="s">
        <v>195</v>
      </c>
      <c r="AA2262" s="164" t="s">
        <v>196</v>
      </c>
      <c r="AB2262" s="164" t="s">
        <v>187</v>
      </c>
      <c r="AC2262" s="164" t="s">
        <v>187</v>
      </c>
      <c r="AD2262" s="165">
        <v>5</v>
      </c>
      <c r="AE2262" s="164" t="s">
        <v>187</v>
      </c>
      <c r="AF2262" s="165">
        <v>-4.1032087080154698</v>
      </c>
      <c r="AG2262" s="166">
        <v>103.65064991736</v>
      </c>
      <c r="AO2262" s="121"/>
      <c r="AT2262" s="111"/>
      <c r="AX2262" s="121"/>
    </row>
    <row r="2263" spans="1:50" s="110" customFormat="1" ht="20" customHeight="1">
      <c r="A2263" s="125" t="s">
        <v>185</v>
      </c>
      <c r="B2263" s="126" t="s">
        <v>59</v>
      </c>
      <c r="C2263" s="127">
        <v>13070</v>
      </c>
      <c r="D2263" s="163">
        <v>105791</v>
      </c>
      <c r="E2263" s="164" t="s">
        <v>1003</v>
      </c>
      <c r="F2263" s="164" t="s">
        <v>1003</v>
      </c>
      <c r="G2263" s="165">
        <v>215000</v>
      </c>
      <c r="H2263" s="165">
        <v>1</v>
      </c>
      <c r="I2263" s="164" t="s">
        <v>187</v>
      </c>
      <c r="J2263" s="164" t="s">
        <v>465</v>
      </c>
      <c r="K2263" s="164" t="s">
        <v>466</v>
      </c>
      <c r="L2263" s="165">
        <v>4</v>
      </c>
      <c r="M2263" s="165">
        <v>6</v>
      </c>
      <c r="N2263" s="164" t="s">
        <v>189</v>
      </c>
      <c r="O2263" s="165">
        <v>0.5</v>
      </c>
      <c r="P2263" s="165">
        <v>0</v>
      </c>
      <c r="Q2263" s="165">
        <v>17</v>
      </c>
      <c r="R2263" s="164" t="s">
        <v>190</v>
      </c>
      <c r="S2263" s="164" t="s">
        <v>191</v>
      </c>
      <c r="T2263" s="165">
        <v>266</v>
      </c>
      <c r="U2263" s="164" t="s">
        <v>476</v>
      </c>
      <c r="V2263" s="164" t="s">
        <v>477</v>
      </c>
      <c r="W2263" s="165">
        <v>1</v>
      </c>
      <c r="X2263" s="165">
        <v>2</v>
      </c>
      <c r="Y2263" s="164" t="s">
        <v>194</v>
      </c>
      <c r="Z2263" s="164" t="s">
        <v>195</v>
      </c>
      <c r="AA2263" s="164" t="s">
        <v>196</v>
      </c>
      <c r="AB2263" s="164" t="s">
        <v>187</v>
      </c>
      <c r="AC2263" s="164" t="s">
        <v>187</v>
      </c>
      <c r="AD2263" s="165">
        <v>4</v>
      </c>
      <c r="AE2263" s="164" t="s">
        <v>209</v>
      </c>
      <c r="AF2263" s="165">
        <v>-3.7890160829259099</v>
      </c>
      <c r="AG2263" s="166">
        <v>102.901935541992</v>
      </c>
      <c r="AO2263" s="121"/>
      <c r="AT2263" s="111"/>
      <c r="AX2263" s="121"/>
    </row>
    <row r="2264" spans="1:50" s="110" customFormat="1" ht="20" customHeight="1">
      <c r="A2264" s="125" t="s">
        <v>185</v>
      </c>
      <c r="B2264" s="126" t="s">
        <v>59</v>
      </c>
      <c r="C2264" s="127">
        <v>12680</v>
      </c>
      <c r="D2264" s="163">
        <v>104996</v>
      </c>
      <c r="E2264" s="164" t="s">
        <v>927</v>
      </c>
      <c r="F2264" s="164" t="s">
        <v>927</v>
      </c>
      <c r="G2264" s="165">
        <v>90000</v>
      </c>
      <c r="H2264" s="165">
        <v>1</v>
      </c>
      <c r="I2264" s="164" t="s">
        <v>187</v>
      </c>
      <c r="J2264" s="164" t="s">
        <v>465</v>
      </c>
      <c r="K2264" s="164" t="s">
        <v>466</v>
      </c>
      <c r="L2264" s="165">
        <v>4</v>
      </c>
      <c r="M2264" s="165">
        <v>6</v>
      </c>
      <c r="N2264" s="164" t="s">
        <v>189</v>
      </c>
      <c r="O2264" s="165">
        <v>0</v>
      </c>
      <c r="P2264" s="165">
        <v>0</v>
      </c>
      <c r="Q2264" s="165">
        <v>17</v>
      </c>
      <c r="R2264" s="164" t="s">
        <v>190</v>
      </c>
      <c r="S2264" s="164" t="s">
        <v>191</v>
      </c>
      <c r="T2264" s="165">
        <v>266</v>
      </c>
      <c r="U2264" s="164" t="s">
        <v>476</v>
      </c>
      <c r="V2264" s="164" t="s">
        <v>477</v>
      </c>
      <c r="W2264" s="165">
        <v>1</v>
      </c>
      <c r="X2264" s="165">
        <v>2</v>
      </c>
      <c r="Y2264" s="164" t="s">
        <v>194</v>
      </c>
      <c r="Z2264" s="164" t="s">
        <v>195</v>
      </c>
      <c r="AA2264" s="164" t="s">
        <v>196</v>
      </c>
      <c r="AB2264" s="164" t="s">
        <v>187</v>
      </c>
      <c r="AC2264" s="164" t="s">
        <v>187</v>
      </c>
      <c r="AD2264" s="165">
        <v>2</v>
      </c>
      <c r="AE2264" s="164" t="s">
        <v>187</v>
      </c>
      <c r="AF2264" s="165">
        <v>-3.6217066627323198</v>
      </c>
      <c r="AG2264" s="166">
        <v>103.277233446167</v>
      </c>
      <c r="AO2264" s="121"/>
      <c r="AT2264" s="111"/>
      <c r="AX2264" s="121"/>
    </row>
    <row r="2265" spans="1:50" s="110" customFormat="1" ht="20" customHeight="1">
      <c r="A2265" s="125" t="s">
        <v>185</v>
      </c>
      <c r="B2265" s="126" t="s">
        <v>59</v>
      </c>
      <c r="C2265" s="127">
        <v>12578</v>
      </c>
      <c r="D2265" s="163">
        <v>104755</v>
      </c>
      <c r="E2265" s="164" t="s">
        <v>901</v>
      </c>
      <c r="F2265" s="164" t="s">
        <v>901</v>
      </c>
      <c r="G2265" s="165">
        <v>45000</v>
      </c>
      <c r="H2265" s="165">
        <v>1</v>
      </c>
      <c r="I2265" s="164" t="s">
        <v>187</v>
      </c>
      <c r="J2265" s="164" t="s">
        <v>902</v>
      </c>
      <c r="K2265" s="164" t="s">
        <v>901</v>
      </c>
      <c r="L2265" s="165">
        <v>2</v>
      </c>
      <c r="M2265" s="165">
        <v>6</v>
      </c>
      <c r="N2265" s="164" t="s">
        <v>189</v>
      </c>
      <c r="O2265" s="165">
        <v>0</v>
      </c>
      <c r="P2265" s="165">
        <v>0</v>
      </c>
      <c r="Q2265" s="165">
        <v>17</v>
      </c>
      <c r="R2265" s="164" t="s">
        <v>190</v>
      </c>
      <c r="S2265" s="164" t="s">
        <v>191</v>
      </c>
      <c r="T2265" s="165">
        <v>266</v>
      </c>
      <c r="U2265" s="164" t="s">
        <v>476</v>
      </c>
      <c r="V2265" s="164" t="s">
        <v>477</v>
      </c>
      <c r="W2265" s="165">
        <v>1</v>
      </c>
      <c r="X2265" s="165">
        <v>2</v>
      </c>
      <c r="Y2265" s="164" t="s">
        <v>194</v>
      </c>
      <c r="Z2265" s="164" t="s">
        <v>195</v>
      </c>
      <c r="AA2265" s="164" t="s">
        <v>196</v>
      </c>
      <c r="AB2265" s="164" t="s">
        <v>187</v>
      </c>
      <c r="AC2265" s="164" t="s">
        <v>187</v>
      </c>
      <c r="AD2265" s="165">
        <v>1</v>
      </c>
      <c r="AE2265" s="164" t="s">
        <v>187</v>
      </c>
      <c r="AF2265" s="165">
        <v>-4.6638200000000003</v>
      </c>
      <c r="AG2265" s="166">
        <v>103.48505</v>
      </c>
      <c r="AO2265" s="121"/>
      <c r="AT2265" s="111"/>
      <c r="AX2265" s="121"/>
    </row>
    <row r="2266" spans="1:50" s="110" customFormat="1" ht="20" customHeight="1">
      <c r="A2266" s="125" t="s">
        <v>486</v>
      </c>
      <c r="B2266" s="126" t="s">
        <v>57</v>
      </c>
      <c r="C2266" s="127">
        <v>14371</v>
      </c>
      <c r="D2266" s="163">
        <v>107987</v>
      </c>
      <c r="E2266" s="164" t="s">
        <v>230</v>
      </c>
      <c r="F2266" s="164" t="s">
        <v>230</v>
      </c>
      <c r="G2266" s="165">
        <v>800</v>
      </c>
      <c r="H2266" s="165">
        <v>1</v>
      </c>
      <c r="I2266" s="164" t="s">
        <v>187</v>
      </c>
      <c r="J2266" s="164" t="s">
        <v>1204</v>
      </c>
      <c r="K2266" s="164" t="s">
        <v>1205</v>
      </c>
      <c r="L2266" s="165">
        <v>5</v>
      </c>
      <c r="M2266" s="165">
        <v>6</v>
      </c>
      <c r="N2266" s="164" t="s">
        <v>189</v>
      </c>
      <c r="O2266" s="165">
        <v>0</v>
      </c>
      <c r="P2266" s="165">
        <v>0</v>
      </c>
      <c r="Q2266" s="165">
        <v>14</v>
      </c>
      <c r="R2266" s="164" t="s">
        <v>227</v>
      </c>
      <c r="S2266" s="164" t="s">
        <v>228</v>
      </c>
      <c r="T2266" s="165">
        <v>268</v>
      </c>
      <c r="U2266" s="164" t="s">
        <v>229</v>
      </c>
      <c r="V2266" s="164" t="s">
        <v>230</v>
      </c>
      <c r="W2266" s="165">
        <v>42</v>
      </c>
      <c r="X2266" s="165">
        <v>4</v>
      </c>
      <c r="Y2266" s="164" t="s">
        <v>203</v>
      </c>
      <c r="Z2266" s="164" t="s">
        <v>195</v>
      </c>
      <c r="AA2266" s="164" t="s">
        <v>196</v>
      </c>
      <c r="AB2266" s="164" t="s">
        <v>187</v>
      </c>
      <c r="AC2266" s="164" t="s">
        <v>209</v>
      </c>
      <c r="AD2266" s="165">
        <v>1</v>
      </c>
      <c r="AE2266" s="164" t="s">
        <v>187</v>
      </c>
      <c r="AF2266" s="165">
        <v>24.001274973777299</v>
      </c>
      <c r="AG2266" s="166">
        <v>90.637614946334693</v>
      </c>
      <c r="AO2266" s="121"/>
      <c r="AT2266" s="111"/>
      <c r="AX2266" s="121"/>
    </row>
    <row r="2267" spans="1:50" s="110" customFormat="1" ht="20" customHeight="1">
      <c r="A2267" s="125" t="s">
        <v>237</v>
      </c>
      <c r="B2267" s="126" t="s">
        <v>60</v>
      </c>
      <c r="C2267" s="127">
        <v>14371</v>
      </c>
      <c r="D2267" s="163">
        <v>107987</v>
      </c>
      <c r="E2267" s="164" t="s">
        <v>230</v>
      </c>
      <c r="F2267" s="164" t="s">
        <v>230</v>
      </c>
      <c r="G2267" s="165">
        <v>41000</v>
      </c>
      <c r="H2267" s="165">
        <v>1</v>
      </c>
      <c r="I2267" s="164" t="s">
        <v>187</v>
      </c>
      <c r="J2267" s="164" t="s">
        <v>1204</v>
      </c>
      <c r="K2267" s="164" t="s">
        <v>1205</v>
      </c>
      <c r="L2267" s="165">
        <v>5</v>
      </c>
      <c r="M2267" s="165">
        <v>6</v>
      </c>
      <c r="N2267" s="164" t="s">
        <v>189</v>
      </c>
      <c r="O2267" s="165">
        <v>3</v>
      </c>
      <c r="P2267" s="165">
        <v>1.8</v>
      </c>
      <c r="Q2267" s="165">
        <v>14</v>
      </c>
      <c r="R2267" s="164" t="s">
        <v>227</v>
      </c>
      <c r="S2267" s="164" t="s">
        <v>228</v>
      </c>
      <c r="T2267" s="165">
        <v>268</v>
      </c>
      <c r="U2267" s="164" t="s">
        <v>229</v>
      </c>
      <c r="V2267" s="164" t="s">
        <v>230</v>
      </c>
      <c r="W2267" s="165">
        <v>42</v>
      </c>
      <c r="X2267" s="165">
        <v>2</v>
      </c>
      <c r="Y2267" s="164" t="s">
        <v>194</v>
      </c>
      <c r="Z2267" s="164" t="s">
        <v>195</v>
      </c>
      <c r="AA2267" s="164" t="s">
        <v>196</v>
      </c>
      <c r="AB2267" s="164" t="s">
        <v>187</v>
      </c>
      <c r="AC2267" s="164" t="s">
        <v>209</v>
      </c>
      <c r="AD2267" s="165">
        <v>1</v>
      </c>
      <c r="AE2267" s="164" t="s">
        <v>209</v>
      </c>
      <c r="AF2267" s="165">
        <v>3.1584099999999999</v>
      </c>
      <c r="AG2267" s="166">
        <v>101.70169799999999</v>
      </c>
      <c r="AO2267" s="121"/>
      <c r="AT2267" s="111"/>
      <c r="AX2267" s="121"/>
    </row>
    <row r="2268" spans="1:50" s="110" customFormat="1" ht="20" customHeight="1">
      <c r="A2268" s="125" t="s">
        <v>231</v>
      </c>
      <c r="B2268" s="126" t="s">
        <v>66</v>
      </c>
      <c r="C2268" s="127">
        <v>12076</v>
      </c>
      <c r="D2268" s="163">
        <v>103743</v>
      </c>
      <c r="E2268" s="164" t="s">
        <v>727</v>
      </c>
      <c r="F2268" s="164" t="s">
        <v>727</v>
      </c>
      <c r="G2268" s="165">
        <v>248000</v>
      </c>
      <c r="H2268" s="165">
        <v>1</v>
      </c>
      <c r="I2268" s="164" t="s">
        <v>187</v>
      </c>
      <c r="J2268" s="164" t="s">
        <v>728</v>
      </c>
      <c r="K2268" s="164" t="s">
        <v>729</v>
      </c>
      <c r="L2268" s="165">
        <v>3</v>
      </c>
      <c r="M2268" s="165">
        <v>6</v>
      </c>
      <c r="N2268" s="164" t="s">
        <v>189</v>
      </c>
      <c r="O2268" s="165">
        <v>0</v>
      </c>
      <c r="P2268" s="165">
        <v>0</v>
      </c>
      <c r="Q2268" s="165">
        <v>14</v>
      </c>
      <c r="R2268" s="164" t="s">
        <v>227</v>
      </c>
      <c r="S2268" s="164" t="s">
        <v>228</v>
      </c>
      <c r="T2268" s="165">
        <v>268</v>
      </c>
      <c r="U2268" s="164" t="s">
        <v>229</v>
      </c>
      <c r="V2268" s="164" t="s">
        <v>230</v>
      </c>
      <c r="W2268" s="165">
        <v>6</v>
      </c>
      <c r="X2268" s="165">
        <v>4</v>
      </c>
      <c r="Y2268" s="164" t="s">
        <v>203</v>
      </c>
      <c r="Z2268" s="164" t="s">
        <v>195</v>
      </c>
      <c r="AA2268" s="164" t="s">
        <v>196</v>
      </c>
      <c r="AB2268" s="164" t="s">
        <v>187</v>
      </c>
      <c r="AC2268" s="164" t="s">
        <v>187</v>
      </c>
      <c r="AD2268" s="165">
        <v>5</v>
      </c>
      <c r="AE2268" s="164" t="s">
        <v>187</v>
      </c>
      <c r="AF2268" s="165">
        <v>30.077570000055498</v>
      </c>
      <c r="AG2268" s="166">
        <v>66.920269999860594</v>
      </c>
      <c r="AO2268" s="121"/>
      <c r="AT2268" s="111"/>
      <c r="AX2268" s="121"/>
    </row>
    <row r="2269" spans="1:50" s="110" customFormat="1" ht="20" customHeight="1">
      <c r="A2269" s="125" t="s">
        <v>231</v>
      </c>
      <c r="B2269" s="126" t="s">
        <v>66</v>
      </c>
      <c r="C2269" s="127">
        <v>14371</v>
      </c>
      <c r="D2269" s="163">
        <v>107987</v>
      </c>
      <c r="E2269" s="164" t="s">
        <v>230</v>
      </c>
      <c r="F2269" s="164" t="s">
        <v>230</v>
      </c>
      <c r="G2269" s="165">
        <v>13000</v>
      </c>
      <c r="H2269" s="165">
        <v>1</v>
      </c>
      <c r="I2269" s="164" t="s">
        <v>187</v>
      </c>
      <c r="J2269" s="164" t="s">
        <v>1204</v>
      </c>
      <c r="K2269" s="164" t="s">
        <v>1205</v>
      </c>
      <c r="L2269" s="165">
        <v>5</v>
      </c>
      <c r="M2269" s="165">
        <v>6</v>
      </c>
      <c r="N2269" s="164" t="s">
        <v>189</v>
      </c>
      <c r="O2269" s="165">
        <v>0</v>
      </c>
      <c r="P2269" s="165">
        <v>0</v>
      </c>
      <c r="Q2269" s="165">
        <v>14</v>
      </c>
      <c r="R2269" s="164" t="s">
        <v>227</v>
      </c>
      <c r="S2269" s="164" t="s">
        <v>228</v>
      </c>
      <c r="T2269" s="165">
        <v>268</v>
      </c>
      <c r="U2269" s="164" t="s">
        <v>229</v>
      </c>
      <c r="V2269" s="164" t="s">
        <v>230</v>
      </c>
      <c r="W2269" s="165">
        <v>42</v>
      </c>
      <c r="X2269" s="165">
        <v>4</v>
      </c>
      <c r="Y2269" s="164" t="s">
        <v>203</v>
      </c>
      <c r="Z2269" s="164" t="s">
        <v>195</v>
      </c>
      <c r="AA2269" s="164" t="s">
        <v>196</v>
      </c>
      <c r="AB2269" s="164" t="s">
        <v>187</v>
      </c>
      <c r="AC2269" s="164" t="s">
        <v>187</v>
      </c>
      <c r="AD2269" s="165">
        <v>1</v>
      </c>
      <c r="AE2269" s="164" t="s">
        <v>187</v>
      </c>
      <c r="AF2269" s="165">
        <v>34.015378503714899</v>
      </c>
      <c r="AG2269" s="166">
        <v>71.568343309096406</v>
      </c>
      <c r="AO2269" s="121"/>
      <c r="AT2269" s="111"/>
      <c r="AX2269" s="121"/>
    </row>
    <row r="2270" spans="1:50" s="110" customFormat="1" ht="20" customHeight="1">
      <c r="A2270" s="125" t="s">
        <v>231</v>
      </c>
      <c r="B2270" s="126" t="s">
        <v>66</v>
      </c>
      <c r="C2270" s="127">
        <v>21454</v>
      </c>
      <c r="D2270" s="163">
        <v>118270</v>
      </c>
      <c r="E2270" s="164" t="s">
        <v>225</v>
      </c>
      <c r="F2270" s="164" t="s">
        <v>225</v>
      </c>
      <c r="G2270" s="165">
        <v>5900</v>
      </c>
      <c r="H2270" s="165">
        <v>1</v>
      </c>
      <c r="I2270" s="164" t="s">
        <v>187</v>
      </c>
      <c r="J2270" s="164" t="s">
        <v>226</v>
      </c>
      <c r="K2270" s="164" t="s">
        <v>225</v>
      </c>
      <c r="L2270" s="165">
        <v>1</v>
      </c>
      <c r="M2270" s="165">
        <v>6</v>
      </c>
      <c r="N2270" s="164" t="s">
        <v>189</v>
      </c>
      <c r="O2270" s="165">
        <v>0</v>
      </c>
      <c r="P2270" s="165">
        <v>0</v>
      </c>
      <c r="Q2270" s="165">
        <v>14</v>
      </c>
      <c r="R2270" s="164" t="s">
        <v>227</v>
      </c>
      <c r="S2270" s="164" t="s">
        <v>228</v>
      </c>
      <c r="T2270" s="165">
        <v>268</v>
      </c>
      <c r="U2270" s="164" t="s">
        <v>229</v>
      </c>
      <c r="V2270" s="164" t="s">
        <v>230</v>
      </c>
      <c r="W2270" s="165">
        <v>5</v>
      </c>
      <c r="X2270" s="165">
        <v>4</v>
      </c>
      <c r="Y2270" s="164" t="s">
        <v>203</v>
      </c>
      <c r="Z2270" s="164" t="s">
        <v>195</v>
      </c>
      <c r="AA2270" s="164" t="s">
        <v>196</v>
      </c>
      <c r="AB2270" s="164" t="s">
        <v>187</v>
      </c>
      <c r="AC2270" s="164" t="s">
        <v>209</v>
      </c>
      <c r="AD2270" s="165">
        <v>1</v>
      </c>
      <c r="AE2270" s="164" t="s">
        <v>187</v>
      </c>
      <c r="AF2270" s="165">
        <v>30.169090000000001</v>
      </c>
      <c r="AG2270" s="166">
        <v>66.741</v>
      </c>
      <c r="AO2270" s="121"/>
      <c r="AT2270" s="111"/>
      <c r="AX2270" s="121"/>
    </row>
    <row r="2271" spans="1:50" s="110" customFormat="1" ht="20" customHeight="1">
      <c r="A2271" s="125" t="s">
        <v>231</v>
      </c>
      <c r="B2271" s="126" t="s">
        <v>66</v>
      </c>
      <c r="C2271" s="127">
        <v>21628</v>
      </c>
      <c r="D2271" s="163">
        <v>112015</v>
      </c>
      <c r="E2271" s="164" t="s">
        <v>679</v>
      </c>
      <c r="F2271" s="164" t="s">
        <v>679</v>
      </c>
      <c r="G2271" s="165">
        <v>5300</v>
      </c>
      <c r="H2271" s="165">
        <v>1</v>
      </c>
      <c r="I2271" s="164" t="s">
        <v>187</v>
      </c>
      <c r="J2271" s="164" t="s">
        <v>680</v>
      </c>
      <c r="K2271" s="164" t="s">
        <v>681</v>
      </c>
      <c r="L2271" s="165">
        <v>5</v>
      </c>
      <c r="M2271" s="165">
        <v>6</v>
      </c>
      <c r="N2271" s="164" t="s">
        <v>189</v>
      </c>
      <c r="O2271" s="165">
        <v>0</v>
      </c>
      <c r="P2271" s="165">
        <v>0</v>
      </c>
      <c r="Q2271" s="165">
        <v>14</v>
      </c>
      <c r="R2271" s="164" t="s">
        <v>227</v>
      </c>
      <c r="S2271" s="164" t="s">
        <v>228</v>
      </c>
      <c r="T2271" s="165">
        <v>268</v>
      </c>
      <c r="U2271" s="164" t="s">
        <v>229</v>
      </c>
      <c r="V2271" s="164" t="s">
        <v>230</v>
      </c>
      <c r="W2271" s="165">
        <v>1</v>
      </c>
      <c r="X2271" s="165">
        <v>4</v>
      </c>
      <c r="Y2271" s="164" t="s">
        <v>203</v>
      </c>
      <c r="Z2271" s="164" t="s">
        <v>195</v>
      </c>
      <c r="AA2271" s="164" t="s">
        <v>196</v>
      </c>
      <c r="AB2271" s="164" t="s">
        <v>187</v>
      </c>
      <c r="AC2271" s="164" t="s">
        <v>187</v>
      </c>
      <c r="AD2271" s="165">
        <v>1</v>
      </c>
      <c r="AE2271" s="164" t="s">
        <v>187</v>
      </c>
      <c r="AF2271" s="165">
        <v>30.169090000000001</v>
      </c>
      <c r="AG2271" s="166">
        <v>66.741</v>
      </c>
      <c r="AO2271" s="121"/>
      <c r="AT2271" s="111"/>
      <c r="AX2271" s="121"/>
    </row>
    <row r="2272" spans="1:50" s="110" customFormat="1" ht="20" customHeight="1">
      <c r="A2272" s="125" t="s">
        <v>231</v>
      </c>
      <c r="B2272" s="126" t="s">
        <v>66</v>
      </c>
      <c r="C2272" s="127">
        <v>14567</v>
      </c>
      <c r="D2272" s="163">
        <v>108394</v>
      </c>
      <c r="E2272" s="164" t="s">
        <v>1307</v>
      </c>
      <c r="F2272" s="164" t="s">
        <v>1307</v>
      </c>
      <c r="G2272" s="165">
        <v>22000</v>
      </c>
      <c r="H2272" s="165">
        <v>1</v>
      </c>
      <c r="I2272" s="164" t="s">
        <v>187</v>
      </c>
      <c r="J2272" s="164" t="s">
        <v>1308</v>
      </c>
      <c r="K2272" s="164" t="s">
        <v>1307</v>
      </c>
      <c r="L2272" s="165">
        <v>4</v>
      </c>
      <c r="M2272" s="165">
        <v>6</v>
      </c>
      <c r="N2272" s="164" t="s">
        <v>189</v>
      </c>
      <c r="O2272" s="165">
        <v>0</v>
      </c>
      <c r="P2272" s="165">
        <v>0</v>
      </c>
      <c r="Q2272" s="165">
        <v>12</v>
      </c>
      <c r="R2272" s="164" t="s">
        <v>1309</v>
      </c>
      <c r="S2272" s="164" t="s">
        <v>1310</v>
      </c>
      <c r="T2272" s="165">
        <v>354</v>
      </c>
      <c r="U2272" s="164" t="s">
        <v>1311</v>
      </c>
      <c r="V2272" s="164" t="s">
        <v>1312</v>
      </c>
      <c r="W2272" s="165">
        <v>30</v>
      </c>
      <c r="X2272" s="165">
        <v>4</v>
      </c>
      <c r="Y2272" s="164" t="s">
        <v>203</v>
      </c>
      <c r="Z2272" s="164" t="s">
        <v>195</v>
      </c>
      <c r="AA2272" s="164" t="s">
        <v>196</v>
      </c>
      <c r="AB2272" s="164" t="s">
        <v>187</v>
      </c>
      <c r="AC2272" s="164" t="s">
        <v>187</v>
      </c>
      <c r="AD2272" s="165">
        <v>1</v>
      </c>
      <c r="AE2272" s="164" t="s">
        <v>187</v>
      </c>
      <c r="AF2272" s="165">
        <v>31.628247933795102</v>
      </c>
      <c r="AG2272" s="166">
        <v>74.286204503235197</v>
      </c>
      <c r="AO2272" s="121"/>
      <c r="AT2272" s="111"/>
      <c r="AX2272" s="121"/>
    </row>
    <row r="2273" spans="1:50" s="110" customFormat="1" ht="20" customHeight="1">
      <c r="A2273" s="125" t="s">
        <v>237</v>
      </c>
      <c r="B2273" s="126" t="s">
        <v>60</v>
      </c>
      <c r="C2273" s="127">
        <v>15727</v>
      </c>
      <c r="D2273" s="163">
        <v>110423</v>
      </c>
      <c r="E2273" s="164" t="s">
        <v>217</v>
      </c>
      <c r="F2273" s="164" t="s">
        <v>217</v>
      </c>
      <c r="G2273" s="165">
        <v>15000</v>
      </c>
      <c r="H2273" s="165">
        <v>1</v>
      </c>
      <c r="I2273" s="164" t="s">
        <v>187</v>
      </c>
      <c r="J2273" s="164" t="s">
        <v>216</v>
      </c>
      <c r="K2273" s="164" t="s">
        <v>217</v>
      </c>
      <c r="L2273" s="165">
        <v>5</v>
      </c>
      <c r="M2273" s="165">
        <v>6</v>
      </c>
      <c r="N2273" s="164" t="s">
        <v>189</v>
      </c>
      <c r="O2273" s="165">
        <v>0</v>
      </c>
      <c r="P2273" s="165">
        <v>0</v>
      </c>
      <c r="Q2273" s="165">
        <v>21</v>
      </c>
      <c r="R2273" s="164" t="s">
        <v>200</v>
      </c>
      <c r="S2273" s="164" t="s">
        <v>201</v>
      </c>
      <c r="T2273" s="165">
        <v>468</v>
      </c>
      <c r="U2273" s="164" t="s">
        <v>200</v>
      </c>
      <c r="V2273" s="164" t="s">
        <v>503</v>
      </c>
      <c r="W2273" s="165">
        <v>24</v>
      </c>
      <c r="X2273" s="165">
        <v>2</v>
      </c>
      <c r="Y2273" s="164" t="s">
        <v>194</v>
      </c>
      <c r="Z2273" s="164" t="s">
        <v>195</v>
      </c>
      <c r="AA2273" s="164" t="s">
        <v>196</v>
      </c>
      <c r="AB2273" s="164" t="s">
        <v>187</v>
      </c>
      <c r="AC2273" s="164" t="s">
        <v>209</v>
      </c>
      <c r="AD2273" s="165">
        <v>1</v>
      </c>
      <c r="AE2273" s="164" t="s">
        <v>187</v>
      </c>
      <c r="AF2273" s="165">
        <v>3.1251304396180899</v>
      </c>
      <c r="AG2273" s="166">
        <v>101.691273557229</v>
      </c>
      <c r="AO2273" s="121"/>
      <c r="AT2273" s="111"/>
      <c r="AX2273" s="121"/>
    </row>
    <row r="2274" spans="1:50" s="110" customFormat="1" ht="20" customHeight="1">
      <c r="A2274" s="125" t="s">
        <v>231</v>
      </c>
      <c r="B2274" s="126" t="s">
        <v>66</v>
      </c>
      <c r="C2274" s="127">
        <v>21623</v>
      </c>
      <c r="D2274" s="167"/>
      <c r="E2274" s="164" t="s">
        <v>500</v>
      </c>
      <c r="F2274" s="164" t="s">
        <v>500</v>
      </c>
      <c r="G2274" s="165">
        <v>200</v>
      </c>
      <c r="H2274" s="165">
        <v>1</v>
      </c>
      <c r="I2274" s="164" t="s">
        <v>187</v>
      </c>
      <c r="J2274" s="164" t="s">
        <v>501</v>
      </c>
      <c r="K2274" s="164" t="s">
        <v>502</v>
      </c>
      <c r="L2274" s="165">
        <v>3</v>
      </c>
      <c r="M2274" s="165">
        <v>6</v>
      </c>
      <c r="N2274" s="164" t="s">
        <v>189</v>
      </c>
      <c r="O2274" s="165">
        <v>0</v>
      </c>
      <c r="P2274" s="165">
        <v>0</v>
      </c>
      <c r="Q2274" s="165">
        <v>21</v>
      </c>
      <c r="R2274" s="164" t="s">
        <v>200</v>
      </c>
      <c r="S2274" s="164" t="s">
        <v>201</v>
      </c>
      <c r="T2274" s="165">
        <v>468</v>
      </c>
      <c r="U2274" s="164" t="s">
        <v>200</v>
      </c>
      <c r="V2274" s="164" t="s">
        <v>503</v>
      </c>
      <c r="W2274" s="165">
        <v>1</v>
      </c>
      <c r="X2274" s="165">
        <v>4</v>
      </c>
      <c r="Y2274" s="164" t="s">
        <v>203</v>
      </c>
      <c r="Z2274" s="164" t="s">
        <v>195</v>
      </c>
      <c r="AA2274" s="164" t="s">
        <v>196</v>
      </c>
      <c r="AB2274" s="164" t="s">
        <v>187</v>
      </c>
      <c r="AC2274" s="164" t="s">
        <v>187</v>
      </c>
      <c r="AD2274" s="165">
        <v>1</v>
      </c>
      <c r="AE2274" s="164" t="s">
        <v>187</v>
      </c>
      <c r="AF2274" s="165">
        <v>29.710920000000002</v>
      </c>
      <c r="AG2274" s="166">
        <v>73.105760000000004</v>
      </c>
      <c r="AO2274" s="121"/>
      <c r="AT2274" s="111"/>
      <c r="AX2274" s="121"/>
    </row>
    <row r="2275" spans="1:50" s="110" customFormat="1" ht="20" customHeight="1">
      <c r="A2275" s="125" t="s">
        <v>239</v>
      </c>
      <c r="B2275" s="126" t="s">
        <v>67</v>
      </c>
      <c r="C2275" s="127">
        <v>14192</v>
      </c>
      <c r="D2275" s="163">
        <v>109027</v>
      </c>
      <c r="E2275" s="164" t="s">
        <v>220</v>
      </c>
      <c r="F2275" s="164" t="s">
        <v>220</v>
      </c>
      <c r="G2275" s="165">
        <v>30000</v>
      </c>
      <c r="H2275" s="165">
        <v>1</v>
      </c>
      <c r="I2275" s="164" t="s">
        <v>187</v>
      </c>
      <c r="J2275" s="164" t="s">
        <v>219</v>
      </c>
      <c r="K2275" s="164" t="s">
        <v>220</v>
      </c>
      <c r="L2275" s="165">
        <v>5</v>
      </c>
      <c r="M2275" s="165">
        <v>6</v>
      </c>
      <c r="N2275" s="164" t="s">
        <v>189</v>
      </c>
      <c r="O2275" s="165">
        <v>4</v>
      </c>
      <c r="P2275" s="165">
        <v>0.05</v>
      </c>
      <c r="Q2275" s="165">
        <v>21</v>
      </c>
      <c r="R2275" s="164" t="s">
        <v>200</v>
      </c>
      <c r="S2275" s="164" t="s">
        <v>201</v>
      </c>
      <c r="T2275" s="165">
        <v>468</v>
      </c>
      <c r="U2275" s="164" t="s">
        <v>200</v>
      </c>
      <c r="V2275" s="164" t="s">
        <v>503</v>
      </c>
      <c r="W2275" s="165">
        <v>8</v>
      </c>
      <c r="X2275" s="165">
        <v>2</v>
      </c>
      <c r="Y2275" s="164" t="s">
        <v>194</v>
      </c>
      <c r="Z2275" s="164" t="s">
        <v>195</v>
      </c>
      <c r="AA2275" s="164" t="s">
        <v>196</v>
      </c>
      <c r="AB2275" s="164" t="s">
        <v>209</v>
      </c>
      <c r="AC2275" s="164" t="s">
        <v>209</v>
      </c>
      <c r="AD2275" s="165">
        <v>1</v>
      </c>
      <c r="AE2275" s="164" t="s">
        <v>209</v>
      </c>
      <c r="AF2275" s="165">
        <v>14.604209000000001</v>
      </c>
      <c r="AG2275" s="166">
        <v>121.102317</v>
      </c>
      <c r="AO2275" s="121"/>
      <c r="AT2275" s="111"/>
      <c r="AX2275" s="121"/>
    </row>
    <row r="2276" spans="1:50" s="110" customFormat="1" ht="20" customHeight="1">
      <c r="A2276" s="125" t="s">
        <v>408</v>
      </c>
      <c r="B2276" s="126" t="s">
        <v>64</v>
      </c>
      <c r="C2276" s="127">
        <v>15727</v>
      </c>
      <c r="D2276" s="163">
        <v>110423</v>
      </c>
      <c r="E2276" s="164" t="s">
        <v>217</v>
      </c>
      <c r="F2276" s="164" t="s">
        <v>217</v>
      </c>
      <c r="G2276" s="165">
        <v>3200</v>
      </c>
      <c r="H2276" s="165">
        <v>1</v>
      </c>
      <c r="I2276" s="164" t="s">
        <v>187</v>
      </c>
      <c r="J2276" s="164" t="s">
        <v>216</v>
      </c>
      <c r="K2276" s="164" t="s">
        <v>217</v>
      </c>
      <c r="L2276" s="165">
        <v>5</v>
      </c>
      <c r="M2276" s="165">
        <v>6</v>
      </c>
      <c r="N2276" s="164" t="s">
        <v>189</v>
      </c>
      <c r="O2276" s="165">
        <v>0</v>
      </c>
      <c r="P2276" s="165">
        <v>0</v>
      </c>
      <c r="Q2276" s="165">
        <v>21</v>
      </c>
      <c r="R2276" s="164" t="s">
        <v>200</v>
      </c>
      <c r="S2276" s="164" t="s">
        <v>201</v>
      </c>
      <c r="T2276" s="165">
        <v>468</v>
      </c>
      <c r="U2276" s="164" t="s">
        <v>200</v>
      </c>
      <c r="V2276" s="164" t="s">
        <v>503</v>
      </c>
      <c r="W2276" s="165">
        <v>24</v>
      </c>
      <c r="X2276" s="165">
        <v>2</v>
      </c>
      <c r="Y2276" s="164" t="s">
        <v>194</v>
      </c>
      <c r="Z2276" s="164" t="s">
        <v>195</v>
      </c>
      <c r="AA2276" s="164" t="s">
        <v>196</v>
      </c>
      <c r="AB2276" s="164" t="s">
        <v>209</v>
      </c>
      <c r="AC2276" s="164" t="s">
        <v>209</v>
      </c>
      <c r="AD2276" s="165">
        <v>1</v>
      </c>
      <c r="AE2276" s="164" t="s">
        <v>187</v>
      </c>
      <c r="AF2276" s="165">
        <v>1.3698980000000001</v>
      </c>
      <c r="AG2276" s="166">
        <v>103.843485</v>
      </c>
      <c r="AO2276" s="121"/>
      <c r="AT2276" s="111"/>
      <c r="AX2276" s="121"/>
    </row>
    <row r="2277" spans="1:50" s="110" customFormat="1" ht="20" customHeight="1">
      <c r="A2277" s="125" t="s">
        <v>408</v>
      </c>
      <c r="B2277" s="126" t="s">
        <v>64</v>
      </c>
      <c r="C2277" s="127">
        <v>13449</v>
      </c>
      <c r="D2277" s="145">
        <v>106168</v>
      </c>
      <c r="E2277" s="146" t="s">
        <v>1056</v>
      </c>
      <c r="F2277" s="146" t="s">
        <v>1057</v>
      </c>
      <c r="G2277" s="147">
        <v>16000</v>
      </c>
      <c r="H2277" s="147">
        <v>4</v>
      </c>
      <c r="I2277" s="146" t="s">
        <v>209</v>
      </c>
      <c r="J2277" s="146" t="s">
        <v>1058</v>
      </c>
      <c r="K2277" s="146" t="s">
        <v>1059</v>
      </c>
      <c r="L2277" s="147">
        <v>5</v>
      </c>
      <c r="M2277" s="147">
        <v>6</v>
      </c>
      <c r="N2277" s="146" t="s">
        <v>189</v>
      </c>
      <c r="O2277" s="147">
        <v>9</v>
      </c>
      <c r="P2277" s="147">
        <v>4</v>
      </c>
      <c r="Q2277" s="147">
        <v>21</v>
      </c>
      <c r="R2277" s="146" t="s">
        <v>200</v>
      </c>
      <c r="S2277" s="146" t="s">
        <v>201</v>
      </c>
      <c r="T2277" s="147">
        <v>468</v>
      </c>
      <c r="U2277" s="146" t="s">
        <v>200</v>
      </c>
      <c r="V2277" s="146" t="s">
        <v>503</v>
      </c>
      <c r="W2277" s="147">
        <v>1</v>
      </c>
      <c r="X2277" s="147">
        <v>2</v>
      </c>
      <c r="Y2277" s="146" t="s">
        <v>194</v>
      </c>
      <c r="Z2277" s="146" t="s">
        <v>195</v>
      </c>
      <c r="AA2277" s="146" t="s">
        <v>196</v>
      </c>
      <c r="AB2277" s="146" t="s">
        <v>209</v>
      </c>
      <c r="AC2277" s="146" t="s">
        <v>209</v>
      </c>
      <c r="AD2277" s="148"/>
      <c r="AE2277" s="146" t="s">
        <v>209</v>
      </c>
      <c r="AF2277" s="147">
        <v>1.32467</v>
      </c>
      <c r="AG2277" s="149">
        <v>103.82774000000001</v>
      </c>
      <c r="AO2277" s="121"/>
      <c r="AT2277" s="111"/>
      <c r="AX2277" s="121"/>
    </row>
    <row r="2278" spans="1:50" s="110" customFormat="1" ht="20" customHeight="1">
      <c r="A2278" s="125" t="s">
        <v>478</v>
      </c>
      <c r="B2278" s="126" t="s">
        <v>56</v>
      </c>
      <c r="C2278" s="127">
        <v>15727</v>
      </c>
      <c r="D2278" s="163">
        <v>110423</v>
      </c>
      <c r="E2278" s="164" t="s">
        <v>217</v>
      </c>
      <c r="F2278" s="164" t="s">
        <v>217</v>
      </c>
      <c r="G2278" s="165">
        <v>7200</v>
      </c>
      <c r="H2278" s="165">
        <v>1</v>
      </c>
      <c r="I2278" s="164" t="s">
        <v>187</v>
      </c>
      <c r="J2278" s="164" t="s">
        <v>216</v>
      </c>
      <c r="K2278" s="164" t="s">
        <v>217</v>
      </c>
      <c r="L2278" s="165">
        <v>5</v>
      </c>
      <c r="M2278" s="165">
        <v>6</v>
      </c>
      <c r="N2278" s="164" t="s">
        <v>189</v>
      </c>
      <c r="O2278" s="165">
        <v>0.5</v>
      </c>
      <c r="P2278" s="165">
        <v>0.4</v>
      </c>
      <c r="Q2278" s="165">
        <v>21</v>
      </c>
      <c r="R2278" s="164" t="s">
        <v>200</v>
      </c>
      <c r="S2278" s="164" t="s">
        <v>201</v>
      </c>
      <c r="T2278" s="165">
        <v>468</v>
      </c>
      <c r="U2278" s="164" t="s">
        <v>200</v>
      </c>
      <c r="V2278" s="164" t="s">
        <v>503</v>
      </c>
      <c r="W2278" s="165">
        <v>24</v>
      </c>
      <c r="X2278" s="165">
        <v>2</v>
      </c>
      <c r="Y2278" s="164" t="s">
        <v>194</v>
      </c>
      <c r="Z2278" s="164" t="s">
        <v>195</v>
      </c>
      <c r="AA2278" s="164" t="s">
        <v>196</v>
      </c>
      <c r="AB2278" s="164" t="s">
        <v>187</v>
      </c>
      <c r="AC2278" s="164" t="s">
        <v>209</v>
      </c>
      <c r="AD2278" s="165">
        <v>1</v>
      </c>
      <c r="AE2278" s="164" t="s">
        <v>209</v>
      </c>
      <c r="AF2278" s="165">
        <v>13.63416</v>
      </c>
      <c r="AG2278" s="166">
        <v>100.52388999999999</v>
      </c>
      <c r="AO2278" s="121"/>
      <c r="AT2278" s="111"/>
      <c r="AX2278" s="121"/>
    </row>
    <row r="2279" spans="1:50" s="110" customFormat="1" ht="20" customHeight="1">
      <c r="A2279" s="125" t="s">
        <v>486</v>
      </c>
      <c r="B2279" s="126" t="s">
        <v>57</v>
      </c>
      <c r="C2279" s="127">
        <v>17659</v>
      </c>
      <c r="D2279" s="163">
        <v>113099</v>
      </c>
      <c r="E2279" s="164" t="s">
        <v>1188</v>
      </c>
      <c r="F2279" s="164" t="s">
        <v>1188</v>
      </c>
      <c r="G2279" s="165">
        <v>700</v>
      </c>
      <c r="H2279" s="165">
        <v>1</v>
      </c>
      <c r="I2279" s="164" t="s">
        <v>187</v>
      </c>
      <c r="J2279" s="164" t="s">
        <v>198</v>
      </c>
      <c r="K2279" s="164" t="s">
        <v>199</v>
      </c>
      <c r="L2279" s="165">
        <v>5</v>
      </c>
      <c r="M2279" s="165">
        <v>6</v>
      </c>
      <c r="N2279" s="164" t="s">
        <v>189</v>
      </c>
      <c r="O2279" s="165">
        <v>0</v>
      </c>
      <c r="P2279" s="165">
        <v>0</v>
      </c>
      <c r="Q2279" s="165">
        <v>21</v>
      </c>
      <c r="R2279" s="164" t="s">
        <v>200</v>
      </c>
      <c r="S2279" s="164" t="s">
        <v>201</v>
      </c>
      <c r="T2279" s="165">
        <v>413</v>
      </c>
      <c r="U2279" s="164" t="s">
        <v>200</v>
      </c>
      <c r="V2279" s="164" t="s">
        <v>1189</v>
      </c>
      <c r="W2279" s="165">
        <v>2</v>
      </c>
      <c r="X2279" s="165">
        <v>4</v>
      </c>
      <c r="Y2279" s="164" t="s">
        <v>203</v>
      </c>
      <c r="Z2279" s="164" t="s">
        <v>195</v>
      </c>
      <c r="AA2279" s="164" t="s">
        <v>196</v>
      </c>
      <c r="AB2279" s="164" t="s">
        <v>187</v>
      </c>
      <c r="AC2279" s="164" t="s">
        <v>187</v>
      </c>
      <c r="AD2279" s="165">
        <v>1</v>
      </c>
      <c r="AE2279" s="164" t="s">
        <v>187</v>
      </c>
      <c r="AF2279" s="165">
        <v>23.058794732349099</v>
      </c>
      <c r="AG2279" s="166">
        <v>92.175056720270902</v>
      </c>
      <c r="AO2279" s="121"/>
      <c r="AT2279" s="111"/>
      <c r="AX2279" s="121"/>
    </row>
    <row r="2280" spans="1:50" s="110" customFormat="1" ht="20" customHeight="1">
      <c r="A2280" s="125" t="s">
        <v>237</v>
      </c>
      <c r="B2280" s="126" t="s">
        <v>60</v>
      </c>
      <c r="C2280" s="127">
        <v>11982</v>
      </c>
      <c r="D2280" s="163">
        <v>103544</v>
      </c>
      <c r="E2280" s="164" t="s">
        <v>718</v>
      </c>
      <c r="F2280" s="164" t="s">
        <v>718</v>
      </c>
      <c r="G2280" s="165">
        <v>29000</v>
      </c>
      <c r="H2280" s="165">
        <v>1</v>
      </c>
      <c r="I2280" s="164" t="s">
        <v>187</v>
      </c>
      <c r="J2280" s="164" t="s">
        <v>719</v>
      </c>
      <c r="K2280" s="164" t="s">
        <v>718</v>
      </c>
      <c r="L2280" s="165">
        <v>5</v>
      </c>
      <c r="M2280" s="165">
        <v>6</v>
      </c>
      <c r="N2280" s="164" t="s">
        <v>189</v>
      </c>
      <c r="O2280" s="165">
        <v>0</v>
      </c>
      <c r="P2280" s="165">
        <v>0</v>
      </c>
      <c r="Q2280" s="165">
        <v>21</v>
      </c>
      <c r="R2280" s="164" t="s">
        <v>200</v>
      </c>
      <c r="S2280" s="164" t="s">
        <v>201</v>
      </c>
      <c r="T2280" s="165">
        <v>442</v>
      </c>
      <c r="U2280" s="164" t="s">
        <v>200</v>
      </c>
      <c r="V2280" s="164" t="s">
        <v>720</v>
      </c>
      <c r="W2280" s="165">
        <v>27</v>
      </c>
      <c r="X2280" s="165">
        <v>2</v>
      </c>
      <c r="Y2280" s="164" t="s">
        <v>194</v>
      </c>
      <c r="Z2280" s="164" t="s">
        <v>195</v>
      </c>
      <c r="AA2280" s="164" t="s">
        <v>196</v>
      </c>
      <c r="AB2280" s="164" t="s">
        <v>187</v>
      </c>
      <c r="AC2280" s="164" t="s">
        <v>209</v>
      </c>
      <c r="AD2280" s="165">
        <v>1</v>
      </c>
      <c r="AE2280" s="164" t="s">
        <v>187</v>
      </c>
      <c r="AF2280" s="165">
        <v>3.0453357321583199</v>
      </c>
      <c r="AG2280" s="166">
        <v>101.45175297442</v>
      </c>
      <c r="AO2280" s="121"/>
      <c r="AT2280" s="111"/>
      <c r="AX2280" s="121"/>
    </row>
    <row r="2281" spans="1:50" s="110" customFormat="1" ht="20" customHeight="1">
      <c r="A2281" s="125" t="s">
        <v>231</v>
      </c>
      <c r="B2281" s="126" t="s">
        <v>66</v>
      </c>
      <c r="C2281" s="127">
        <v>21635</v>
      </c>
      <c r="D2281" s="163">
        <v>118427</v>
      </c>
      <c r="E2281" s="164" t="s">
        <v>1340</v>
      </c>
      <c r="F2281" s="164" t="s">
        <v>1340</v>
      </c>
      <c r="G2281" s="165">
        <v>800</v>
      </c>
      <c r="H2281" s="165">
        <v>1</v>
      </c>
      <c r="I2281" s="164" t="s">
        <v>187</v>
      </c>
      <c r="J2281" s="164" t="s">
        <v>1338</v>
      </c>
      <c r="K2281" s="164" t="s">
        <v>1337</v>
      </c>
      <c r="L2281" s="165">
        <v>3</v>
      </c>
      <c r="M2281" s="165">
        <v>6</v>
      </c>
      <c r="N2281" s="164" t="s">
        <v>189</v>
      </c>
      <c r="O2281" s="165">
        <v>0</v>
      </c>
      <c r="P2281" s="165">
        <v>0</v>
      </c>
      <c r="Q2281" s="165">
        <v>21</v>
      </c>
      <c r="R2281" s="164" t="s">
        <v>200</v>
      </c>
      <c r="S2281" s="164" t="s">
        <v>201</v>
      </c>
      <c r="T2281" s="165">
        <v>442</v>
      </c>
      <c r="U2281" s="164" t="s">
        <v>200</v>
      </c>
      <c r="V2281" s="164" t="s">
        <v>720</v>
      </c>
      <c r="W2281" s="165">
        <v>1</v>
      </c>
      <c r="X2281" s="165">
        <v>4</v>
      </c>
      <c r="Y2281" s="164" t="s">
        <v>203</v>
      </c>
      <c r="Z2281" s="164" t="s">
        <v>195</v>
      </c>
      <c r="AA2281" s="164" t="s">
        <v>196</v>
      </c>
      <c r="AB2281" s="164" t="s">
        <v>187</v>
      </c>
      <c r="AC2281" s="164" t="s">
        <v>187</v>
      </c>
      <c r="AD2281" s="165">
        <v>1</v>
      </c>
      <c r="AE2281" s="164" t="s">
        <v>187</v>
      </c>
      <c r="AF2281" s="165">
        <v>29.710920000000002</v>
      </c>
      <c r="AG2281" s="166">
        <v>73.105760000000004</v>
      </c>
      <c r="AO2281" s="121"/>
      <c r="AT2281" s="111"/>
      <c r="AX2281" s="121"/>
    </row>
    <row r="2282" spans="1:50" s="110" customFormat="1" ht="20" customHeight="1">
      <c r="A2282" s="125" t="s">
        <v>231</v>
      </c>
      <c r="B2282" s="126" t="s">
        <v>66</v>
      </c>
      <c r="C2282" s="127">
        <v>21498</v>
      </c>
      <c r="D2282" s="163">
        <v>117184</v>
      </c>
      <c r="E2282" s="164" t="s">
        <v>1337</v>
      </c>
      <c r="F2282" s="164" t="s">
        <v>1337</v>
      </c>
      <c r="G2282" s="165">
        <v>300</v>
      </c>
      <c r="H2282" s="165">
        <v>1</v>
      </c>
      <c r="I2282" s="164" t="s">
        <v>187</v>
      </c>
      <c r="J2282" s="164" t="s">
        <v>1338</v>
      </c>
      <c r="K2282" s="164" t="s">
        <v>1337</v>
      </c>
      <c r="L2282" s="165">
        <v>3</v>
      </c>
      <c r="M2282" s="165">
        <v>6</v>
      </c>
      <c r="N2282" s="164" t="s">
        <v>189</v>
      </c>
      <c r="O2282" s="165">
        <v>0</v>
      </c>
      <c r="P2282" s="165">
        <v>0</v>
      </c>
      <c r="Q2282" s="165">
        <v>21</v>
      </c>
      <c r="R2282" s="164" t="s">
        <v>200</v>
      </c>
      <c r="S2282" s="164" t="s">
        <v>201</v>
      </c>
      <c r="T2282" s="165">
        <v>442</v>
      </c>
      <c r="U2282" s="164" t="s">
        <v>200</v>
      </c>
      <c r="V2282" s="164" t="s">
        <v>720</v>
      </c>
      <c r="W2282" s="165">
        <v>2</v>
      </c>
      <c r="X2282" s="165">
        <v>4</v>
      </c>
      <c r="Y2282" s="164" t="s">
        <v>203</v>
      </c>
      <c r="Z2282" s="164" t="s">
        <v>195</v>
      </c>
      <c r="AA2282" s="164" t="s">
        <v>196</v>
      </c>
      <c r="AB2282" s="164" t="s">
        <v>187</v>
      </c>
      <c r="AC2282" s="164" t="s">
        <v>187</v>
      </c>
      <c r="AD2282" s="165">
        <v>1</v>
      </c>
      <c r="AE2282" s="164" t="s">
        <v>187</v>
      </c>
      <c r="AF2282" s="165">
        <v>28.46237</v>
      </c>
      <c r="AG2282" s="166">
        <v>70.476389999999995</v>
      </c>
      <c r="AO2282" s="121"/>
      <c r="AT2282" s="111"/>
      <c r="AX2282" s="121"/>
    </row>
    <row r="2283" spans="1:50" s="110" customFormat="1" ht="20" customHeight="1">
      <c r="A2283" s="125" t="s">
        <v>486</v>
      </c>
      <c r="B2283" s="126" t="s">
        <v>57</v>
      </c>
      <c r="C2283" s="127">
        <v>16221</v>
      </c>
      <c r="D2283" s="163">
        <v>111334</v>
      </c>
      <c r="E2283" s="164" t="s">
        <v>268</v>
      </c>
      <c r="F2283" s="164" t="s">
        <v>268</v>
      </c>
      <c r="G2283" s="165">
        <v>1229000</v>
      </c>
      <c r="H2283" s="165">
        <v>1</v>
      </c>
      <c r="I2283" s="164" t="s">
        <v>187</v>
      </c>
      <c r="J2283" s="164" t="s">
        <v>198</v>
      </c>
      <c r="K2283" s="164" t="s">
        <v>199</v>
      </c>
      <c r="L2283" s="165">
        <v>5</v>
      </c>
      <c r="M2283" s="165">
        <v>6</v>
      </c>
      <c r="N2283" s="164" t="s">
        <v>189</v>
      </c>
      <c r="O2283" s="165">
        <v>0</v>
      </c>
      <c r="P2283" s="165">
        <v>0</v>
      </c>
      <c r="Q2283" s="165">
        <v>21</v>
      </c>
      <c r="R2283" s="164" t="s">
        <v>200</v>
      </c>
      <c r="S2283" s="164" t="s">
        <v>201</v>
      </c>
      <c r="T2283" s="165">
        <v>452</v>
      </c>
      <c r="U2283" s="164" t="s">
        <v>200</v>
      </c>
      <c r="V2283" s="164" t="s">
        <v>269</v>
      </c>
      <c r="W2283" s="165">
        <v>6</v>
      </c>
      <c r="X2283" s="165">
        <v>4</v>
      </c>
      <c r="Y2283" s="164" t="s">
        <v>203</v>
      </c>
      <c r="Z2283" s="164" t="s">
        <v>195</v>
      </c>
      <c r="AA2283" s="164" t="s">
        <v>196</v>
      </c>
      <c r="AB2283" s="164" t="s">
        <v>187</v>
      </c>
      <c r="AC2283" s="164" t="s">
        <v>187</v>
      </c>
      <c r="AD2283" s="165">
        <v>25</v>
      </c>
      <c r="AE2283" s="164" t="s">
        <v>187</v>
      </c>
      <c r="AF2283" s="165">
        <v>24.6268358686441</v>
      </c>
      <c r="AG2283" s="166">
        <v>89.630343530055299</v>
      </c>
      <c r="AO2283" s="121"/>
      <c r="AT2283" s="111"/>
      <c r="AX2283" s="121"/>
    </row>
    <row r="2284" spans="1:50" s="110" customFormat="1" ht="20" customHeight="1">
      <c r="A2284" s="125" t="s">
        <v>231</v>
      </c>
      <c r="B2284" s="126" t="s">
        <v>66</v>
      </c>
      <c r="C2284" s="127">
        <v>16221</v>
      </c>
      <c r="D2284" s="163">
        <v>111334</v>
      </c>
      <c r="E2284" s="164" t="s">
        <v>268</v>
      </c>
      <c r="F2284" s="164" t="s">
        <v>268</v>
      </c>
      <c r="G2284" s="165">
        <v>4633000</v>
      </c>
      <c r="H2284" s="165">
        <v>1</v>
      </c>
      <c r="I2284" s="164" t="s">
        <v>187</v>
      </c>
      <c r="J2284" s="164" t="s">
        <v>222</v>
      </c>
      <c r="K2284" s="164" t="s">
        <v>223</v>
      </c>
      <c r="L2284" s="165">
        <v>4</v>
      </c>
      <c r="M2284" s="165">
        <v>6</v>
      </c>
      <c r="N2284" s="164" t="s">
        <v>189</v>
      </c>
      <c r="O2284" s="165">
        <v>0</v>
      </c>
      <c r="P2284" s="165">
        <v>0</v>
      </c>
      <c r="Q2284" s="165">
        <v>21</v>
      </c>
      <c r="R2284" s="164" t="s">
        <v>200</v>
      </c>
      <c r="S2284" s="164" t="s">
        <v>201</v>
      </c>
      <c r="T2284" s="165">
        <v>452</v>
      </c>
      <c r="U2284" s="164" t="s">
        <v>200</v>
      </c>
      <c r="V2284" s="164" t="s">
        <v>269</v>
      </c>
      <c r="W2284" s="165">
        <v>6</v>
      </c>
      <c r="X2284" s="165">
        <v>4</v>
      </c>
      <c r="Y2284" s="164" t="s">
        <v>203</v>
      </c>
      <c r="Z2284" s="164" t="s">
        <v>195</v>
      </c>
      <c r="AA2284" s="164" t="s">
        <v>196</v>
      </c>
      <c r="AB2284" s="164" t="s">
        <v>187</v>
      </c>
      <c r="AC2284" s="164" t="s">
        <v>187</v>
      </c>
      <c r="AD2284" s="165">
        <v>93</v>
      </c>
      <c r="AE2284" s="164" t="s">
        <v>187</v>
      </c>
      <c r="AF2284" s="165">
        <v>31.381063610136501</v>
      </c>
      <c r="AG2284" s="166">
        <v>74.377450936980196</v>
      </c>
      <c r="AO2284" s="121"/>
      <c r="AT2284" s="111"/>
      <c r="AX2284" s="121"/>
    </row>
    <row r="2285" spans="1:50" s="110" customFormat="1" ht="20" customHeight="1">
      <c r="A2285" s="125" t="s">
        <v>224</v>
      </c>
      <c r="B2285" s="126" t="s">
        <v>68</v>
      </c>
      <c r="C2285" s="127">
        <v>16221</v>
      </c>
      <c r="D2285" s="163">
        <v>111334</v>
      </c>
      <c r="E2285" s="164" t="s">
        <v>268</v>
      </c>
      <c r="F2285" s="164" t="s">
        <v>268</v>
      </c>
      <c r="G2285" s="165">
        <v>1000</v>
      </c>
      <c r="H2285" s="165">
        <v>1</v>
      </c>
      <c r="I2285" s="164" t="s">
        <v>187</v>
      </c>
      <c r="J2285" s="164" t="s">
        <v>216</v>
      </c>
      <c r="K2285" s="164" t="s">
        <v>217</v>
      </c>
      <c r="L2285" s="165">
        <v>5</v>
      </c>
      <c r="M2285" s="165">
        <v>6</v>
      </c>
      <c r="N2285" s="164" t="s">
        <v>189</v>
      </c>
      <c r="O2285" s="165">
        <v>0</v>
      </c>
      <c r="P2285" s="165">
        <v>0</v>
      </c>
      <c r="Q2285" s="165">
        <v>21</v>
      </c>
      <c r="R2285" s="164" t="s">
        <v>200</v>
      </c>
      <c r="S2285" s="164" t="s">
        <v>201</v>
      </c>
      <c r="T2285" s="165">
        <v>452</v>
      </c>
      <c r="U2285" s="164" t="s">
        <v>200</v>
      </c>
      <c r="V2285" s="164" t="s">
        <v>269</v>
      </c>
      <c r="W2285" s="165">
        <v>6</v>
      </c>
      <c r="X2285" s="165">
        <v>4</v>
      </c>
      <c r="Y2285" s="164" t="s">
        <v>203</v>
      </c>
      <c r="Z2285" s="164" t="s">
        <v>195</v>
      </c>
      <c r="AA2285" s="164" t="s">
        <v>196</v>
      </c>
      <c r="AB2285" s="164" t="s">
        <v>187</v>
      </c>
      <c r="AC2285" s="164" t="s">
        <v>187</v>
      </c>
      <c r="AD2285" s="165">
        <v>1</v>
      </c>
      <c r="AE2285" s="164" t="s">
        <v>187</v>
      </c>
      <c r="AF2285" s="165">
        <v>7.2255697371109102</v>
      </c>
      <c r="AG2285" s="166">
        <v>81.555452758705599</v>
      </c>
      <c r="AO2285" s="121"/>
      <c r="AT2285" s="111"/>
      <c r="AX2285" s="121"/>
    </row>
    <row r="2286" spans="1:50" s="110" customFormat="1" ht="20" customHeight="1">
      <c r="A2286" s="125" t="s">
        <v>231</v>
      </c>
      <c r="B2286" s="126" t="s">
        <v>66</v>
      </c>
      <c r="C2286" s="127">
        <v>16228</v>
      </c>
      <c r="D2286" s="163">
        <v>111344</v>
      </c>
      <c r="E2286" s="164" t="s">
        <v>287</v>
      </c>
      <c r="F2286" s="164" t="s">
        <v>287</v>
      </c>
      <c r="G2286" s="165">
        <v>11269000</v>
      </c>
      <c r="H2286" s="165">
        <v>1</v>
      </c>
      <c r="I2286" s="164" t="s">
        <v>187</v>
      </c>
      <c r="J2286" s="164" t="s">
        <v>222</v>
      </c>
      <c r="K2286" s="164" t="s">
        <v>223</v>
      </c>
      <c r="L2286" s="165">
        <v>4</v>
      </c>
      <c r="M2286" s="165">
        <v>6</v>
      </c>
      <c r="N2286" s="164" t="s">
        <v>189</v>
      </c>
      <c r="O2286" s="165">
        <v>0</v>
      </c>
      <c r="P2286" s="165">
        <v>0</v>
      </c>
      <c r="Q2286" s="165">
        <v>21</v>
      </c>
      <c r="R2286" s="164" t="s">
        <v>200</v>
      </c>
      <c r="S2286" s="164" t="s">
        <v>201</v>
      </c>
      <c r="T2286" s="165">
        <v>453</v>
      </c>
      <c r="U2286" s="164" t="s">
        <v>200</v>
      </c>
      <c r="V2286" s="164" t="s">
        <v>288</v>
      </c>
      <c r="W2286" s="165">
        <v>3</v>
      </c>
      <c r="X2286" s="165">
        <v>4</v>
      </c>
      <c r="Y2286" s="164" t="s">
        <v>203</v>
      </c>
      <c r="Z2286" s="164" t="s">
        <v>195</v>
      </c>
      <c r="AA2286" s="164" t="s">
        <v>196</v>
      </c>
      <c r="AB2286" s="164" t="s">
        <v>187</v>
      </c>
      <c r="AC2286" s="164" t="s">
        <v>187</v>
      </c>
      <c r="AD2286" s="165">
        <v>225</v>
      </c>
      <c r="AE2286" s="164" t="s">
        <v>187</v>
      </c>
      <c r="AF2286" s="165">
        <v>31.354309689028</v>
      </c>
      <c r="AG2286" s="166">
        <v>73.241534695830197</v>
      </c>
      <c r="AO2286" s="121"/>
      <c r="AT2286" s="111"/>
      <c r="AX2286" s="121"/>
    </row>
    <row r="2287" spans="1:50" s="110" customFormat="1" ht="20" customHeight="1">
      <c r="A2287" s="125" t="s">
        <v>224</v>
      </c>
      <c r="B2287" s="126" t="s">
        <v>68</v>
      </c>
      <c r="C2287" s="127">
        <v>16228</v>
      </c>
      <c r="D2287" s="163">
        <v>111344</v>
      </c>
      <c r="E2287" s="164" t="s">
        <v>287</v>
      </c>
      <c r="F2287" s="164" t="s">
        <v>287</v>
      </c>
      <c r="G2287" s="165">
        <v>600</v>
      </c>
      <c r="H2287" s="165">
        <v>1</v>
      </c>
      <c r="I2287" s="164" t="s">
        <v>187</v>
      </c>
      <c r="J2287" s="164" t="s">
        <v>222</v>
      </c>
      <c r="K2287" s="164" t="s">
        <v>223</v>
      </c>
      <c r="L2287" s="165">
        <v>4</v>
      </c>
      <c r="M2287" s="165">
        <v>6</v>
      </c>
      <c r="N2287" s="164" t="s">
        <v>189</v>
      </c>
      <c r="O2287" s="165">
        <v>0</v>
      </c>
      <c r="P2287" s="165">
        <v>0</v>
      </c>
      <c r="Q2287" s="165">
        <v>21</v>
      </c>
      <c r="R2287" s="164" t="s">
        <v>200</v>
      </c>
      <c r="S2287" s="164" t="s">
        <v>201</v>
      </c>
      <c r="T2287" s="165">
        <v>453</v>
      </c>
      <c r="U2287" s="164" t="s">
        <v>200</v>
      </c>
      <c r="V2287" s="164" t="s">
        <v>288</v>
      </c>
      <c r="W2287" s="165">
        <v>3</v>
      </c>
      <c r="X2287" s="165">
        <v>4</v>
      </c>
      <c r="Y2287" s="164" t="s">
        <v>203</v>
      </c>
      <c r="Z2287" s="164" t="s">
        <v>195</v>
      </c>
      <c r="AA2287" s="164" t="s">
        <v>196</v>
      </c>
      <c r="AB2287" s="164" t="s">
        <v>187</v>
      </c>
      <c r="AC2287" s="164" t="s">
        <v>187</v>
      </c>
      <c r="AD2287" s="165">
        <v>1</v>
      </c>
      <c r="AE2287" s="164" t="s">
        <v>187</v>
      </c>
      <c r="AF2287" s="165">
        <v>7.2257119858709498</v>
      </c>
      <c r="AG2287" s="166">
        <v>81.5562216320386</v>
      </c>
      <c r="AO2287" s="121"/>
      <c r="AT2287" s="111"/>
      <c r="AX2287" s="121"/>
    </row>
    <row r="2288" spans="1:50" s="110" customFormat="1" ht="20" customHeight="1">
      <c r="A2288" s="125" t="s">
        <v>486</v>
      </c>
      <c r="B2288" s="126" t="s">
        <v>57</v>
      </c>
      <c r="C2288" s="127">
        <v>17571</v>
      </c>
      <c r="D2288" s="163">
        <v>112998</v>
      </c>
      <c r="E2288" s="164" t="s">
        <v>762</v>
      </c>
      <c r="F2288" s="164" t="s">
        <v>762</v>
      </c>
      <c r="G2288" s="165">
        <v>4100</v>
      </c>
      <c r="H2288" s="165">
        <v>1</v>
      </c>
      <c r="I2288" s="164" t="s">
        <v>187</v>
      </c>
      <c r="J2288" s="164" t="s">
        <v>198</v>
      </c>
      <c r="K2288" s="164" t="s">
        <v>199</v>
      </c>
      <c r="L2288" s="165">
        <v>5</v>
      </c>
      <c r="M2288" s="165">
        <v>6</v>
      </c>
      <c r="N2288" s="164" t="s">
        <v>189</v>
      </c>
      <c r="O2288" s="165">
        <v>0</v>
      </c>
      <c r="P2288" s="165">
        <v>0</v>
      </c>
      <c r="Q2288" s="165">
        <v>21</v>
      </c>
      <c r="R2288" s="164" t="s">
        <v>200</v>
      </c>
      <c r="S2288" s="164" t="s">
        <v>201</v>
      </c>
      <c r="T2288" s="165">
        <v>458</v>
      </c>
      <c r="U2288" s="164" t="s">
        <v>200</v>
      </c>
      <c r="V2288" s="164" t="s">
        <v>763</v>
      </c>
      <c r="W2288" s="165">
        <v>4</v>
      </c>
      <c r="X2288" s="165">
        <v>4</v>
      </c>
      <c r="Y2288" s="164" t="s">
        <v>203</v>
      </c>
      <c r="Z2288" s="164" t="s">
        <v>195</v>
      </c>
      <c r="AA2288" s="164" t="s">
        <v>196</v>
      </c>
      <c r="AB2288" s="164" t="s">
        <v>187</v>
      </c>
      <c r="AC2288" s="164" t="s">
        <v>187</v>
      </c>
      <c r="AD2288" s="165">
        <v>1</v>
      </c>
      <c r="AE2288" s="164" t="s">
        <v>187</v>
      </c>
      <c r="AF2288" s="165">
        <v>22.855741532589999</v>
      </c>
      <c r="AG2288" s="166">
        <v>89.859570151887993</v>
      </c>
      <c r="AO2288" s="121"/>
      <c r="AT2288" s="111"/>
      <c r="AX2288" s="121"/>
    </row>
    <row r="2289" spans="1:50" s="110" customFormat="1" ht="20" customHeight="1">
      <c r="A2289" s="125" t="s">
        <v>486</v>
      </c>
      <c r="B2289" s="126" t="s">
        <v>57</v>
      </c>
      <c r="C2289" s="127">
        <v>21479</v>
      </c>
      <c r="D2289" s="163">
        <v>118295</v>
      </c>
      <c r="E2289" s="164" t="s">
        <v>764</v>
      </c>
      <c r="F2289" s="164" t="s">
        <v>764</v>
      </c>
      <c r="G2289" s="165">
        <v>4000</v>
      </c>
      <c r="H2289" s="165">
        <v>1</v>
      </c>
      <c r="I2289" s="164" t="s">
        <v>187</v>
      </c>
      <c r="J2289" s="164" t="s">
        <v>198</v>
      </c>
      <c r="K2289" s="164" t="s">
        <v>199</v>
      </c>
      <c r="L2289" s="165">
        <v>5</v>
      </c>
      <c r="M2289" s="165">
        <v>6</v>
      </c>
      <c r="N2289" s="164" t="s">
        <v>189</v>
      </c>
      <c r="O2289" s="165">
        <v>0</v>
      </c>
      <c r="P2289" s="165">
        <v>0</v>
      </c>
      <c r="Q2289" s="165">
        <v>21</v>
      </c>
      <c r="R2289" s="164" t="s">
        <v>200</v>
      </c>
      <c r="S2289" s="164" t="s">
        <v>201</v>
      </c>
      <c r="T2289" s="165">
        <v>458</v>
      </c>
      <c r="U2289" s="164" t="s">
        <v>200</v>
      </c>
      <c r="V2289" s="164" t="s">
        <v>763</v>
      </c>
      <c r="W2289" s="165">
        <v>3</v>
      </c>
      <c r="X2289" s="165">
        <v>4</v>
      </c>
      <c r="Y2289" s="164" t="s">
        <v>203</v>
      </c>
      <c r="Z2289" s="164" t="s">
        <v>195</v>
      </c>
      <c r="AA2289" s="164" t="s">
        <v>196</v>
      </c>
      <c r="AB2289" s="164" t="s">
        <v>187</v>
      </c>
      <c r="AC2289" s="164" t="s">
        <v>187</v>
      </c>
      <c r="AD2289" s="165">
        <v>1</v>
      </c>
      <c r="AE2289" s="164" t="s">
        <v>187</v>
      </c>
      <c r="AF2289" s="165">
        <v>22.42877</v>
      </c>
      <c r="AG2289" s="166">
        <v>89.459000000000003</v>
      </c>
      <c r="AO2289" s="121"/>
      <c r="AT2289" s="111"/>
      <c r="AX2289" s="121"/>
    </row>
    <row r="2290" spans="1:50" s="110" customFormat="1" ht="20" customHeight="1">
      <c r="A2290" s="125" t="s">
        <v>231</v>
      </c>
      <c r="B2290" s="126" t="s">
        <v>66</v>
      </c>
      <c r="C2290" s="127">
        <v>17571</v>
      </c>
      <c r="D2290" s="163">
        <v>112998</v>
      </c>
      <c r="E2290" s="164" t="s">
        <v>762</v>
      </c>
      <c r="F2290" s="164" t="s">
        <v>762</v>
      </c>
      <c r="G2290" s="165">
        <v>35033000</v>
      </c>
      <c r="H2290" s="165">
        <v>1</v>
      </c>
      <c r="I2290" s="164" t="s">
        <v>187</v>
      </c>
      <c r="J2290" s="164" t="s">
        <v>222</v>
      </c>
      <c r="K2290" s="164" t="s">
        <v>223</v>
      </c>
      <c r="L2290" s="165">
        <v>4</v>
      </c>
      <c r="M2290" s="165">
        <v>6</v>
      </c>
      <c r="N2290" s="164" t="s">
        <v>189</v>
      </c>
      <c r="O2290" s="165">
        <v>0</v>
      </c>
      <c r="P2290" s="165">
        <v>0</v>
      </c>
      <c r="Q2290" s="165">
        <v>21</v>
      </c>
      <c r="R2290" s="164" t="s">
        <v>200</v>
      </c>
      <c r="S2290" s="164" t="s">
        <v>201</v>
      </c>
      <c r="T2290" s="165">
        <v>458</v>
      </c>
      <c r="U2290" s="164" t="s">
        <v>200</v>
      </c>
      <c r="V2290" s="164" t="s">
        <v>763</v>
      </c>
      <c r="W2290" s="165">
        <v>4</v>
      </c>
      <c r="X2290" s="165">
        <v>4</v>
      </c>
      <c r="Y2290" s="164" t="s">
        <v>203</v>
      </c>
      <c r="Z2290" s="164" t="s">
        <v>195</v>
      </c>
      <c r="AA2290" s="164" t="s">
        <v>196</v>
      </c>
      <c r="AB2290" s="164" t="s">
        <v>187</v>
      </c>
      <c r="AC2290" s="164" t="s">
        <v>187</v>
      </c>
      <c r="AD2290" s="165">
        <v>701</v>
      </c>
      <c r="AE2290" s="164" t="s">
        <v>187</v>
      </c>
      <c r="AF2290" s="165">
        <v>31.012456586300001</v>
      </c>
      <c r="AG2290" s="166">
        <v>74.130532305900005</v>
      </c>
      <c r="AO2290" s="121"/>
      <c r="AT2290" s="111"/>
      <c r="AX2290" s="121"/>
    </row>
    <row r="2291" spans="1:50" s="110" customFormat="1" ht="20" customHeight="1">
      <c r="A2291" s="125" t="s">
        <v>231</v>
      </c>
      <c r="B2291" s="126" t="s">
        <v>66</v>
      </c>
      <c r="C2291" s="127">
        <v>19840</v>
      </c>
      <c r="D2291" s="163">
        <v>115869</v>
      </c>
      <c r="E2291" s="164" t="s">
        <v>787</v>
      </c>
      <c r="F2291" s="164" t="s">
        <v>787</v>
      </c>
      <c r="G2291" s="165">
        <v>508000</v>
      </c>
      <c r="H2291" s="165">
        <v>1</v>
      </c>
      <c r="I2291" s="164" t="s">
        <v>187</v>
      </c>
      <c r="J2291" s="164" t="s">
        <v>222</v>
      </c>
      <c r="K2291" s="164" t="s">
        <v>223</v>
      </c>
      <c r="L2291" s="165">
        <v>4</v>
      </c>
      <c r="M2291" s="165">
        <v>6</v>
      </c>
      <c r="N2291" s="164" t="s">
        <v>189</v>
      </c>
      <c r="O2291" s="165">
        <v>0</v>
      </c>
      <c r="P2291" s="165">
        <v>0</v>
      </c>
      <c r="Q2291" s="165">
        <v>21</v>
      </c>
      <c r="R2291" s="164" t="s">
        <v>200</v>
      </c>
      <c r="S2291" s="164" t="s">
        <v>201</v>
      </c>
      <c r="T2291" s="165">
        <v>458</v>
      </c>
      <c r="U2291" s="164" t="s">
        <v>200</v>
      </c>
      <c r="V2291" s="164" t="s">
        <v>763</v>
      </c>
      <c r="W2291" s="165">
        <v>2</v>
      </c>
      <c r="X2291" s="165">
        <v>4</v>
      </c>
      <c r="Y2291" s="164" t="s">
        <v>203</v>
      </c>
      <c r="Z2291" s="164" t="s">
        <v>195</v>
      </c>
      <c r="AA2291" s="164" t="s">
        <v>196</v>
      </c>
      <c r="AB2291" s="164" t="s">
        <v>187</v>
      </c>
      <c r="AC2291" s="164" t="s">
        <v>187</v>
      </c>
      <c r="AD2291" s="165">
        <v>10</v>
      </c>
      <c r="AE2291" s="164" t="s">
        <v>187</v>
      </c>
      <c r="AF2291" s="165">
        <v>31.574759591446</v>
      </c>
      <c r="AG2291" s="166">
        <v>73.934753098029006</v>
      </c>
      <c r="AO2291" s="121"/>
      <c r="AT2291" s="111"/>
      <c r="AX2291" s="121"/>
    </row>
    <row r="2292" spans="1:50" s="110" customFormat="1" ht="20" customHeight="1">
      <c r="A2292" s="125" t="s">
        <v>231</v>
      </c>
      <c r="B2292" s="126" t="s">
        <v>66</v>
      </c>
      <c r="C2292" s="127">
        <v>19881</v>
      </c>
      <c r="D2292" s="163">
        <v>115884</v>
      </c>
      <c r="E2292" s="164" t="s">
        <v>807</v>
      </c>
      <c r="F2292" s="164" t="s">
        <v>807</v>
      </c>
      <c r="G2292" s="165">
        <v>433000</v>
      </c>
      <c r="H2292" s="165">
        <v>1</v>
      </c>
      <c r="I2292" s="164" t="s">
        <v>187</v>
      </c>
      <c r="J2292" s="164" t="s">
        <v>222</v>
      </c>
      <c r="K2292" s="164" t="s">
        <v>223</v>
      </c>
      <c r="L2292" s="165">
        <v>4</v>
      </c>
      <c r="M2292" s="165">
        <v>6</v>
      </c>
      <c r="N2292" s="164" t="s">
        <v>189</v>
      </c>
      <c r="O2292" s="165">
        <v>0</v>
      </c>
      <c r="P2292" s="165">
        <v>0</v>
      </c>
      <c r="Q2292" s="165">
        <v>21</v>
      </c>
      <c r="R2292" s="164" t="s">
        <v>200</v>
      </c>
      <c r="S2292" s="164" t="s">
        <v>201</v>
      </c>
      <c r="T2292" s="165">
        <v>458</v>
      </c>
      <c r="U2292" s="164" t="s">
        <v>200</v>
      </c>
      <c r="V2292" s="164" t="s">
        <v>763</v>
      </c>
      <c r="W2292" s="165">
        <v>2</v>
      </c>
      <c r="X2292" s="165">
        <v>4</v>
      </c>
      <c r="Y2292" s="164" t="s">
        <v>203</v>
      </c>
      <c r="Z2292" s="164" t="s">
        <v>195</v>
      </c>
      <c r="AA2292" s="164" t="s">
        <v>196</v>
      </c>
      <c r="AB2292" s="164" t="s">
        <v>187</v>
      </c>
      <c r="AC2292" s="164" t="s">
        <v>187</v>
      </c>
      <c r="AD2292" s="165">
        <v>9</v>
      </c>
      <c r="AE2292" s="164" t="s">
        <v>187</v>
      </c>
      <c r="AF2292" s="165">
        <v>30.6342193644</v>
      </c>
      <c r="AG2292" s="166">
        <v>72.893776552399999</v>
      </c>
      <c r="AO2292" s="121"/>
      <c r="AT2292" s="111"/>
      <c r="AX2292" s="121"/>
    </row>
    <row r="2293" spans="1:50" s="110" customFormat="1" ht="20" customHeight="1">
      <c r="A2293" s="125" t="s">
        <v>231</v>
      </c>
      <c r="B2293" s="126" t="s">
        <v>66</v>
      </c>
      <c r="C2293" s="127">
        <v>19911</v>
      </c>
      <c r="D2293" s="163">
        <v>115900</v>
      </c>
      <c r="E2293" s="164" t="s">
        <v>835</v>
      </c>
      <c r="F2293" s="164" t="s">
        <v>835</v>
      </c>
      <c r="G2293" s="165">
        <v>321000</v>
      </c>
      <c r="H2293" s="165">
        <v>1</v>
      </c>
      <c r="I2293" s="164" t="s">
        <v>187</v>
      </c>
      <c r="J2293" s="164" t="s">
        <v>222</v>
      </c>
      <c r="K2293" s="164" t="s">
        <v>223</v>
      </c>
      <c r="L2293" s="165">
        <v>4</v>
      </c>
      <c r="M2293" s="165">
        <v>6</v>
      </c>
      <c r="N2293" s="164" t="s">
        <v>189</v>
      </c>
      <c r="O2293" s="165">
        <v>0</v>
      </c>
      <c r="P2293" s="165">
        <v>0</v>
      </c>
      <c r="Q2293" s="165">
        <v>21</v>
      </c>
      <c r="R2293" s="164" t="s">
        <v>200</v>
      </c>
      <c r="S2293" s="164" t="s">
        <v>201</v>
      </c>
      <c r="T2293" s="165">
        <v>458</v>
      </c>
      <c r="U2293" s="164" t="s">
        <v>200</v>
      </c>
      <c r="V2293" s="164" t="s">
        <v>763</v>
      </c>
      <c r="W2293" s="165">
        <v>2</v>
      </c>
      <c r="X2293" s="165">
        <v>4</v>
      </c>
      <c r="Y2293" s="164" t="s">
        <v>203</v>
      </c>
      <c r="Z2293" s="164" t="s">
        <v>195</v>
      </c>
      <c r="AA2293" s="164" t="s">
        <v>196</v>
      </c>
      <c r="AB2293" s="164" t="s">
        <v>187</v>
      </c>
      <c r="AC2293" s="164" t="s">
        <v>187</v>
      </c>
      <c r="AD2293" s="165">
        <v>6</v>
      </c>
      <c r="AE2293" s="164" t="s">
        <v>187</v>
      </c>
      <c r="AF2293" s="165">
        <v>32.671200649746702</v>
      </c>
      <c r="AG2293" s="166">
        <v>74.091604584429504</v>
      </c>
      <c r="AO2293" s="121"/>
      <c r="AT2293" s="111"/>
      <c r="AX2293" s="121"/>
    </row>
    <row r="2294" spans="1:50" s="110" customFormat="1" ht="20" customHeight="1">
      <c r="A2294" s="125" t="s">
        <v>231</v>
      </c>
      <c r="B2294" s="126" t="s">
        <v>66</v>
      </c>
      <c r="C2294" s="127">
        <v>20013</v>
      </c>
      <c r="D2294" s="163">
        <v>115921</v>
      </c>
      <c r="E2294" s="164" t="s">
        <v>830</v>
      </c>
      <c r="F2294" s="164" t="s">
        <v>830</v>
      </c>
      <c r="G2294" s="165">
        <v>312000</v>
      </c>
      <c r="H2294" s="165">
        <v>1</v>
      </c>
      <c r="I2294" s="164" t="s">
        <v>187</v>
      </c>
      <c r="J2294" s="164" t="s">
        <v>222</v>
      </c>
      <c r="K2294" s="164" t="s">
        <v>223</v>
      </c>
      <c r="L2294" s="165">
        <v>4</v>
      </c>
      <c r="M2294" s="165">
        <v>6</v>
      </c>
      <c r="N2294" s="164" t="s">
        <v>189</v>
      </c>
      <c r="O2294" s="165">
        <v>0</v>
      </c>
      <c r="P2294" s="165">
        <v>0</v>
      </c>
      <c r="Q2294" s="165">
        <v>21</v>
      </c>
      <c r="R2294" s="164" t="s">
        <v>200</v>
      </c>
      <c r="S2294" s="164" t="s">
        <v>201</v>
      </c>
      <c r="T2294" s="165">
        <v>458</v>
      </c>
      <c r="U2294" s="164" t="s">
        <v>200</v>
      </c>
      <c r="V2294" s="164" t="s">
        <v>763</v>
      </c>
      <c r="W2294" s="165">
        <v>2</v>
      </c>
      <c r="X2294" s="165">
        <v>4</v>
      </c>
      <c r="Y2294" s="164" t="s">
        <v>203</v>
      </c>
      <c r="Z2294" s="164" t="s">
        <v>195</v>
      </c>
      <c r="AA2294" s="164" t="s">
        <v>196</v>
      </c>
      <c r="AB2294" s="164" t="s">
        <v>187</v>
      </c>
      <c r="AC2294" s="164" t="s">
        <v>187</v>
      </c>
      <c r="AD2294" s="165">
        <v>6</v>
      </c>
      <c r="AE2294" s="164" t="s">
        <v>187</v>
      </c>
      <c r="AF2294" s="165">
        <v>31.382218040584402</v>
      </c>
      <c r="AG2294" s="166">
        <v>74.383101725704194</v>
      </c>
      <c r="AO2294" s="121"/>
      <c r="AT2294" s="111"/>
      <c r="AX2294" s="121"/>
    </row>
    <row r="2295" spans="1:50" s="110" customFormat="1" ht="20" customHeight="1">
      <c r="A2295" s="125" t="s">
        <v>231</v>
      </c>
      <c r="B2295" s="126" t="s">
        <v>66</v>
      </c>
      <c r="C2295" s="127">
        <v>19831</v>
      </c>
      <c r="D2295" s="163">
        <v>115864</v>
      </c>
      <c r="E2295" s="164" t="s">
        <v>781</v>
      </c>
      <c r="F2295" s="164" t="s">
        <v>781</v>
      </c>
      <c r="G2295" s="165">
        <v>291000</v>
      </c>
      <c r="H2295" s="165">
        <v>1</v>
      </c>
      <c r="I2295" s="164" t="s">
        <v>187</v>
      </c>
      <c r="J2295" s="164" t="s">
        <v>222</v>
      </c>
      <c r="K2295" s="164" t="s">
        <v>223</v>
      </c>
      <c r="L2295" s="165">
        <v>4</v>
      </c>
      <c r="M2295" s="165">
        <v>6</v>
      </c>
      <c r="N2295" s="164" t="s">
        <v>189</v>
      </c>
      <c r="O2295" s="165">
        <v>0</v>
      </c>
      <c r="P2295" s="165">
        <v>0</v>
      </c>
      <c r="Q2295" s="165">
        <v>21</v>
      </c>
      <c r="R2295" s="164" t="s">
        <v>200</v>
      </c>
      <c r="S2295" s="164" t="s">
        <v>201</v>
      </c>
      <c r="T2295" s="165">
        <v>458</v>
      </c>
      <c r="U2295" s="164" t="s">
        <v>200</v>
      </c>
      <c r="V2295" s="164" t="s">
        <v>763</v>
      </c>
      <c r="W2295" s="165">
        <v>2</v>
      </c>
      <c r="X2295" s="165">
        <v>4</v>
      </c>
      <c r="Y2295" s="164" t="s">
        <v>203</v>
      </c>
      <c r="Z2295" s="164" t="s">
        <v>195</v>
      </c>
      <c r="AA2295" s="164" t="s">
        <v>196</v>
      </c>
      <c r="AB2295" s="164" t="s">
        <v>187</v>
      </c>
      <c r="AC2295" s="164" t="s">
        <v>187</v>
      </c>
      <c r="AD2295" s="165">
        <v>6</v>
      </c>
      <c r="AE2295" s="164" t="s">
        <v>187</v>
      </c>
      <c r="AF2295" s="165">
        <v>32.096133811237898</v>
      </c>
      <c r="AG2295" s="166">
        <v>74.221395883165698</v>
      </c>
      <c r="AO2295" s="121"/>
      <c r="AT2295" s="111"/>
      <c r="AX2295" s="121"/>
    </row>
    <row r="2296" spans="1:50" s="110" customFormat="1" ht="20" customHeight="1">
      <c r="A2296" s="125" t="s">
        <v>231</v>
      </c>
      <c r="B2296" s="126" t="s">
        <v>66</v>
      </c>
      <c r="C2296" s="127">
        <v>19819</v>
      </c>
      <c r="D2296" s="163">
        <v>115857</v>
      </c>
      <c r="E2296" s="164" t="s">
        <v>768</v>
      </c>
      <c r="F2296" s="164" t="s">
        <v>768</v>
      </c>
      <c r="G2296" s="165">
        <v>209000</v>
      </c>
      <c r="H2296" s="165">
        <v>1</v>
      </c>
      <c r="I2296" s="164" t="s">
        <v>187</v>
      </c>
      <c r="J2296" s="164" t="s">
        <v>222</v>
      </c>
      <c r="K2296" s="164" t="s">
        <v>223</v>
      </c>
      <c r="L2296" s="165">
        <v>4</v>
      </c>
      <c r="M2296" s="165">
        <v>6</v>
      </c>
      <c r="N2296" s="164" t="s">
        <v>189</v>
      </c>
      <c r="O2296" s="165">
        <v>0</v>
      </c>
      <c r="P2296" s="165">
        <v>0</v>
      </c>
      <c r="Q2296" s="165">
        <v>21</v>
      </c>
      <c r="R2296" s="164" t="s">
        <v>200</v>
      </c>
      <c r="S2296" s="164" t="s">
        <v>201</v>
      </c>
      <c r="T2296" s="165">
        <v>458</v>
      </c>
      <c r="U2296" s="164" t="s">
        <v>200</v>
      </c>
      <c r="V2296" s="164" t="s">
        <v>763</v>
      </c>
      <c r="W2296" s="165">
        <v>2</v>
      </c>
      <c r="X2296" s="165">
        <v>4</v>
      </c>
      <c r="Y2296" s="164" t="s">
        <v>203</v>
      </c>
      <c r="Z2296" s="164" t="s">
        <v>195</v>
      </c>
      <c r="AA2296" s="164" t="s">
        <v>196</v>
      </c>
      <c r="AB2296" s="164" t="s">
        <v>187</v>
      </c>
      <c r="AC2296" s="164" t="s">
        <v>187</v>
      </c>
      <c r="AD2296" s="165">
        <v>4</v>
      </c>
      <c r="AE2296" s="164" t="s">
        <v>187</v>
      </c>
      <c r="AF2296" s="165">
        <v>32.408966902834102</v>
      </c>
      <c r="AG2296" s="166">
        <v>74.6330760637845</v>
      </c>
      <c r="AO2296" s="121"/>
      <c r="AT2296" s="111"/>
      <c r="AX2296" s="121"/>
    </row>
    <row r="2297" spans="1:50" s="110" customFormat="1" ht="20" customHeight="1">
      <c r="A2297" s="125" t="s">
        <v>231</v>
      </c>
      <c r="B2297" s="126" t="s">
        <v>66</v>
      </c>
      <c r="C2297" s="127">
        <v>19914</v>
      </c>
      <c r="D2297" s="163">
        <v>115902</v>
      </c>
      <c r="E2297" s="164" t="s">
        <v>836</v>
      </c>
      <c r="F2297" s="164" t="s">
        <v>836</v>
      </c>
      <c r="G2297" s="165">
        <v>194000</v>
      </c>
      <c r="H2297" s="165">
        <v>1</v>
      </c>
      <c r="I2297" s="164" t="s">
        <v>187</v>
      </c>
      <c r="J2297" s="164" t="s">
        <v>222</v>
      </c>
      <c r="K2297" s="164" t="s">
        <v>223</v>
      </c>
      <c r="L2297" s="165">
        <v>4</v>
      </c>
      <c r="M2297" s="165">
        <v>6</v>
      </c>
      <c r="N2297" s="164" t="s">
        <v>189</v>
      </c>
      <c r="O2297" s="165">
        <v>0</v>
      </c>
      <c r="P2297" s="165">
        <v>0</v>
      </c>
      <c r="Q2297" s="165">
        <v>21</v>
      </c>
      <c r="R2297" s="164" t="s">
        <v>200</v>
      </c>
      <c r="S2297" s="164" t="s">
        <v>201</v>
      </c>
      <c r="T2297" s="165">
        <v>458</v>
      </c>
      <c r="U2297" s="164" t="s">
        <v>200</v>
      </c>
      <c r="V2297" s="164" t="s">
        <v>763</v>
      </c>
      <c r="W2297" s="165">
        <v>1</v>
      </c>
      <c r="X2297" s="165">
        <v>4</v>
      </c>
      <c r="Y2297" s="164" t="s">
        <v>203</v>
      </c>
      <c r="Z2297" s="164" t="s">
        <v>195</v>
      </c>
      <c r="AA2297" s="164" t="s">
        <v>196</v>
      </c>
      <c r="AB2297" s="164" t="s">
        <v>187</v>
      </c>
      <c r="AC2297" s="164" t="s">
        <v>187</v>
      </c>
      <c r="AD2297" s="165">
        <v>4</v>
      </c>
      <c r="AE2297" s="164" t="s">
        <v>187</v>
      </c>
      <c r="AF2297" s="165">
        <v>32.0979689350971</v>
      </c>
      <c r="AG2297" s="166">
        <v>74.220294617867296</v>
      </c>
      <c r="AO2297" s="121"/>
      <c r="AT2297" s="111"/>
      <c r="AX2297" s="121"/>
    </row>
    <row r="2298" spans="1:50" s="110" customFormat="1" ht="20" customHeight="1">
      <c r="A2298" s="125" t="s">
        <v>231</v>
      </c>
      <c r="B2298" s="126" t="s">
        <v>66</v>
      </c>
      <c r="C2298" s="127">
        <v>19902</v>
      </c>
      <c r="D2298" s="163">
        <v>115895</v>
      </c>
      <c r="E2298" s="164" t="s">
        <v>829</v>
      </c>
      <c r="F2298" s="164" t="s">
        <v>829</v>
      </c>
      <c r="G2298" s="165">
        <v>187000</v>
      </c>
      <c r="H2298" s="165">
        <v>1</v>
      </c>
      <c r="I2298" s="164" t="s">
        <v>187</v>
      </c>
      <c r="J2298" s="164" t="s">
        <v>222</v>
      </c>
      <c r="K2298" s="164" t="s">
        <v>223</v>
      </c>
      <c r="L2298" s="165">
        <v>4</v>
      </c>
      <c r="M2298" s="165">
        <v>6</v>
      </c>
      <c r="N2298" s="164" t="s">
        <v>189</v>
      </c>
      <c r="O2298" s="165">
        <v>0</v>
      </c>
      <c r="P2298" s="165">
        <v>0</v>
      </c>
      <c r="Q2298" s="165">
        <v>21</v>
      </c>
      <c r="R2298" s="164" t="s">
        <v>200</v>
      </c>
      <c r="S2298" s="164" t="s">
        <v>201</v>
      </c>
      <c r="T2298" s="165">
        <v>458</v>
      </c>
      <c r="U2298" s="164" t="s">
        <v>200</v>
      </c>
      <c r="V2298" s="164" t="s">
        <v>763</v>
      </c>
      <c r="W2298" s="165">
        <v>2</v>
      </c>
      <c r="X2298" s="165">
        <v>4</v>
      </c>
      <c r="Y2298" s="164" t="s">
        <v>203</v>
      </c>
      <c r="Z2298" s="164" t="s">
        <v>195</v>
      </c>
      <c r="AA2298" s="164" t="s">
        <v>196</v>
      </c>
      <c r="AB2298" s="164" t="s">
        <v>187</v>
      </c>
      <c r="AC2298" s="164" t="s">
        <v>187</v>
      </c>
      <c r="AD2298" s="165">
        <v>4</v>
      </c>
      <c r="AE2298" s="164" t="s">
        <v>187</v>
      </c>
      <c r="AF2298" s="165">
        <v>25.3137930475812</v>
      </c>
      <c r="AG2298" s="166">
        <v>69.155352491431898</v>
      </c>
      <c r="AO2298" s="121"/>
      <c r="AT2298" s="111"/>
      <c r="AX2298" s="121"/>
    </row>
    <row r="2299" spans="1:50" s="110" customFormat="1" ht="20" customHeight="1">
      <c r="A2299" s="125" t="s">
        <v>231</v>
      </c>
      <c r="B2299" s="126" t="s">
        <v>66</v>
      </c>
      <c r="C2299" s="127">
        <v>19862</v>
      </c>
      <c r="D2299" s="163">
        <v>115876</v>
      </c>
      <c r="E2299" s="164" t="s">
        <v>791</v>
      </c>
      <c r="F2299" s="164" t="s">
        <v>791</v>
      </c>
      <c r="G2299" s="165">
        <v>168000</v>
      </c>
      <c r="H2299" s="165">
        <v>1</v>
      </c>
      <c r="I2299" s="164" t="s">
        <v>187</v>
      </c>
      <c r="J2299" s="164" t="s">
        <v>222</v>
      </c>
      <c r="K2299" s="164" t="s">
        <v>223</v>
      </c>
      <c r="L2299" s="165">
        <v>4</v>
      </c>
      <c r="M2299" s="165">
        <v>6</v>
      </c>
      <c r="N2299" s="164" t="s">
        <v>189</v>
      </c>
      <c r="O2299" s="165">
        <v>0</v>
      </c>
      <c r="P2299" s="165">
        <v>0</v>
      </c>
      <c r="Q2299" s="165">
        <v>21</v>
      </c>
      <c r="R2299" s="164" t="s">
        <v>200</v>
      </c>
      <c r="S2299" s="164" t="s">
        <v>201</v>
      </c>
      <c r="T2299" s="165">
        <v>458</v>
      </c>
      <c r="U2299" s="164" t="s">
        <v>200</v>
      </c>
      <c r="V2299" s="164" t="s">
        <v>763</v>
      </c>
      <c r="W2299" s="165">
        <v>2</v>
      </c>
      <c r="X2299" s="165">
        <v>4</v>
      </c>
      <c r="Y2299" s="164" t="s">
        <v>203</v>
      </c>
      <c r="Z2299" s="164" t="s">
        <v>195</v>
      </c>
      <c r="AA2299" s="164" t="s">
        <v>196</v>
      </c>
      <c r="AB2299" s="164" t="s">
        <v>187</v>
      </c>
      <c r="AC2299" s="164" t="s">
        <v>187</v>
      </c>
      <c r="AD2299" s="165">
        <v>3</v>
      </c>
      <c r="AE2299" s="164" t="s">
        <v>187</v>
      </c>
      <c r="AF2299" s="165">
        <v>31.3526892066646</v>
      </c>
      <c r="AG2299" s="166">
        <v>73.248816253820493</v>
      </c>
      <c r="AO2299" s="121"/>
      <c r="AT2299" s="111"/>
      <c r="AX2299" s="121"/>
    </row>
    <row r="2300" spans="1:50" s="110" customFormat="1" ht="20" customHeight="1">
      <c r="A2300" s="125" t="s">
        <v>231</v>
      </c>
      <c r="B2300" s="126" t="s">
        <v>66</v>
      </c>
      <c r="C2300" s="127">
        <v>19837</v>
      </c>
      <c r="D2300" s="163">
        <v>115867</v>
      </c>
      <c r="E2300" s="164" t="s">
        <v>786</v>
      </c>
      <c r="F2300" s="164" t="s">
        <v>786</v>
      </c>
      <c r="G2300" s="165">
        <v>143000</v>
      </c>
      <c r="H2300" s="165">
        <v>1</v>
      </c>
      <c r="I2300" s="164" t="s">
        <v>187</v>
      </c>
      <c r="J2300" s="164" t="s">
        <v>222</v>
      </c>
      <c r="K2300" s="164" t="s">
        <v>223</v>
      </c>
      <c r="L2300" s="165">
        <v>4</v>
      </c>
      <c r="M2300" s="165">
        <v>6</v>
      </c>
      <c r="N2300" s="164" t="s">
        <v>189</v>
      </c>
      <c r="O2300" s="165">
        <v>0</v>
      </c>
      <c r="P2300" s="165">
        <v>0</v>
      </c>
      <c r="Q2300" s="165">
        <v>21</v>
      </c>
      <c r="R2300" s="164" t="s">
        <v>200</v>
      </c>
      <c r="S2300" s="164" t="s">
        <v>201</v>
      </c>
      <c r="T2300" s="165">
        <v>458</v>
      </c>
      <c r="U2300" s="164" t="s">
        <v>200</v>
      </c>
      <c r="V2300" s="164" t="s">
        <v>763</v>
      </c>
      <c r="W2300" s="165">
        <v>2</v>
      </c>
      <c r="X2300" s="165">
        <v>4</v>
      </c>
      <c r="Y2300" s="164" t="s">
        <v>203</v>
      </c>
      <c r="Z2300" s="164" t="s">
        <v>195</v>
      </c>
      <c r="AA2300" s="164" t="s">
        <v>196</v>
      </c>
      <c r="AB2300" s="164" t="s">
        <v>187</v>
      </c>
      <c r="AC2300" s="164" t="s">
        <v>187</v>
      </c>
      <c r="AD2300" s="165">
        <v>3</v>
      </c>
      <c r="AE2300" s="164" t="s">
        <v>187</v>
      </c>
      <c r="AF2300" s="165">
        <v>31.3588673423668</v>
      </c>
      <c r="AG2300" s="166">
        <v>73.247550090025399</v>
      </c>
      <c r="AO2300" s="121"/>
      <c r="AT2300" s="111"/>
      <c r="AX2300" s="121"/>
    </row>
    <row r="2301" spans="1:50" s="110" customFormat="1" ht="20" customHeight="1">
      <c r="A2301" s="125" t="s">
        <v>231</v>
      </c>
      <c r="B2301" s="126" t="s">
        <v>66</v>
      </c>
      <c r="C2301" s="127">
        <v>19828</v>
      </c>
      <c r="D2301" s="163">
        <v>115862</v>
      </c>
      <c r="E2301" s="164" t="s">
        <v>779</v>
      </c>
      <c r="F2301" s="164" t="s">
        <v>779</v>
      </c>
      <c r="G2301" s="165">
        <v>136000</v>
      </c>
      <c r="H2301" s="165">
        <v>1</v>
      </c>
      <c r="I2301" s="164" t="s">
        <v>187</v>
      </c>
      <c r="J2301" s="164" t="s">
        <v>222</v>
      </c>
      <c r="K2301" s="164" t="s">
        <v>223</v>
      </c>
      <c r="L2301" s="165">
        <v>4</v>
      </c>
      <c r="M2301" s="165">
        <v>6</v>
      </c>
      <c r="N2301" s="164" t="s">
        <v>189</v>
      </c>
      <c r="O2301" s="165">
        <v>0</v>
      </c>
      <c r="P2301" s="165">
        <v>0</v>
      </c>
      <c r="Q2301" s="165">
        <v>21</v>
      </c>
      <c r="R2301" s="164" t="s">
        <v>200</v>
      </c>
      <c r="S2301" s="164" t="s">
        <v>201</v>
      </c>
      <c r="T2301" s="165">
        <v>458</v>
      </c>
      <c r="U2301" s="164" t="s">
        <v>200</v>
      </c>
      <c r="V2301" s="164" t="s">
        <v>763</v>
      </c>
      <c r="W2301" s="165">
        <v>1</v>
      </c>
      <c r="X2301" s="165">
        <v>4</v>
      </c>
      <c r="Y2301" s="164" t="s">
        <v>203</v>
      </c>
      <c r="Z2301" s="164" t="s">
        <v>195</v>
      </c>
      <c r="AA2301" s="164" t="s">
        <v>196</v>
      </c>
      <c r="AB2301" s="164" t="s">
        <v>187</v>
      </c>
      <c r="AC2301" s="164" t="s">
        <v>187</v>
      </c>
      <c r="AD2301" s="165">
        <v>3</v>
      </c>
      <c r="AE2301" s="164" t="s">
        <v>187</v>
      </c>
      <c r="AF2301" s="165">
        <v>31.4471620003768</v>
      </c>
      <c r="AG2301" s="166">
        <v>72.379668728369495</v>
      </c>
      <c r="AO2301" s="121"/>
      <c r="AT2301" s="111"/>
      <c r="AX2301" s="121"/>
    </row>
    <row r="2302" spans="1:50" s="110" customFormat="1" ht="20" customHeight="1">
      <c r="A2302" s="125" t="s">
        <v>231</v>
      </c>
      <c r="B2302" s="126" t="s">
        <v>66</v>
      </c>
      <c r="C2302" s="127">
        <v>19991</v>
      </c>
      <c r="D2302" s="163">
        <v>115904</v>
      </c>
      <c r="E2302" s="164" t="s">
        <v>767</v>
      </c>
      <c r="F2302" s="164" t="s">
        <v>767</v>
      </c>
      <c r="G2302" s="165">
        <v>114000</v>
      </c>
      <c r="H2302" s="165">
        <v>1</v>
      </c>
      <c r="I2302" s="164" t="s">
        <v>187</v>
      </c>
      <c r="J2302" s="164" t="s">
        <v>222</v>
      </c>
      <c r="K2302" s="164" t="s">
        <v>223</v>
      </c>
      <c r="L2302" s="165">
        <v>4</v>
      </c>
      <c r="M2302" s="165">
        <v>6</v>
      </c>
      <c r="N2302" s="164" t="s">
        <v>189</v>
      </c>
      <c r="O2302" s="165">
        <v>0</v>
      </c>
      <c r="P2302" s="165">
        <v>0</v>
      </c>
      <c r="Q2302" s="165">
        <v>21</v>
      </c>
      <c r="R2302" s="164" t="s">
        <v>200</v>
      </c>
      <c r="S2302" s="164" t="s">
        <v>201</v>
      </c>
      <c r="T2302" s="165">
        <v>458</v>
      </c>
      <c r="U2302" s="164" t="s">
        <v>200</v>
      </c>
      <c r="V2302" s="164" t="s">
        <v>763</v>
      </c>
      <c r="W2302" s="165">
        <v>1</v>
      </c>
      <c r="X2302" s="165">
        <v>4</v>
      </c>
      <c r="Y2302" s="164" t="s">
        <v>203</v>
      </c>
      <c r="Z2302" s="164" t="s">
        <v>195</v>
      </c>
      <c r="AA2302" s="164" t="s">
        <v>196</v>
      </c>
      <c r="AB2302" s="164" t="s">
        <v>187</v>
      </c>
      <c r="AC2302" s="164" t="s">
        <v>187</v>
      </c>
      <c r="AD2302" s="165">
        <v>2</v>
      </c>
      <c r="AE2302" s="164" t="s">
        <v>187</v>
      </c>
      <c r="AF2302" s="165">
        <v>31.3614360427588</v>
      </c>
      <c r="AG2302" s="166">
        <v>73.248317280146907</v>
      </c>
      <c r="AO2302" s="121"/>
      <c r="AT2302" s="111"/>
      <c r="AX2302" s="121"/>
    </row>
    <row r="2303" spans="1:50" s="110" customFormat="1" ht="20" customHeight="1">
      <c r="A2303" s="125" t="s">
        <v>231</v>
      </c>
      <c r="B2303" s="126" t="s">
        <v>66</v>
      </c>
      <c r="C2303" s="127">
        <v>19779</v>
      </c>
      <c r="D2303" s="163">
        <v>115848</v>
      </c>
      <c r="E2303" s="164" t="s">
        <v>773</v>
      </c>
      <c r="F2303" s="164" t="s">
        <v>773</v>
      </c>
      <c r="G2303" s="165">
        <v>113000</v>
      </c>
      <c r="H2303" s="165">
        <v>1</v>
      </c>
      <c r="I2303" s="164" t="s">
        <v>187</v>
      </c>
      <c r="J2303" s="164" t="s">
        <v>222</v>
      </c>
      <c r="K2303" s="164" t="s">
        <v>223</v>
      </c>
      <c r="L2303" s="165">
        <v>4</v>
      </c>
      <c r="M2303" s="165">
        <v>6</v>
      </c>
      <c r="N2303" s="164" t="s">
        <v>189</v>
      </c>
      <c r="O2303" s="165">
        <v>0</v>
      </c>
      <c r="P2303" s="165">
        <v>0</v>
      </c>
      <c r="Q2303" s="165">
        <v>21</v>
      </c>
      <c r="R2303" s="164" t="s">
        <v>200</v>
      </c>
      <c r="S2303" s="164" t="s">
        <v>201</v>
      </c>
      <c r="T2303" s="165">
        <v>458</v>
      </c>
      <c r="U2303" s="164" t="s">
        <v>200</v>
      </c>
      <c r="V2303" s="164" t="s">
        <v>763</v>
      </c>
      <c r="W2303" s="165">
        <v>1</v>
      </c>
      <c r="X2303" s="165">
        <v>4</v>
      </c>
      <c r="Y2303" s="164" t="s">
        <v>203</v>
      </c>
      <c r="Z2303" s="164" t="s">
        <v>195</v>
      </c>
      <c r="AA2303" s="164" t="s">
        <v>196</v>
      </c>
      <c r="AB2303" s="164" t="s">
        <v>187</v>
      </c>
      <c r="AC2303" s="164" t="s">
        <v>187</v>
      </c>
      <c r="AD2303" s="165">
        <v>2</v>
      </c>
      <c r="AE2303" s="164" t="s">
        <v>187</v>
      </c>
      <c r="AF2303" s="165">
        <v>30.082564466235699</v>
      </c>
      <c r="AG2303" s="166">
        <v>71.452802155861704</v>
      </c>
      <c r="AO2303" s="121"/>
      <c r="AT2303" s="111"/>
      <c r="AX2303" s="121"/>
    </row>
    <row r="2304" spans="1:50" s="110" customFormat="1" ht="20" customHeight="1">
      <c r="A2304" s="125" t="s">
        <v>231</v>
      </c>
      <c r="B2304" s="126" t="s">
        <v>66</v>
      </c>
      <c r="C2304" s="127">
        <v>19859</v>
      </c>
      <c r="D2304" s="163">
        <v>115874</v>
      </c>
      <c r="E2304" s="164" t="s">
        <v>790</v>
      </c>
      <c r="F2304" s="164" t="s">
        <v>790</v>
      </c>
      <c r="G2304" s="165">
        <v>109000</v>
      </c>
      <c r="H2304" s="165">
        <v>1</v>
      </c>
      <c r="I2304" s="164" t="s">
        <v>187</v>
      </c>
      <c r="J2304" s="164" t="s">
        <v>222</v>
      </c>
      <c r="K2304" s="164" t="s">
        <v>223</v>
      </c>
      <c r="L2304" s="165">
        <v>4</v>
      </c>
      <c r="M2304" s="165">
        <v>6</v>
      </c>
      <c r="N2304" s="164" t="s">
        <v>189</v>
      </c>
      <c r="O2304" s="165">
        <v>0</v>
      </c>
      <c r="P2304" s="165">
        <v>0</v>
      </c>
      <c r="Q2304" s="165">
        <v>21</v>
      </c>
      <c r="R2304" s="164" t="s">
        <v>200</v>
      </c>
      <c r="S2304" s="164" t="s">
        <v>201</v>
      </c>
      <c r="T2304" s="165">
        <v>458</v>
      </c>
      <c r="U2304" s="164" t="s">
        <v>200</v>
      </c>
      <c r="V2304" s="164" t="s">
        <v>763</v>
      </c>
      <c r="W2304" s="165">
        <v>1</v>
      </c>
      <c r="X2304" s="165">
        <v>4</v>
      </c>
      <c r="Y2304" s="164" t="s">
        <v>203</v>
      </c>
      <c r="Z2304" s="164" t="s">
        <v>195</v>
      </c>
      <c r="AA2304" s="164" t="s">
        <v>196</v>
      </c>
      <c r="AB2304" s="164" t="s">
        <v>187</v>
      </c>
      <c r="AC2304" s="164" t="s">
        <v>187</v>
      </c>
      <c r="AD2304" s="165">
        <v>2</v>
      </c>
      <c r="AE2304" s="164" t="s">
        <v>187</v>
      </c>
      <c r="AF2304" s="165">
        <v>32.4081096000141</v>
      </c>
      <c r="AG2304" s="166">
        <v>74.637157081786697</v>
      </c>
      <c r="AO2304" s="121"/>
      <c r="AT2304" s="111"/>
      <c r="AX2304" s="121"/>
    </row>
    <row r="2305" spans="1:50" s="110" customFormat="1" ht="20" customHeight="1">
      <c r="A2305" s="125" t="s">
        <v>231</v>
      </c>
      <c r="B2305" s="126" t="s">
        <v>66</v>
      </c>
      <c r="C2305" s="127">
        <v>20043</v>
      </c>
      <c r="D2305" s="163">
        <v>115933</v>
      </c>
      <c r="E2305" s="164" t="s">
        <v>833</v>
      </c>
      <c r="F2305" s="164" t="s">
        <v>833</v>
      </c>
      <c r="G2305" s="165">
        <v>107000</v>
      </c>
      <c r="H2305" s="165">
        <v>1</v>
      </c>
      <c r="I2305" s="164" t="s">
        <v>187</v>
      </c>
      <c r="J2305" s="164" t="s">
        <v>222</v>
      </c>
      <c r="K2305" s="164" t="s">
        <v>223</v>
      </c>
      <c r="L2305" s="165">
        <v>4</v>
      </c>
      <c r="M2305" s="165">
        <v>6</v>
      </c>
      <c r="N2305" s="164" t="s">
        <v>189</v>
      </c>
      <c r="O2305" s="165">
        <v>0</v>
      </c>
      <c r="P2305" s="165">
        <v>0</v>
      </c>
      <c r="Q2305" s="165">
        <v>21</v>
      </c>
      <c r="R2305" s="164" t="s">
        <v>200</v>
      </c>
      <c r="S2305" s="164" t="s">
        <v>201</v>
      </c>
      <c r="T2305" s="165">
        <v>458</v>
      </c>
      <c r="U2305" s="164" t="s">
        <v>200</v>
      </c>
      <c r="V2305" s="164" t="s">
        <v>763</v>
      </c>
      <c r="W2305" s="165">
        <v>1</v>
      </c>
      <c r="X2305" s="165">
        <v>4</v>
      </c>
      <c r="Y2305" s="164" t="s">
        <v>203</v>
      </c>
      <c r="Z2305" s="164" t="s">
        <v>195</v>
      </c>
      <c r="AA2305" s="164" t="s">
        <v>196</v>
      </c>
      <c r="AB2305" s="164" t="s">
        <v>187</v>
      </c>
      <c r="AC2305" s="164" t="s">
        <v>187</v>
      </c>
      <c r="AD2305" s="165">
        <v>2</v>
      </c>
      <c r="AE2305" s="164" t="s">
        <v>187</v>
      </c>
      <c r="AF2305" s="165">
        <v>30.076690517038699</v>
      </c>
      <c r="AG2305" s="166">
        <v>71.457590097210499</v>
      </c>
      <c r="AO2305" s="121"/>
      <c r="AT2305" s="111"/>
      <c r="AX2305" s="121"/>
    </row>
    <row r="2306" spans="1:50" s="110" customFormat="1" ht="20" customHeight="1">
      <c r="A2306" s="125" t="s">
        <v>231</v>
      </c>
      <c r="B2306" s="126" t="s">
        <v>66</v>
      </c>
      <c r="C2306" s="127">
        <v>19835</v>
      </c>
      <c r="D2306" s="163">
        <v>115865</v>
      </c>
      <c r="E2306" s="164" t="s">
        <v>784</v>
      </c>
      <c r="F2306" s="164" t="s">
        <v>784</v>
      </c>
      <c r="G2306" s="165">
        <v>102000</v>
      </c>
      <c r="H2306" s="165">
        <v>1</v>
      </c>
      <c r="I2306" s="164" t="s">
        <v>187</v>
      </c>
      <c r="J2306" s="164" t="s">
        <v>219</v>
      </c>
      <c r="K2306" s="164" t="s">
        <v>220</v>
      </c>
      <c r="L2306" s="165">
        <v>5</v>
      </c>
      <c r="M2306" s="165">
        <v>6</v>
      </c>
      <c r="N2306" s="164" t="s">
        <v>189</v>
      </c>
      <c r="O2306" s="165">
        <v>0</v>
      </c>
      <c r="P2306" s="165">
        <v>0</v>
      </c>
      <c r="Q2306" s="165">
        <v>21</v>
      </c>
      <c r="R2306" s="164" t="s">
        <v>200</v>
      </c>
      <c r="S2306" s="164" t="s">
        <v>201</v>
      </c>
      <c r="T2306" s="165">
        <v>458</v>
      </c>
      <c r="U2306" s="164" t="s">
        <v>200</v>
      </c>
      <c r="V2306" s="164" t="s">
        <v>763</v>
      </c>
      <c r="W2306" s="165">
        <v>2</v>
      </c>
      <c r="X2306" s="165">
        <v>4</v>
      </c>
      <c r="Y2306" s="164" t="s">
        <v>203</v>
      </c>
      <c r="Z2306" s="164" t="s">
        <v>195</v>
      </c>
      <c r="AA2306" s="164" t="s">
        <v>196</v>
      </c>
      <c r="AB2306" s="164" t="s">
        <v>187</v>
      </c>
      <c r="AC2306" s="164" t="s">
        <v>187</v>
      </c>
      <c r="AD2306" s="165">
        <v>2</v>
      </c>
      <c r="AE2306" s="164" t="s">
        <v>187</v>
      </c>
      <c r="AF2306" s="165">
        <v>25.315905521873901</v>
      </c>
      <c r="AG2306" s="166">
        <v>69.158608349015097</v>
      </c>
      <c r="AO2306" s="121"/>
      <c r="AT2306" s="111"/>
      <c r="AX2306" s="121"/>
    </row>
    <row r="2307" spans="1:50" s="110" customFormat="1" ht="20" customHeight="1">
      <c r="A2307" s="125" t="s">
        <v>231</v>
      </c>
      <c r="B2307" s="126" t="s">
        <v>66</v>
      </c>
      <c r="C2307" s="127">
        <v>20038</v>
      </c>
      <c r="D2307" s="163">
        <v>115928</v>
      </c>
      <c r="E2307" s="164" t="s">
        <v>795</v>
      </c>
      <c r="F2307" s="164" t="s">
        <v>795</v>
      </c>
      <c r="G2307" s="165">
        <v>95000</v>
      </c>
      <c r="H2307" s="165">
        <v>1</v>
      </c>
      <c r="I2307" s="164" t="s">
        <v>187</v>
      </c>
      <c r="J2307" s="164" t="s">
        <v>222</v>
      </c>
      <c r="K2307" s="164" t="s">
        <v>223</v>
      </c>
      <c r="L2307" s="165">
        <v>4</v>
      </c>
      <c r="M2307" s="165">
        <v>6</v>
      </c>
      <c r="N2307" s="164" t="s">
        <v>189</v>
      </c>
      <c r="O2307" s="165">
        <v>0</v>
      </c>
      <c r="P2307" s="165">
        <v>0</v>
      </c>
      <c r="Q2307" s="165">
        <v>21</v>
      </c>
      <c r="R2307" s="164" t="s">
        <v>200</v>
      </c>
      <c r="S2307" s="164" t="s">
        <v>201</v>
      </c>
      <c r="T2307" s="165">
        <v>458</v>
      </c>
      <c r="U2307" s="164" t="s">
        <v>200</v>
      </c>
      <c r="V2307" s="164" t="s">
        <v>763</v>
      </c>
      <c r="W2307" s="165">
        <v>1</v>
      </c>
      <c r="X2307" s="165">
        <v>4</v>
      </c>
      <c r="Y2307" s="164" t="s">
        <v>203</v>
      </c>
      <c r="Z2307" s="164" t="s">
        <v>195</v>
      </c>
      <c r="AA2307" s="164" t="s">
        <v>196</v>
      </c>
      <c r="AB2307" s="164" t="s">
        <v>187</v>
      </c>
      <c r="AC2307" s="164" t="s">
        <v>187</v>
      </c>
      <c r="AD2307" s="165">
        <v>2</v>
      </c>
      <c r="AE2307" s="164" t="s">
        <v>187</v>
      </c>
      <c r="AF2307" s="165">
        <v>32.102147994929503</v>
      </c>
      <c r="AG2307" s="166">
        <v>74.220831311321007</v>
      </c>
      <c r="AO2307" s="121"/>
      <c r="AT2307" s="111"/>
      <c r="AX2307" s="121"/>
    </row>
    <row r="2308" spans="1:50" s="110" customFormat="1" ht="20" customHeight="1">
      <c r="A2308" s="125" t="s">
        <v>231</v>
      </c>
      <c r="B2308" s="126" t="s">
        <v>66</v>
      </c>
      <c r="C2308" s="127">
        <v>20040</v>
      </c>
      <c r="D2308" s="163">
        <v>115930</v>
      </c>
      <c r="E2308" s="164" t="s">
        <v>828</v>
      </c>
      <c r="F2308" s="164" t="s">
        <v>828</v>
      </c>
      <c r="G2308" s="165">
        <v>95000</v>
      </c>
      <c r="H2308" s="165">
        <v>1</v>
      </c>
      <c r="I2308" s="164" t="s">
        <v>187</v>
      </c>
      <c r="J2308" s="164" t="s">
        <v>222</v>
      </c>
      <c r="K2308" s="164" t="s">
        <v>223</v>
      </c>
      <c r="L2308" s="165">
        <v>4</v>
      </c>
      <c r="M2308" s="165">
        <v>6</v>
      </c>
      <c r="N2308" s="164" t="s">
        <v>189</v>
      </c>
      <c r="O2308" s="165">
        <v>0</v>
      </c>
      <c r="P2308" s="165">
        <v>0</v>
      </c>
      <c r="Q2308" s="165">
        <v>21</v>
      </c>
      <c r="R2308" s="164" t="s">
        <v>200</v>
      </c>
      <c r="S2308" s="164" t="s">
        <v>201</v>
      </c>
      <c r="T2308" s="165">
        <v>458</v>
      </c>
      <c r="U2308" s="164" t="s">
        <v>200</v>
      </c>
      <c r="V2308" s="164" t="s">
        <v>763</v>
      </c>
      <c r="W2308" s="165">
        <v>1</v>
      </c>
      <c r="X2308" s="165">
        <v>4</v>
      </c>
      <c r="Y2308" s="164" t="s">
        <v>203</v>
      </c>
      <c r="Z2308" s="164" t="s">
        <v>195</v>
      </c>
      <c r="AA2308" s="164" t="s">
        <v>196</v>
      </c>
      <c r="AB2308" s="164" t="s">
        <v>187</v>
      </c>
      <c r="AC2308" s="164" t="s">
        <v>187</v>
      </c>
      <c r="AD2308" s="165">
        <v>2</v>
      </c>
      <c r="AE2308" s="164" t="s">
        <v>187</v>
      </c>
      <c r="AF2308" s="165">
        <v>30.078043006612699</v>
      </c>
      <c r="AG2308" s="166">
        <v>71.016693787711205</v>
      </c>
      <c r="AO2308" s="121"/>
      <c r="AT2308" s="111"/>
      <c r="AX2308" s="121"/>
    </row>
    <row r="2309" spans="1:50" s="110" customFormat="1" ht="20" customHeight="1">
      <c r="A2309" s="125" t="s">
        <v>231</v>
      </c>
      <c r="B2309" s="126" t="s">
        <v>66</v>
      </c>
      <c r="C2309" s="127">
        <v>20466</v>
      </c>
      <c r="D2309" s="163">
        <v>115926</v>
      </c>
      <c r="E2309" s="164" t="s">
        <v>778</v>
      </c>
      <c r="F2309" s="164" t="s">
        <v>778</v>
      </c>
      <c r="G2309" s="165">
        <v>93000</v>
      </c>
      <c r="H2309" s="165">
        <v>1</v>
      </c>
      <c r="I2309" s="164" t="s">
        <v>187</v>
      </c>
      <c r="J2309" s="164" t="s">
        <v>222</v>
      </c>
      <c r="K2309" s="164" t="s">
        <v>223</v>
      </c>
      <c r="L2309" s="165">
        <v>4</v>
      </c>
      <c r="M2309" s="165">
        <v>6</v>
      </c>
      <c r="N2309" s="164" t="s">
        <v>189</v>
      </c>
      <c r="O2309" s="165">
        <v>0</v>
      </c>
      <c r="P2309" s="165">
        <v>0</v>
      </c>
      <c r="Q2309" s="165">
        <v>21</v>
      </c>
      <c r="R2309" s="164" t="s">
        <v>200</v>
      </c>
      <c r="S2309" s="164" t="s">
        <v>201</v>
      </c>
      <c r="T2309" s="165">
        <v>458</v>
      </c>
      <c r="U2309" s="164" t="s">
        <v>200</v>
      </c>
      <c r="V2309" s="164" t="s">
        <v>763</v>
      </c>
      <c r="W2309" s="165">
        <v>1</v>
      </c>
      <c r="X2309" s="165">
        <v>4</v>
      </c>
      <c r="Y2309" s="164" t="s">
        <v>203</v>
      </c>
      <c r="Z2309" s="164" t="s">
        <v>195</v>
      </c>
      <c r="AA2309" s="164" t="s">
        <v>196</v>
      </c>
      <c r="AB2309" s="164" t="s">
        <v>187</v>
      </c>
      <c r="AC2309" s="164" t="s">
        <v>187</v>
      </c>
      <c r="AD2309" s="165">
        <v>2</v>
      </c>
      <c r="AE2309" s="164" t="s">
        <v>187</v>
      </c>
      <c r="AF2309" s="165">
        <v>32.088183999999998</v>
      </c>
      <c r="AG2309" s="166">
        <v>72.679648999999998</v>
      </c>
      <c r="AO2309" s="121"/>
      <c r="AT2309" s="111"/>
      <c r="AX2309" s="121"/>
    </row>
    <row r="2310" spans="1:50" s="110" customFormat="1" ht="20" customHeight="1">
      <c r="A2310" s="125" t="s">
        <v>231</v>
      </c>
      <c r="B2310" s="126" t="s">
        <v>66</v>
      </c>
      <c r="C2310" s="127">
        <v>19836</v>
      </c>
      <c r="D2310" s="163">
        <v>115866</v>
      </c>
      <c r="E2310" s="164" t="s">
        <v>785</v>
      </c>
      <c r="F2310" s="164" t="s">
        <v>785</v>
      </c>
      <c r="G2310" s="165">
        <v>93000</v>
      </c>
      <c r="H2310" s="165">
        <v>1</v>
      </c>
      <c r="I2310" s="164" t="s">
        <v>187</v>
      </c>
      <c r="J2310" s="164" t="s">
        <v>222</v>
      </c>
      <c r="K2310" s="164" t="s">
        <v>223</v>
      </c>
      <c r="L2310" s="165">
        <v>4</v>
      </c>
      <c r="M2310" s="165">
        <v>6</v>
      </c>
      <c r="N2310" s="164" t="s">
        <v>189</v>
      </c>
      <c r="O2310" s="165">
        <v>0</v>
      </c>
      <c r="P2310" s="165">
        <v>0</v>
      </c>
      <c r="Q2310" s="165">
        <v>21</v>
      </c>
      <c r="R2310" s="164" t="s">
        <v>200</v>
      </c>
      <c r="S2310" s="164" t="s">
        <v>201</v>
      </c>
      <c r="T2310" s="165">
        <v>458</v>
      </c>
      <c r="U2310" s="164" t="s">
        <v>200</v>
      </c>
      <c r="V2310" s="164" t="s">
        <v>763</v>
      </c>
      <c r="W2310" s="165">
        <v>2</v>
      </c>
      <c r="X2310" s="165">
        <v>4</v>
      </c>
      <c r="Y2310" s="164" t="s">
        <v>203</v>
      </c>
      <c r="Z2310" s="164" t="s">
        <v>195</v>
      </c>
      <c r="AA2310" s="164" t="s">
        <v>196</v>
      </c>
      <c r="AB2310" s="164" t="s">
        <v>187</v>
      </c>
      <c r="AC2310" s="164" t="s">
        <v>187</v>
      </c>
      <c r="AD2310" s="165">
        <v>2</v>
      </c>
      <c r="AE2310" s="164" t="s">
        <v>187</v>
      </c>
      <c r="AF2310" s="165">
        <v>32.681088188251202</v>
      </c>
      <c r="AG2310" s="166">
        <v>71.534570967570005</v>
      </c>
      <c r="AO2310" s="121"/>
      <c r="AT2310" s="111"/>
      <c r="AX2310" s="121"/>
    </row>
    <row r="2311" spans="1:50" s="110" customFormat="1" ht="20" customHeight="1">
      <c r="A2311" s="125" t="s">
        <v>231</v>
      </c>
      <c r="B2311" s="126" t="s">
        <v>66</v>
      </c>
      <c r="C2311" s="127">
        <v>19884</v>
      </c>
      <c r="D2311" s="163">
        <v>115886</v>
      </c>
      <c r="E2311" s="164" t="s">
        <v>812</v>
      </c>
      <c r="F2311" s="164" t="s">
        <v>812</v>
      </c>
      <c r="G2311" s="165">
        <v>89000</v>
      </c>
      <c r="H2311" s="165">
        <v>1</v>
      </c>
      <c r="I2311" s="164" t="s">
        <v>187</v>
      </c>
      <c r="J2311" s="164" t="s">
        <v>222</v>
      </c>
      <c r="K2311" s="164" t="s">
        <v>223</v>
      </c>
      <c r="L2311" s="165">
        <v>4</v>
      </c>
      <c r="M2311" s="165">
        <v>6</v>
      </c>
      <c r="N2311" s="164" t="s">
        <v>189</v>
      </c>
      <c r="O2311" s="165">
        <v>0</v>
      </c>
      <c r="P2311" s="165">
        <v>0</v>
      </c>
      <c r="Q2311" s="165">
        <v>21</v>
      </c>
      <c r="R2311" s="164" t="s">
        <v>200</v>
      </c>
      <c r="S2311" s="164" t="s">
        <v>201</v>
      </c>
      <c r="T2311" s="165">
        <v>458</v>
      </c>
      <c r="U2311" s="164" t="s">
        <v>200</v>
      </c>
      <c r="V2311" s="164" t="s">
        <v>763</v>
      </c>
      <c r="W2311" s="165">
        <v>2</v>
      </c>
      <c r="X2311" s="165">
        <v>4</v>
      </c>
      <c r="Y2311" s="164" t="s">
        <v>203</v>
      </c>
      <c r="Z2311" s="164" t="s">
        <v>195</v>
      </c>
      <c r="AA2311" s="164" t="s">
        <v>196</v>
      </c>
      <c r="AB2311" s="164" t="s">
        <v>187</v>
      </c>
      <c r="AC2311" s="164" t="s">
        <v>187</v>
      </c>
      <c r="AD2311" s="165">
        <v>2</v>
      </c>
      <c r="AE2311" s="164" t="s">
        <v>187</v>
      </c>
      <c r="AF2311" s="165">
        <v>32.0997711956568</v>
      </c>
      <c r="AG2311" s="166">
        <v>74.220561932514997</v>
      </c>
      <c r="AO2311" s="121"/>
      <c r="AT2311" s="111"/>
      <c r="AX2311" s="121"/>
    </row>
    <row r="2312" spans="1:50" s="110" customFormat="1" ht="20" customHeight="1">
      <c r="A2312" s="125" t="s">
        <v>231</v>
      </c>
      <c r="B2312" s="126" t="s">
        <v>66</v>
      </c>
      <c r="C2312" s="127">
        <v>20035</v>
      </c>
      <c r="D2312" s="163">
        <v>115925</v>
      </c>
      <c r="E2312" s="164" t="s">
        <v>775</v>
      </c>
      <c r="F2312" s="164" t="s">
        <v>775</v>
      </c>
      <c r="G2312" s="165">
        <v>87000</v>
      </c>
      <c r="H2312" s="165">
        <v>1</v>
      </c>
      <c r="I2312" s="164" t="s">
        <v>187</v>
      </c>
      <c r="J2312" s="164" t="s">
        <v>222</v>
      </c>
      <c r="K2312" s="164" t="s">
        <v>223</v>
      </c>
      <c r="L2312" s="165">
        <v>4</v>
      </c>
      <c r="M2312" s="165">
        <v>6</v>
      </c>
      <c r="N2312" s="164" t="s">
        <v>189</v>
      </c>
      <c r="O2312" s="165">
        <v>0</v>
      </c>
      <c r="P2312" s="165">
        <v>0</v>
      </c>
      <c r="Q2312" s="165">
        <v>21</v>
      </c>
      <c r="R2312" s="164" t="s">
        <v>200</v>
      </c>
      <c r="S2312" s="164" t="s">
        <v>201</v>
      </c>
      <c r="T2312" s="165">
        <v>458</v>
      </c>
      <c r="U2312" s="164" t="s">
        <v>200</v>
      </c>
      <c r="V2312" s="164" t="s">
        <v>763</v>
      </c>
      <c r="W2312" s="165">
        <v>1</v>
      </c>
      <c r="X2312" s="165">
        <v>4</v>
      </c>
      <c r="Y2312" s="164" t="s">
        <v>203</v>
      </c>
      <c r="Z2312" s="164" t="s">
        <v>195</v>
      </c>
      <c r="AA2312" s="164" t="s">
        <v>196</v>
      </c>
      <c r="AB2312" s="164" t="s">
        <v>187</v>
      </c>
      <c r="AC2312" s="164" t="s">
        <v>187</v>
      </c>
      <c r="AD2312" s="165">
        <v>2</v>
      </c>
      <c r="AE2312" s="164" t="s">
        <v>187</v>
      </c>
      <c r="AF2312" s="165">
        <v>28.466007301075599</v>
      </c>
      <c r="AG2312" s="166">
        <v>70.4804957977925</v>
      </c>
      <c r="AO2312" s="121"/>
      <c r="AT2312" s="111"/>
      <c r="AX2312" s="121"/>
    </row>
    <row r="2313" spans="1:50" s="110" customFormat="1" ht="20" customHeight="1">
      <c r="A2313" s="125" t="s">
        <v>231</v>
      </c>
      <c r="B2313" s="126" t="s">
        <v>66</v>
      </c>
      <c r="C2313" s="127">
        <v>19871</v>
      </c>
      <c r="D2313" s="163">
        <v>115879</v>
      </c>
      <c r="E2313" s="164" t="s">
        <v>792</v>
      </c>
      <c r="F2313" s="164" t="s">
        <v>792</v>
      </c>
      <c r="G2313" s="165">
        <v>80000</v>
      </c>
      <c r="H2313" s="165">
        <v>1</v>
      </c>
      <c r="I2313" s="164" t="s">
        <v>187</v>
      </c>
      <c r="J2313" s="164" t="s">
        <v>222</v>
      </c>
      <c r="K2313" s="164" t="s">
        <v>223</v>
      </c>
      <c r="L2313" s="165">
        <v>4</v>
      </c>
      <c r="M2313" s="165">
        <v>6</v>
      </c>
      <c r="N2313" s="164" t="s">
        <v>189</v>
      </c>
      <c r="O2313" s="165">
        <v>0</v>
      </c>
      <c r="P2313" s="165">
        <v>0</v>
      </c>
      <c r="Q2313" s="165">
        <v>21</v>
      </c>
      <c r="R2313" s="164" t="s">
        <v>200</v>
      </c>
      <c r="S2313" s="164" t="s">
        <v>201</v>
      </c>
      <c r="T2313" s="165">
        <v>458</v>
      </c>
      <c r="U2313" s="164" t="s">
        <v>200</v>
      </c>
      <c r="V2313" s="164" t="s">
        <v>763</v>
      </c>
      <c r="W2313" s="165">
        <v>1</v>
      </c>
      <c r="X2313" s="165">
        <v>4</v>
      </c>
      <c r="Y2313" s="164" t="s">
        <v>203</v>
      </c>
      <c r="Z2313" s="164" t="s">
        <v>195</v>
      </c>
      <c r="AA2313" s="164" t="s">
        <v>196</v>
      </c>
      <c r="AB2313" s="164" t="s">
        <v>187</v>
      </c>
      <c r="AC2313" s="164" t="s">
        <v>187</v>
      </c>
      <c r="AD2313" s="165">
        <v>2</v>
      </c>
      <c r="AE2313" s="164" t="s">
        <v>187</v>
      </c>
      <c r="AF2313" s="165">
        <v>32.097187659692203</v>
      </c>
      <c r="AG2313" s="166">
        <v>74.228335501097504</v>
      </c>
      <c r="AO2313" s="121"/>
      <c r="AT2313" s="111"/>
      <c r="AX2313" s="121"/>
    </row>
    <row r="2314" spans="1:50" s="110" customFormat="1" ht="20" customHeight="1">
      <c r="A2314" s="125" t="s">
        <v>231</v>
      </c>
      <c r="B2314" s="126" t="s">
        <v>66</v>
      </c>
      <c r="C2314" s="127">
        <v>19825</v>
      </c>
      <c r="D2314" s="163">
        <v>115860</v>
      </c>
      <c r="E2314" s="164" t="s">
        <v>776</v>
      </c>
      <c r="F2314" s="164" t="s">
        <v>776</v>
      </c>
      <c r="G2314" s="165">
        <v>79000</v>
      </c>
      <c r="H2314" s="165">
        <v>1</v>
      </c>
      <c r="I2314" s="164" t="s">
        <v>187</v>
      </c>
      <c r="J2314" s="164" t="s">
        <v>222</v>
      </c>
      <c r="K2314" s="164" t="s">
        <v>223</v>
      </c>
      <c r="L2314" s="165">
        <v>4</v>
      </c>
      <c r="M2314" s="165">
        <v>6</v>
      </c>
      <c r="N2314" s="164" t="s">
        <v>189</v>
      </c>
      <c r="O2314" s="165">
        <v>0</v>
      </c>
      <c r="P2314" s="165">
        <v>0</v>
      </c>
      <c r="Q2314" s="165">
        <v>21</v>
      </c>
      <c r="R2314" s="164" t="s">
        <v>200</v>
      </c>
      <c r="S2314" s="164" t="s">
        <v>201</v>
      </c>
      <c r="T2314" s="165">
        <v>458</v>
      </c>
      <c r="U2314" s="164" t="s">
        <v>200</v>
      </c>
      <c r="V2314" s="164" t="s">
        <v>763</v>
      </c>
      <c r="W2314" s="165">
        <v>2</v>
      </c>
      <c r="X2314" s="165">
        <v>4</v>
      </c>
      <c r="Y2314" s="164" t="s">
        <v>203</v>
      </c>
      <c r="Z2314" s="164" t="s">
        <v>195</v>
      </c>
      <c r="AA2314" s="164" t="s">
        <v>196</v>
      </c>
      <c r="AB2314" s="164" t="s">
        <v>187</v>
      </c>
      <c r="AC2314" s="164" t="s">
        <v>187</v>
      </c>
      <c r="AD2314" s="165">
        <v>2</v>
      </c>
      <c r="AE2314" s="164" t="s">
        <v>187</v>
      </c>
      <c r="AF2314" s="165">
        <v>31.352106974246201</v>
      </c>
      <c r="AG2314" s="166">
        <v>73.250679761019398</v>
      </c>
      <c r="AO2314" s="121"/>
      <c r="AT2314" s="111"/>
      <c r="AX2314" s="121"/>
    </row>
    <row r="2315" spans="1:50" s="110" customFormat="1" ht="20" customHeight="1">
      <c r="A2315" s="125" t="s">
        <v>231</v>
      </c>
      <c r="B2315" s="126" t="s">
        <v>66</v>
      </c>
      <c r="C2315" s="127">
        <v>20034</v>
      </c>
      <c r="D2315" s="163">
        <v>115924</v>
      </c>
      <c r="E2315" s="164" t="s">
        <v>772</v>
      </c>
      <c r="F2315" s="164" t="s">
        <v>772</v>
      </c>
      <c r="G2315" s="165">
        <v>76000</v>
      </c>
      <c r="H2315" s="165">
        <v>1</v>
      </c>
      <c r="I2315" s="164" t="s">
        <v>187</v>
      </c>
      <c r="J2315" s="164" t="s">
        <v>222</v>
      </c>
      <c r="K2315" s="164" t="s">
        <v>223</v>
      </c>
      <c r="L2315" s="165">
        <v>4</v>
      </c>
      <c r="M2315" s="165">
        <v>6</v>
      </c>
      <c r="N2315" s="164" t="s">
        <v>189</v>
      </c>
      <c r="O2315" s="165">
        <v>0</v>
      </c>
      <c r="P2315" s="165">
        <v>0</v>
      </c>
      <c r="Q2315" s="165">
        <v>21</v>
      </c>
      <c r="R2315" s="164" t="s">
        <v>200</v>
      </c>
      <c r="S2315" s="164" t="s">
        <v>201</v>
      </c>
      <c r="T2315" s="165">
        <v>458</v>
      </c>
      <c r="U2315" s="164" t="s">
        <v>200</v>
      </c>
      <c r="V2315" s="164" t="s">
        <v>763</v>
      </c>
      <c r="W2315" s="165">
        <v>1</v>
      </c>
      <c r="X2315" s="165">
        <v>4</v>
      </c>
      <c r="Y2315" s="164" t="s">
        <v>203</v>
      </c>
      <c r="Z2315" s="164" t="s">
        <v>195</v>
      </c>
      <c r="AA2315" s="164" t="s">
        <v>196</v>
      </c>
      <c r="AB2315" s="164" t="s">
        <v>187</v>
      </c>
      <c r="AC2315" s="164" t="s">
        <v>187</v>
      </c>
      <c r="AD2315" s="165">
        <v>2</v>
      </c>
      <c r="AE2315" s="164" t="s">
        <v>187</v>
      </c>
      <c r="AF2315" s="165">
        <v>32.187485708724402</v>
      </c>
      <c r="AG2315" s="166">
        <v>72.823139070653895</v>
      </c>
      <c r="AO2315" s="121"/>
      <c r="AT2315" s="111"/>
      <c r="AX2315" s="121"/>
    </row>
    <row r="2316" spans="1:50" s="110" customFormat="1" ht="20" customHeight="1">
      <c r="A2316" s="125" t="s">
        <v>231</v>
      </c>
      <c r="B2316" s="126" t="s">
        <v>66</v>
      </c>
      <c r="C2316" s="127">
        <v>20041</v>
      </c>
      <c r="D2316" s="163">
        <v>115931</v>
      </c>
      <c r="E2316" s="164" t="s">
        <v>831</v>
      </c>
      <c r="F2316" s="164" t="s">
        <v>831</v>
      </c>
      <c r="G2316" s="165">
        <v>75000</v>
      </c>
      <c r="H2316" s="165">
        <v>1</v>
      </c>
      <c r="I2316" s="164" t="s">
        <v>187</v>
      </c>
      <c r="J2316" s="164" t="s">
        <v>222</v>
      </c>
      <c r="K2316" s="164" t="s">
        <v>223</v>
      </c>
      <c r="L2316" s="165">
        <v>4</v>
      </c>
      <c r="M2316" s="165">
        <v>6</v>
      </c>
      <c r="N2316" s="164" t="s">
        <v>189</v>
      </c>
      <c r="O2316" s="165">
        <v>0</v>
      </c>
      <c r="P2316" s="165">
        <v>0</v>
      </c>
      <c r="Q2316" s="165">
        <v>21</v>
      </c>
      <c r="R2316" s="164" t="s">
        <v>200</v>
      </c>
      <c r="S2316" s="164" t="s">
        <v>201</v>
      </c>
      <c r="T2316" s="165">
        <v>458</v>
      </c>
      <c r="U2316" s="164" t="s">
        <v>200</v>
      </c>
      <c r="V2316" s="164" t="s">
        <v>763</v>
      </c>
      <c r="W2316" s="165">
        <v>1</v>
      </c>
      <c r="X2316" s="165">
        <v>4</v>
      </c>
      <c r="Y2316" s="164" t="s">
        <v>203</v>
      </c>
      <c r="Z2316" s="164" t="s">
        <v>195</v>
      </c>
      <c r="AA2316" s="164" t="s">
        <v>196</v>
      </c>
      <c r="AB2316" s="164" t="s">
        <v>187</v>
      </c>
      <c r="AC2316" s="164" t="s">
        <v>187</v>
      </c>
      <c r="AD2316" s="165">
        <v>2</v>
      </c>
      <c r="AE2316" s="164" t="s">
        <v>187</v>
      </c>
      <c r="AF2316" s="165">
        <v>31.358820232219401</v>
      </c>
      <c r="AG2316" s="166">
        <v>73.244899024932494</v>
      </c>
      <c r="AO2316" s="121"/>
      <c r="AT2316" s="111"/>
      <c r="AX2316" s="121"/>
    </row>
    <row r="2317" spans="1:50" s="110" customFormat="1" ht="20" customHeight="1">
      <c r="A2317" s="125" t="s">
        <v>231</v>
      </c>
      <c r="B2317" s="126" t="s">
        <v>66</v>
      </c>
      <c r="C2317" s="127">
        <v>19899</v>
      </c>
      <c r="D2317" s="163">
        <v>115892</v>
      </c>
      <c r="E2317" s="164" t="s">
        <v>827</v>
      </c>
      <c r="F2317" s="164" t="s">
        <v>827</v>
      </c>
      <c r="G2317" s="165">
        <v>69000</v>
      </c>
      <c r="H2317" s="165">
        <v>1</v>
      </c>
      <c r="I2317" s="164" t="s">
        <v>187</v>
      </c>
      <c r="J2317" s="164" t="s">
        <v>222</v>
      </c>
      <c r="K2317" s="164" t="s">
        <v>223</v>
      </c>
      <c r="L2317" s="165">
        <v>4</v>
      </c>
      <c r="M2317" s="165">
        <v>6</v>
      </c>
      <c r="N2317" s="164" t="s">
        <v>189</v>
      </c>
      <c r="O2317" s="165">
        <v>0</v>
      </c>
      <c r="P2317" s="165">
        <v>0</v>
      </c>
      <c r="Q2317" s="165">
        <v>21</v>
      </c>
      <c r="R2317" s="164" t="s">
        <v>200</v>
      </c>
      <c r="S2317" s="164" t="s">
        <v>201</v>
      </c>
      <c r="T2317" s="165">
        <v>458</v>
      </c>
      <c r="U2317" s="164" t="s">
        <v>200</v>
      </c>
      <c r="V2317" s="164" t="s">
        <v>763</v>
      </c>
      <c r="W2317" s="165">
        <v>2</v>
      </c>
      <c r="X2317" s="165">
        <v>4</v>
      </c>
      <c r="Y2317" s="164" t="s">
        <v>203</v>
      </c>
      <c r="Z2317" s="164" t="s">
        <v>195</v>
      </c>
      <c r="AA2317" s="164" t="s">
        <v>196</v>
      </c>
      <c r="AB2317" s="164" t="s">
        <v>187</v>
      </c>
      <c r="AC2317" s="164" t="s">
        <v>187</v>
      </c>
      <c r="AD2317" s="165">
        <v>1</v>
      </c>
      <c r="AE2317" s="164" t="s">
        <v>187</v>
      </c>
      <c r="AF2317" s="165">
        <v>32.101435405854801</v>
      </c>
      <c r="AG2317" s="166">
        <v>74.223605688626193</v>
      </c>
      <c r="AO2317" s="121"/>
      <c r="AT2317" s="111"/>
      <c r="AX2317" s="121"/>
    </row>
    <row r="2318" spans="1:50" s="110" customFormat="1" ht="20" customHeight="1">
      <c r="A2318" s="125" t="s">
        <v>231</v>
      </c>
      <c r="B2318" s="126" t="s">
        <v>66</v>
      </c>
      <c r="C2318" s="127">
        <v>20044</v>
      </c>
      <c r="D2318" s="163">
        <v>115934</v>
      </c>
      <c r="E2318" s="164" t="s">
        <v>834</v>
      </c>
      <c r="F2318" s="164" t="s">
        <v>834</v>
      </c>
      <c r="G2318" s="165">
        <v>66000</v>
      </c>
      <c r="H2318" s="165">
        <v>1</v>
      </c>
      <c r="I2318" s="164" t="s">
        <v>187</v>
      </c>
      <c r="J2318" s="164" t="s">
        <v>222</v>
      </c>
      <c r="K2318" s="164" t="s">
        <v>223</v>
      </c>
      <c r="L2318" s="165">
        <v>4</v>
      </c>
      <c r="M2318" s="165">
        <v>6</v>
      </c>
      <c r="N2318" s="164" t="s">
        <v>189</v>
      </c>
      <c r="O2318" s="165">
        <v>0</v>
      </c>
      <c r="P2318" s="165">
        <v>0</v>
      </c>
      <c r="Q2318" s="165">
        <v>21</v>
      </c>
      <c r="R2318" s="164" t="s">
        <v>200</v>
      </c>
      <c r="S2318" s="164" t="s">
        <v>201</v>
      </c>
      <c r="T2318" s="165">
        <v>458</v>
      </c>
      <c r="U2318" s="164" t="s">
        <v>200</v>
      </c>
      <c r="V2318" s="164" t="s">
        <v>763</v>
      </c>
      <c r="W2318" s="165">
        <v>1</v>
      </c>
      <c r="X2318" s="165">
        <v>4</v>
      </c>
      <c r="Y2318" s="164" t="s">
        <v>203</v>
      </c>
      <c r="Z2318" s="164" t="s">
        <v>195</v>
      </c>
      <c r="AA2318" s="164" t="s">
        <v>196</v>
      </c>
      <c r="AB2318" s="164" t="s">
        <v>187</v>
      </c>
      <c r="AC2318" s="164" t="s">
        <v>187</v>
      </c>
      <c r="AD2318" s="165">
        <v>1</v>
      </c>
      <c r="AE2318" s="164" t="s">
        <v>187</v>
      </c>
      <c r="AF2318" s="165">
        <v>32.095751190739797</v>
      </c>
      <c r="AG2318" s="166">
        <v>74.225169533297702</v>
      </c>
      <c r="AO2318" s="121"/>
      <c r="AT2318" s="111"/>
      <c r="AX2318" s="121"/>
    </row>
    <row r="2319" spans="1:50" s="110" customFormat="1" ht="20" customHeight="1">
      <c r="A2319" s="125" t="s">
        <v>231</v>
      </c>
      <c r="B2319" s="126" t="s">
        <v>66</v>
      </c>
      <c r="C2319" s="127">
        <v>20005</v>
      </c>
      <c r="D2319" s="163">
        <v>115913</v>
      </c>
      <c r="E2319" s="164" t="s">
        <v>810</v>
      </c>
      <c r="F2319" s="164" t="s">
        <v>810</v>
      </c>
      <c r="G2319" s="165">
        <v>65000</v>
      </c>
      <c r="H2319" s="165">
        <v>1</v>
      </c>
      <c r="I2319" s="164" t="s">
        <v>187</v>
      </c>
      <c r="J2319" s="164" t="s">
        <v>222</v>
      </c>
      <c r="K2319" s="164" t="s">
        <v>223</v>
      </c>
      <c r="L2319" s="165">
        <v>4</v>
      </c>
      <c r="M2319" s="165">
        <v>6</v>
      </c>
      <c r="N2319" s="164" t="s">
        <v>189</v>
      </c>
      <c r="O2319" s="165">
        <v>0</v>
      </c>
      <c r="P2319" s="165">
        <v>0</v>
      </c>
      <c r="Q2319" s="165">
        <v>21</v>
      </c>
      <c r="R2319" s="164" t="s">
        <v>200</v>
      </c>
      <c r="S2319" s="164" t="s">
        <v>201</v>
      </c>
      <c r="T2319" s="165">
        <v>458</v>
      </c>
      <c r="U2319" s="164" t="s">
        <v>200</v>
      </c>
      <c r="V2319" s="164" t="s">
        <v>763</v>
      </c>
      <c r="W2319" s="165">
        <v>2</v>
      </c>
      <c r="X2319" s="165">
        <v>4</v>
      </c>
      <c r="Y2319" s="164" t="s">
        <v>203</v>
      </c>
      <c r="Z2319" s="164" t="s">
        <v>195</v>
      </c>
      <c r="AA2319" s="164" t="s">
        <v>196</v>
      </c>
      <c r="AB2319" s="164" t="s">
        <v>187</v>
      </c>
      <c r="AC2319" s="164" t="s">
        <v>187</v>
      </c>
      <c r="AD2319" s="165">
        <v>1</v>
      </c>
      <c r="AE2319" s="164" t="s">
        <v>187</v>
      </c>
      <c r="AF2319" s="165">
        <v>30.082304598935099</v>
      </c>
      <c r="AG2319" s="166">
        <v>71.455570201096904</v>
      </c>
      <c r="AO2319" s="121"/>
      <c r="AT2319" s="111"/>
      <c r="AX2319" s="121"/>
    </row>
    <row r="2320" spans="1:50" s="110" customFormat="1" ht="20" customHeight="1">
      <c r="A2320" s="125" t="s">
        <v>231</v>
      </c>
      <c r="B2320" s="126" t="s">
        <v>66</v>
      </c>
      <c r="C2320" s="127">
        <v>20270</v>
      </c>
      <c r="D2320" s="163">
        <v>116005</v>
      </c>
      <c r="E2320" s="164" t="s">
        <v>824</v>
      </c>
      <c r="F2320" s="164" t="s">
        <v>824</v>
      </c>
      <c r="G2320" s="165">
        <v>64000</v>
      </c>
      <c r="H2320" s="165">
        <v>1</v>
      </c>
      <c r="I2320" s="164" t="s">
        <v>187</v>
      </c>
      <c r="J2320" s="164" t="s">
        <v>222</v>
      </c>
      <c r="K2320" s="164" t="s">
        <v>223</v>
      </c>
      <c r="L2320" s="165">
        <v>4</v>
      </c>
      <c r="M2320" s="165">
        <v>6</v>
      </c>
      <c r="N2320" s="164" t="s">
        <v>189</v>
      </c>
      <c r="O2320" s="165">
        <v>0</v>
      </c>
      <c r="P2320" s="165">
        <v>0</v>
      </c>
      <c r="Q2320" s="165">
        <v>21</v>
      </c>
      <c r="R2320" s="164" t="s">
        <v>200</v>
      </c>
      <c r="S2320" s="164" t="s">
        <v>201</v>
      </c>
      <c r="T2320" s="165">
        <v>458</v>
      </c>
      <c r="U2320" s="164" t="s">
        <v>200</v>
      </c>
      <c r="V2320" s="164" t="s">
        <v>763</v>
      </c>
      <c r="W2320" s="165">
        <v>1</v>
      </c>
      <c r="X2320" s="165">
        <v>4</v>
      </c>
      <c r="Y2320" s="164" t="s">
        <v>203</v>
      </c>
      <c r="Z2320" s="164" t="s">
        <v>195</v>
      </c>
      <c r="AA2320" s="164" t="s">
        <v>196</v>
      </c>
      <c r="AB2320" s="164" t="s">
        <v>187</v>
      </c>
      <c r="AC2320" s="164" t="s">
        <v>187</v>
      </c>
      <c r="AD2320" s="165">
        <v>1</v>
      </c>
      <c r="AE2320" s="164" t="s">
        <v>187</v>
      </c>
      <c r="AF2320" s="165">
        <v>30.0816880358772</v>
      </c>
      <c r="AG2320" s="166">
        <v>71.454858616152407</v>
      </c>
      <c r="AO2320" s="121"/>
      <c r="AT2320" s="111"/>
      <c r="AX2320" s="121"/>
    </row>
    <row r="2321" spans="1:50" s="110" customFormat="1" ht="20" customHeight="1">
      <c r="A2321" s="125" t="s">
        <v>231</v>
      </c>
      <c r="B2321" s="126" t="s">
        <v>66</v>
      </c>
      <c r="C2321" s="127">
        <v>20032</v>
      </c>
      <c r="D2321" s="163">
        <v>115923</v>
      </c>
      <c r="E2321" s="164" t="s">
        <v>766</v>
      </c>
      <c r="F2321" s="164" t="s">
        <v>766</v>
      </c>
      <c r="G2321" s="165">
        <v>62000</v>
      </c>
      <c r="H2321" s="165">
        <v>1</v>
      </c>
      <c r="I2321" s="164" t="s">
        <v>187</v>
      </c>
      <c r="J2321" s="164" t="s">
        <v>222</v>
      </c>
      <c r="K2321" s="164" t="s">
        <v>223</v>
      </c>
      <c r="L2321" s="165">
        <v>4</v>
      </c>
      <c r="M2321" s="165">
        <v>6</v>
      </c>
      <c r="N2321" s="164" t="s">
        <v>189</v>
      </c>
      <c r="O2321" s="165">
        <v>0</v>
      </c>
      <c r="P2321" s="165">
        <v>0</v>
      </c>
      <c r="Q2321" s="165">
        <v>21</v>
      </c>
      <c r="R2321" s="164" t="s">
        <v>200</v>
      </c>
      <c r="S2321" s="164" t="s">
        <v>201</v>
      </c>
      <c r="T2321" s="165">
        <v>458</v>
      </c>
      <c r="U2321" s="164" t="s">
        <v>200</v>
      </c>
      <c r="V2321" s="164" t="s">
        <v>763</v>
      </c>
      <c r="W2321" s="165">
        <v>1</v>
      </c>
      <c r="X2321" s="165">
        <v>4</v>
      </c>
      <c r="Y2321" s="164" t="s">
        <v>203</v>
      </c>
      <c r="Z2321" s="164" t="s">
        <v>195</v>
      </c>
      <c r="AA2321" s="164" t="s">
        <v>196</v>
      </c>
      <c r="AB2321" s="164" t="s">
        <v>187</v>
      </c>
      <c r="AC2321" s="164" t="s">
        <v>187</v>
      </c>
      <c r="AD2321" s="165">
        <v>1</v>
      </c>
      <c r="AE2321" s="164" t="s">
        <v>187</v>
      </c>
      <c r="AF2321" s="165">
        <v>30.0791948256627</v>
      </c>
      <c r="AG2321" s="166">
        <v>71.459301964505798</v>
      </c>
      <c r="AO2321" s="121"/>
      <c r="AT2321" s="111"/>
      <c r="AX2321" s="121"/>
    </row>
    <row r="2322" spans="1:50" s="110" customFormat="1" ht="20" customHeight="1">
      <c r="A2322" s="125" t="s">
        <v>231</v>
      </c>
      <c r="B2322" s="126" t="s">
        <v>66</v>
      </c>
      <c r="C2322" s="127">
        <v>20039</v>
      </c>
      <c r="D2322" s="163">
        <v>115929</v>
      </c>
      <c r="E2322" s="164" t="s">
        <v>815</v>
      </c>
      <c r="F2322" s="164" t="s">
        <v>815</v>
      </c>
      <c r="G2322" s="165">
        <v>62000</v>
      </c>
      <c r="H2322" s="165">
        <v>1</v>
      </c>
      <c r="I2322" s="164" t="s">
        <v>187</v>
      </c>
      <c r="J2322" s="164" t="s">
        <v>222</v>
      </c>
      <c r="K2322" s="164" t="s">
        <v>223</v>
      </c>
      <c r="L2322" s="165">
        <v>4</v>
      </c>
      <c r="M2322" s="165">
        <v>6</v>
      </c>
      <c r="N2322" s="164" t="s">
        <v>189</v>
      </c>
      <c r="O2322" s="165">
        <v>0</v>
      </c>
      <c r="P2322" s="165">
        <v>0</v>
      </c>
      <c r="Q2322" s="165">
        <v>21</v>
      </c>
      <c r="R2322" s="164" t="s">
        <v>200</v>
      </c>
      <c r="S2322" s="164" t="s">
        <v>201</v>
      </c>
      <c r="T2322" s="165">
        <v>458</v>
      </c>
      <c r="U2322" s="164" t="s">
        <v>200</v>
      </c>
      <c r="V2322" s="164" t="s">
        <v>763</v>
      </c>
      <c r="W2322" s="165">
        <v>1</v>
      </c>
      <c r="X2322" s="165">
        <v>4</v>
      </c>
      <c r="Y2322" s="164" t="s">
        <v>203</v>
      </c>
      <c r="Z2322" s="164" t="s">
        <v>195</v>
      </c>
      <c r="AA2322" s="164" t="s">
        <v>196</v>
      </c>
      <c r="AB2322" s="164" t="s">
        <v>187</v>
      </c>
      <c r="AC2322" s="164" t="s">
        <v>187</v>
      </c>
      <c r="AD2322" s="165">
        <v>1</v>
      </c>
      <c r="AE2322" s="164" t="s">
        <v>187</v>
      </c>
      <c r="AF2322" s="165">
        <v>28.468433399678201</v>
      </c>
      <c r="AG2322" s="166">
        <v>70.481248106071703</v>
      </c>
      <c r="AO2322" s="121"/>
      <c r="AT2322" s="111"/>
      <c r="AX2322" s="121"/>
    </row>
    <row r="2323" spans="1:50" s="110" customFormat="1" ht="20" customHeight="1">
      <c r="A2323" s="125" t="s">
        <v>231</v>
      </c>
      <c r="B2323" s="126" t="s">
        <v>66</v>
      </c>
      <c r="C2323" s="127">
        <v>20042</v>
      </c>
      <c r="D2323" s="163">
        <v>115932</v>
      </c>
      <c r="E2323" s="164" t="s">
        <v>832</v>
      </c>
      <c r="F2323" s="164" t="s">
        <v>832</v>
      </c>
      <c r="G2323" s="165">
        <v>60000</v>
      </c>
      <c r="H2323" s="165">
        <v>1</v>
      </c>
      <c r="I2323" s="164" t="s">
        <v>187</v>
      </c>
      <c r="J2323" s="164" t="s">
        <v>222</v>
      </c>
      <c r="K2323" s="164" t="s">
        <v>223</v>
      </c>
      <c r="L2323" s="165">
        <v>4</v>
      </c>
      <c r="M2323" s="165">
        <v>6</v>
      </c>
      <c r="N2323" s="164" t="s">
        <v>189</v>
      </c>
      <c r="O2323" s="165">
        <v>0</v>
      </c>
      <c r="P2323" s="165">
        <v>0</v>
      </c>
      <c r="Q2323" s="165">
        <v>21</v>
      </c>
      <c r="R2323" s="164" t="s">
        <v>200</v>
      </c>
      <c r="S2323" s="164" t="s">
        <v>201</v>
      </c>
      <c r="T2323" s="165">
        <v>458</v>
      </c>
      <c r="U2323" s="164" t="s">
        <v>200</v>
      </c>
      <c r="V2323" s="164" t="s">
        <v>763</v>
      </c>
      <c r="W2323" s="165">
        <v>1</v>
      </c>
      <c r="X2323" s="165">
        <v>4</v>
      </c>
      <c r="Y2323" s="164" t="s">
        <v>203</v>
      </c>
      <c r="Z2323" s="164" t="s">
        <v>195</v>
      </c>
      <c r="AA2323" s="164" t="s">
        <v>196</v>
      </c>
      <c r="AB2323" s="164" t="s">
        <v>187</v>
      </c>
      <c r="AC2323" s="164" t="s">
        <v>187</v>
      </c>
      <c r="AD2323" s="165">
        <v>1</v>
      </c>
      <c r="AE2323" s="164" t="s">
        <v>187</v>
      </c>
      <c r="AF2323" s="165">
        <v>28.467410696541901</v>
      </c>
      <c r="AG2323" s="166">
        <v>70.482392778586998</v>
      </c>
      <c r="AO2323" s="121"/>
      <c r="AT2323" s="111"/>
      <c r="AX2323" s="121"/>
    </row>
    <row r="2324" spans="1:50" s="110" customFormat="1" ht="20" customHeight="1">
      <c r="A2324" s="125" t="s">
        <v>231</v>
      </c>
      <c r="B2324" s="126" t="s">
        <v>66</v>
      </c>
      <c r="C2324" s="127">
        <v>20037</v>
      </c>
      <c r="D2324" s="163">
        <v>115927</v>
      </c>
      <c r="E2324" s="164" t="s">
        <v>793</v>
      </c>
      <c r="F2324" s="164" t="s">
        <v>793</v>
      </c>
      <c r="G2324" s="165">
        <v>58000</v>
      </c>
      <c r="H2324" s="165">
        <v>1</v>
      </c>
      <c r="I2324" s="164" t="s">
        <v>187</v>
      </c>
      <c r="J2324" s="164" t="s">
        <v>222</v>
      </c>
      <c r="K2324" s="164" t="s">
        <v>223</v>
      </c>
      <c r="L2324" s="165">
        <v>4</v>
      </c>
      <c r="M2324" s="165">
        <v>6</v>
      </c>
      <c r="N2324" s="164" t="s">
        <v>189</v>
      </c>
      <c r="O2324" s="165">
        <v>0</v>
      </c>
      <c r="P2324" s="165">
        <v>0</v>
      </c>
      <c r="Q2324" s="165">
        <v>21</v>
      </c>
      <c r="R2324" s="164" t="s">
        <v>200</v>
      </c>
      <c r="S2324" s="164" t="s">
        <v>201</v>
      </c>
      <c r="T2324" s="165">
        <v>458</v>
      </c>
      <c r="U2324" s="164" t="s">
        <v>200</v>
      </c>
      <c r="V2324" s="164" t="s">
        <v>763</v>
      </c>
      <c r="W2324" s="165">
        <v>1</v>
      </c>
      <c r="X2324" s="165">
        <v>4</v>
      </c>
      <c r="Y2324" s="164" t="s">
        <v>203</v>
      </c>
      <c r="Z2324" s="164" t="s">
        <v>195</v>
      </c>
      <c r="AA2324" s="164" t="s">
        <v>196</v>
      </c>
      <c r="AB2324" s="164" t="s">
        <v>187</v>
      </c>
      <c r="AC2324" s="164" t="s">
        <v>187</v>
      </c>
      <c r="AD2324" s="165">
        <v>1</v>
      </c>
      <c r="AE2324" s="164" t="s">
        <v>187</v>
      </c>
      <c r="AF2324" s="165">
        <v>31.353240958133</v>
      </c>
      <c r="AG2324" s="166">
        <v>73.244684755511003</v>
      </c>
      <c r="AO2324" s="121"/>
      <c r="AT2324" s="111"/>
      <c r="AX2324" s="121"/>
    </row>
    <row r="2325" spans="1:50" s="110" customFormat="1" ht="20" customHeight="1">
      <c r="A2325" s="125" t="s">
        <v>231</v>
      </c>
      <c r="B2325" s="126" t="s">
        <v>66</v>
      </c>
      <c r="C2325" s="127">
        <v>20009</v>
      </c>
      <c r="D2325" s="163">
        <v>115917</v>
      </c>
      <c r="E2325" s="164" t="s">
        <v>820</v>
      </c>
      <c r="F2325" s="164" t="s">
        <v>820</v>
      </c>
      <c r="G2325" s="165">
        <v>58000</v>
      </c>
      <c r="H2325" s="165">
        <v>1</v>
      </c>
      <c r="I2325" s="164" t="s">
        <v>187</v>
      </c>
      <c r="J2325" s="164" t="s">
        <v>222</v>
      </c>
      <c r="K2325" s="164" t="s">
        <v>223</v>
      </c>
      <c r="L2325" s="165">
        <v>4</v>
      </c>
      <c r="M2325" s="165">
        <v>6</v>
      </c>
      <c r="N2325" s="164" t="s">
        <v>189</v>
      </c>
      <c r="O2325" s="165">
        <v>0</v>
      </c>
      <c r="P2325" s="165">
        <v>0</v>
      </c>
      <c r="Q2325" s="165">
        <v>21</v>
      </c>
      <c r="R2325" s="164" t="s">
        <v>200</v>
      </c>
      <c r="S2325" s="164" t="s">
        <v>201</v>
      </c>
      <c r="T2325" s="165">
        <v>458</v>
      </c>
      <c r="U2325" s="164" t="s">
        <v>200</v>
      </c>
      <c r="V2325" s="164" t="s">
        <v>763</v>
      </c>
      <c r="W2325" s="165">
        <v>1</v>
      </c>
      <c r="X2325" s="165">
        <v>4</v>
      </c>
      <c r="Y2325" s="164" t="s">
        <v>203</v>
      </c>
      <c r="Z2325" s="164" t="s">
        <v>195</v>
      </c>
      <c r="AA2325" s="164" t="s">
        <v>196</v>
      </c>
      <c r="AB2325" s="164" t="s">
        <v>187</v>
      </c>
      <c r="AC2325" s="164" t="s">
        <v>187</v>
      </c>
      <c r="AD2325" s="165">
        <v>1</v>
      </c>
      <c r="AE2325" s="164" t="s">
        <v>187</v>
      </c>
      <c r="AF2325" s="165">
        <v>32.674678335669597</v>
      </c>
      <c r="AG2325" s="166">
        <v>74.096579832494001</v>
      </c>
      <c r="AO2325" s="121"/>
      <c r="AT2325" s="111"/>
      <c r="AX2325" s="121"/>
    </row>
    <row r="2326" spans="1:50" s="110" customFormat="1" ht="20" customHeight="1">
      <c r="A2326" s="125" t="s">
        <v>231</v>
      </c>
      <c r="B2326" s="126" t="s">
        <v>66</v>
      </c>
      <c r="C2326" s="127">
        <v>21507</v>
      </c>
      <c r="D2326" s="163">
        <v>118296</v>
      </c>
      <c r="E2326" s="164" t="s">
        <v>788</v>
      </c>
      <c r="F2326" s="164" t="s">
        <v>788</v>
      </c>
      <c r="G2326" s="165">
        <v>53000</v>
      </c>
      <c r="H2326" s="165">
        <v>1</v>
      </c>
      <c r="I2326" s="164" t="s">
        <v>187</v>
      </c>
      <c r="J2326" s="164" t="s">
        <v>222</v>
      </c>
      <c r="K2326" s="164" t="s">
        <v>223</v>
      </c>
      <c r="L2326" s="165">
        <v>4</v>
      </c>
      <c r="M2326" s="165">
        <v>6</v>
      </c>
      <c r="N2326" s="164" t="s">
        <v>189</v>
      </c>
      <c r="O2326" s="165">
        <v>0</v>
      </c>
      <c r="P2326" s="165">
        <v>0</v>
      </c>
      <c r="Q2326" s="165">
        <v>21</v>
      </c>
      <c r="R2326" s="164" t="s">
        <v>200</v>
      </c>
      <c r="S2326" s="164" t="s">
        <v>201</v>
      </c>
      <c r="T2326" s="165">
        <v>458</v>
      </c>
      <c r="U2326" s="164" t="s">
        <v>200</v>
      </c>
      <c r="V2326" s="164" t="s">
        <v>763</v>
      </c>
      <c r="W2326" s="165">
        <v>1</v>
      </c>
      <c r="X2326" s="165">
        <v>4</v>
      </c>
      <c r="Y2326" s="164" t="s">
        <v>203</v>
      </c>
      <c r="Z2326" s="164" t="s">
        <v>195</v>
      </c>
      <c r="AA2326" s="164" t="s">
        <v>196</v>
      </c>
      <c r="AB2326" s="164" t="s">
        <v>187</v>
      </c>
      <c r="AC2326" s="164" t="s">
        <v>187</v>
      </c>
      <c r="AD2326" s="165">
        <v>1</v>
      </c>
      <c r="AE2326" s="164" t="s">
        <v>187</v>
      </c>
      <c r="AF2326" s="165">
        <v>30.10546871</v>
      </c>
      <c r="AG2326" s="166">
        <v>71.527446949999998</v>
      </c>
      <c r="AO2326" s="121"/>
      <c r="AT2326" s="111"/>
      <c r="AX2326" s="121"/>
    </row>
    <row r="2327" spans="1:50" s="110" customFormat="1" ht="20" customHeight="1">
      <c r="A2327" s="125" t="s">
        <v>231</v>
      </c>
      <c r="B2327" s="126" t="s">
        <v>66</v>
      </c>
      <c r="C2327" s="127">
        <v>19856</v>
      </c>
      <c r="D2327" s="163">
        <v>115872</v>
      </c>
      <c r="E2327" s="164" t="s">
        <v>789</v>
      </c>
      <c r="F2327" s="164" t="s">
        <v>789</v>
      </c>
      <c r="G2327" s="165">
        <v>52000</v>
      </c>
      <c r="H2327" s="165">
        <v>1</v>
      </c>
      <c r="I2327" s="164" t="s">
        <v>187</v>
      </c>
      <c r="J2327" s="164" t="s">
        <v>219</v>
      </c>
      <c r="K2327" s="164" t="s">
        <v>220</v>
      </c>
      <c r="L2327" s="165">
        <v>5</v>
      </c>
      <c r="M2327" s="165">
        <v>6</v>
      </c>
      <c r="N2327" s="164" t="s">
        <v>189</v>
      </c>
      <c r="O2327" s="165">
        <v>0</v>
      </c>
      <c r="P2327" s="165">
        <v>0</v>
      </c>
      <c r="Q2327" s="165">
        <v>21</v>
      </c>
      <c r="R2327" s="164" t="s">
        <v>200</v>
      </c>
      <c r="S2327" s="164" t="s">
        <v>201</v>
      </c>
      <c r="T2327" s="165">
        <v>458</v>
      </c>
      <c r="U2327" s="164" t="s">
        <v>200</v>
      </c>
      <c r="V2327" s="164" t="s">
        <v>763</v>
      </c>
      <c r="W2327" s="165">
        <v>2</v>
      </c>
      <c r="X2327" s="165">
        <v>4</v>
      </c>
      <c r="Y2327" s="164" t="s">
        <v>203</v>
      </c>
      <c r="Z2327" s="164" t="s">
        <v>195</v>
      </c>
      <c r="AA2327" s="164" t="s">
        <v>196</v>
      </c>
      <c r="AB2327" s="164" t="s">
        <v>187</v>
      </c>
      <c r="AC2327" s="164" t="s">
        <v>187</v>
      </c>
      <c r="AD2327" s="165">
        <v>1</v>
      </c>
      <c r="AE2327" s="164" t="s">
        <v>187</v>
      </c>
      <c r="AF2327" s="165">
        <v>25.3195303490157</v>
      </c>
      <c r="AG2327" s="166">
        <v>69.152375728251997</v>
      </c>
      <c r="AO2327" s="121"/>
      <c r="AT2327" s="111"/>
      <c r="AX2327" s="121"/>
    </row>
    <row r="2328" spans="1:50" s="110" customFormat="1" ht="20" customHeight="1">
      <c r="A2328" s="125" t="s">
        <v>231</v>
      </c>
      <c r="B2328" s="126" t="s">
        <v>66</v>
      </c>
      <c r="C2328" s="127">
        <v>20353</v>
      </c>
      <c r="D2328" s="163">
        <v>116142</v>
      </c>
      <c r="E2328" s="164" t="s">
        <v>811</v>
      </c>
      <c r="F2328" s="164" t="s">
        <v>811</v>
      </c>
      <c r="G2328" s="165">
        <v>51000</v>
      </c>
      <c r="H2328" s="165">
        <v>1</v>
      </c>
      <c r="I2328" s="164" t="s">
        <v>187</v>
      </c>
      <c r="J2328" s="164" t="s">
        <v>222</v>
      </c>
      <c r="K2328" s="164" t="s">
        <v>223</v>
      </c>
      <c r="L2328" s="165">
        <v>4</v>
      </c>
      <c r="M2328" s="165">
        <v>6</v>
      </c>
      <c r="N2328" s="164" t="s">
        <v>189</v>
      </c>
      <c r="O2328" s="165">
        <v>0</v>
      </c>
      <c r="P2328" s="165">
        <v>0</v>
      </c>
      <c r="Q2328" s="165">
        <v>21</v>
      </c>
      <c r="R2328" s="164" t="s">
        <v>200</v>
      </c>
      <c r="S2328" s="164" t="s">
        <v>201</v>
      </c>
      <c r="T2328" s="165">
        <v>458</v>
      </c>
      <c r="U2328" s="164" t="s">
        <v>200</v>
      </c>
      <c r="V2328" s="164" t="s">
        <v>763</v>
      </c>
      <c r="W2328" s="165">
        <v>1</v>
      </c>
      <c r="X2328" s="165">
        <v>4</v>
      </c>
      <c r="Y2328" s="164" t="s">
        <v>203</v>
      </c>
      <c r="Z2328" s="164" t="s">
        <v>195</v>
      </c>
      <c r="AA2328" s="164" t="s">
        <v>196</v>
      </c>
      <c r="AB2328" s="164" t="s">
        <v>187</v>
      </c>
      <c r="AC2328" s="164" t="s">
        <v>187</v>
      </c>
      <c r="AD2328" s="165">
        <v>1</v>
      </c>
      <c r="AE2328" s="164" t="s">
        <v>187</v>
      </c>
      <c r="AF2328" s="165">
        <v>30.077891697984501</v>
      </c>
      <c r="AG2328" s="166">
        <v>71.459708747933206</v>
      </c>
      <c r="AO2328" s="121"/>
      <c r="AT2328" s="111"/>
      <c r="AX2328" s="121"/>
    </row>
    <row r="2329" spans="1:50" s="110" customFormat="1" ht="20" customHeight="1">
      <c r="A2329" s="125" t="s">
        <v>231</v>
      </c>
      <c r="B2329" s="126" t="s">
        <v>66</v>
      </c>
      <c r="C2329" s="127">
        <v>21508</v>
      </c>
      <c r="D2329" s="163">
        <v>118285</v>
      </c>
      <c r="E2329" s="164" t="s">
        <v>796</v>
      </c>
      <c r="F2329" s="164" t="s">
        <v>796</v>
      </c>
      <c r="G2329" s="165">
        <v>50000</v>
      </c>
      <c r="H2329" s="165">
        <v>1</v>
      </c>
      <c r="I2329" s="164" t="s">
        <v>187</v>
      </c>
      <c r="J2329" s="164" t="s">
        <v>222</v>
      </c>
      <c r="K2329" s="164" t="s">
        <v>223</v>
      </c>
      <c r="L2329" s="165">
        <v>4</v>
      </c>
      <c r="M2329" s="165">
        <v>6</v>
      </c>
      <c r="N2329" s="164" t="s">
        <v>189</v>
      </c>
      <c r="O2329" s="165">
        <v>0</v>
      </c>
      <c r="P2329" s="165">
        <v>0</v>
      </c>
      <c r="Q2329" s="165">
        <v>21</v>
      </c>
      <c r="R2329" s="164" t="s">
        <v>200</v>
      </c>
      <c r="S2329" s="164" t="s">
        <v>201</v>
      </c>
      <c r="T2329" s="165">
        <v>458</v>
      </c>
      <c r="U2329" s="164" t="s">
        <v>200</v>
      </c>
      <c r="V2329" s="164" t="s">
        <v>763</v>
      </c>
      <c r="W2329" s="165">
        <v>1</v>
      </c>
      <c r="X2329" s="165">
        <v>4</v>
      </c>
      <c r="Y2329" s="164" t="s">
        <v>203</v>
      </c>
      <c r="Z2329" s="164" t="s">
        <v>195</v>
      </c>
      <c r="AA2329" s="164" t="s">
        <v>196</v>
      </c>
      <c r="AB2329" s="164" t="s">
        <v>187</v>
      </c>
      <c r="AC2329" s="164" t="s">
        <v>187</v>
      </c>
      <c r="AD2329" s="165">
        <v>1</v>
      </c>
      <c r="AE2329" s="164" t="s">
        <v>187</v>
      </c>
      <c r="AF2329" s="165">
        <v>30.105193020000002</v>
      </c>
      <c r="AG2329" s="166">
        <v>71.52552025</v>
      </c>
      <c r="AO2329" s="121"/>
      <c r="AT2329" s="111"/>
      <c r="AX2329" s="121"/>
    </row>
    <row r="2330" spans="1:50" s="110" customFormat="1" ht="20" customHeight="1">
      <c r="A2330" s="125" t="s">
        <v>231</v>
      </c>
      <c r="B2330" s="126" t="s">
        <v>66</v>
      </c>
      <c r="C2330" s="127">
        <v>21509</v>
      </c>
      <c r="D2330" s="163">
        <v>118297</v>
      </c>
      <c r="E2330" s="164" t="s">
        <v>801</v>
      </c>
      <c r="F2330" s="164" t="s">
        <v>801</v>
      </c>
      <c r="G2330" s="165">
        <v>48000</v>
      </c>
      <c r="H2330" s="165">
        <v>1</v>
      </c>
      <c r="I2330" s="164" t="s">
        <v>187</v>
      </c>
      <c r="J2330" s="164" t="s">
        <v>222</v>
      </c>
      <c r="K2330" s="164" t="s">
        <v>223</v>
      </c>
      <c r="L2330" s="165">
        <v>4</v>
      </c>
      <c r="M2330" s="165">
        <v>6</v>
      </c>
      <c r="N2330" s="164" t="s">
        <v>189</v>
      </c>
      <c r="O2330" s="165">
        <v>0</v>
      </c>
      <c r="P2330" s="165">
        <v>0</v>
      </c>
      <c r="Q2330" s="165">
        <v>21</v>
      </c>
      <c r="R2330" s="164" t="s">
        <v>200</v>
      </c>
      <c r="S2330" s="164" t="s">
        <v>201</v>
      </c>
      <c r="T2330" s="165">
        <v>458</v>
      </c>
      <c r="U2330" s="164" t="s">
        <v>200</v>
      </c>
      <c r="V2330" s="164" t="s">
        <v>763</v>
      </c>
      <c r="W2330" s="165">
        <v>1</v>
      </c>
      <c r="X2330" s="165">
        <v>4</v>
      </c>
      <c r="Y2330" s="164" t="s">
        <v>203</v>
      </c>
      <c r="Z2330" s="164" t="s">
        <v>195</v>
      </c>
      <c r="AA2330" s="164" t="s">
        <v>196</v>
      </c>
      <c r="AB2330" s="164" t="s">
        <v>187</v>
      </c>
      <c r="AC2330" s="164" t="s">
        <v>187</v>
      </c>
      <c r="AD2330" s="165">
        <v>1</v>
      </c>
      <c r="AE2330" s="164" t="s">
        <v>187</v>
      </c>
      <c r="AF2330" s="165">
        <v>32.434716170000002</v>
      </c>
      <c r="AG2330" s="166">
        <v>74.711501190000007</v>
      </c>
      <c r="AO2330" s="121"/>
      <c r="AT2330" s="111"/>
      <c r="AX2330" s="121"/>
    </row>
    <row r="2331" spans="1:50" s="110" customFormat="1" ht="20" customHeight="1">
      <c r="A2331" s="125" t="s">
        <v>231</v>
      </c>
      <c r="B2331" s="126" t="s">
        <v>66</v>
      </c>
      <c r="C2331" s="127">
        <v>21756</v>
      </c>
      <c r="D2331" s="167"/>
      <c r="E2331" s="164" t="s">
        <v>823</v>
      </c>
      <c r="F2331" s="164" t="s">
        <v>823</v>
      </c>
      <c r="G2331" s="165">
        <v>48000</v>
      </c>
      <c r="H2331" s="165">
        <v>1</v>
      </c>
      <c r="I2331" s="164" t="s">
        <v>187</v>
      </c>
      <c r="J2331" s="164" t="s">
        <v>222</v>
      </c>
      <c r="K2331" s="164" t="s">
        <v>223</v>
      </c>
      <c r="L2331" s="165">
        <v>4</v>
      </c>
      <c r="M2331" s="165">
        <v>6</v>
      </c>
      <c r="N2331" s="164" t="s">
        <v>189</v>
      </c>
      <c r="O2331" s="165">
        <v>0</v>
      </c>
      <c r="P2331" s="165">
        <v>0</v>
      </c>
      <c r="Q2331" s="165">
        <v>21</v>
      </c>
      <c r="R2331" s="164" t="s">
        <v>200</v>
      </c>
      <c r="S2331" s="164" t="s">
        <v>201</v>
      </c>
      <c r="T2331" s="165">
        <v>458</v>
      </c>
      <c r="U2331" s="164" t="s">
        <v>200</v>
      </c>
      <c r="V2331" s="164" t="s">
        <v>763</v>
      </c>
      <c r="W2331" s="165">
        <v>1</v>
      </c>
      <c r="X2331" s="165">
        <v>4</v>
      </c>
      <c r="Y2331" s="164" t="s">
        <v>203</v>
      </c>
      <c r="Z2331" s="164" t="s">
        <v>195</v>
      </c>
      <c r="AA2331" s="164" t="s">
        <v>196</v>
      </c>
      <c r="AB2331" s="164" t="s">
        <v>187</v>
      </c>
      <c r="AC2331" s="164" t="s">
        <v>187</v>
      </c>
      <c r="AD2331" s="165">
        <v>1</v>
      </c>
      <c r="AE2331" s="164" t="s">
        <v>187</v>
      </c>
      <c r="AF2331" s="165">
        <v>30.48771</v>
      </c>
      <c r="AG2331" s="166">
        <v>72.046239999999997</v>
      </c>
      <c r="AO2331" s="121"/>
      <c r="AT2331" s="111"/>
      <c r="AX2331" s="121"/>
    </row>
    <row r="2332" spans="1:50" s="110" customFormat="1" ht="20" customHeight="1">
      <c r="A2332" s="125" t="s">
        <v>231</v>
      </c>
      <c r="B2332" s="126" t="s">
        <v>66</v>
      </c>
      <c r="C2332" s="127">
        <v>21755</v>
      </c>
      <c r="D2332" s="167"/>
      <c r="E2332" s="164" t="s">
        <v>822</v>
      </c>
      <c r="F2332" s="164" t="s">
        <v>822</v>
      </c>
      <c r="G2332" s="165">
        <v>47000</v>
      </c>
      <c r="H2332" s="165">
        <v>1</v>
      </c>
      <c r="I2332" s="164" t="s">
        <v>187</v>
      </c>
      <c r="J2332" s="164" t="s">
        <v>219</v>
      </c>
      <c r="K2332" s="164" t="s">
        <v>220</v>
      </c>
      <c r="L2332" s="165">
        <v>5</v>
      </c>
      <c r="M2332" s="165">
        <v>6</v>
      </c>
      <c r="N2332" s="164" t="s">
        <v>189</v>
      </c>
      <c r="O2332" s="165">
        <v>0</v>
      </c>
      <c r="P2332" s="165">
        <v>0</v>
      </c>
      <c r="Q2332" s="165">
        <v>21</v>
      </c>
      <c r="R2332" s="164" t="s">
        <v>200</v>
      </c>
      <c r="S2332" s="164" t="s">
        <v>201</v>
      </c>
      <c r="T2332" s="165">
        <v>458</v>
      </c>
      <c r="U2332" s="164" t="s">
        <v>200</v>
      </c>
      <c r="V2332" s="164" t="s">
        <v>763</v>
      </c>
      <c r="W2332" s="165">
        <v>2</v>
      </c>
      <c r="X2332" s="165">
        <v>4</v>
      </c>
      <c r="Y2332" s="164" t="s">
        <v>203</v>
      </c>
      <c r="Z2332" s="164" t="s">
        <v>195</v>
      </c>
      <c r="AA2332" s="164" t="s">
        <v>196</v>
      </c>
      <c r="AB2332" s="164" t="s">
        <v>187</v>
      </c>
      <c r="AC2332" s="164" t="s">
        <v>187</v>
      </c>
      <c r="AD2332" s="165">
        <v>1</v>
      </c>
      <c r="AE2332" s="164" t="s">
        <v>187</v>
      </c>
      <c r="AF2332" s="165">
        <v>26.865480000000002</v>
      </c>
      <c r="AG2332" s="166">
        <v>69.054590000000005</v>
      </c>
      <c r="AO2332" s="121"/>
      <c r="AT2332" s="111"/>
      <c r="AX2332" s="121"/>
    </row>
    <row r="2333" spans="1:50" s="110" customFormat="1" ht="20" customHeight="1">
      <c r="A2333" s="125" t="s">
        <v>231</v>
      </c>
      <c r="B2333" s="126" t="s">
        <v>66</v>
      </c>
      <c r="C2333" s="127">
        <v>20265</v>
      </c>
      <c r="D2333" s="163">
        <v>116000</v>
      </c>
      <c r="E2333" s="164" t="s">
        <v>780</v>
      </c>
      <c r="F2333" s="164" t="s">
        <v>780</v>
      </c>
      <c r="G2333" s="165">
        <v>45000</v>
      </c>
      <c r="H2333" s="165">
        <v>1</v>
      </c>
      <c r="I2333" s="164" t="s">
        <v>187</v>
      </c>
      <c r="J2333" s="164" t="s">
        <v>222</v>
      </c>
      <c r="K2333" s="164" t="s">
        <v>223</v>
      </c>
      <c r="L2333" s="165">
        <v>4</v>
      </c>
      <c r="M2333" s="165">
        <v>6</v>
      </c>
      <c r="N2333" s="164" t="s">
        <v>189</v>
      </c>
      <c r="O2333" s="165">
        <v>0</v>
      </c>
      <c r="P2333" s="165">
        <v>0</v>
      </c>
      <c r="Q2333" s="165">
        <v>21</v>
      </c>
      <c r="R2333" s="164" t="s">
        <v>200</v>
      </c>
      <c r="S2333" s="164" t="s">
        <v>201</v>
      </c>
      <c r="T2333" s="165">
        <v>458</v>
      </c>
      <c r="U2333" s="164" t="s">
        <v>200</v>
      </c>
      <c r="V2333" s="164" t="s">
        <v>763</v>
      </c>
      <c r="W2333" s="165">
        <v>1</v>
      </c>
      <c r="X2333" s="165">
        <v>4</v>
      </c>
      <c r="Y2333" s="164" t="s">
        <v>203</v>
      </c>
      <c r="Z2333" s="164" t="s">
        <v>195</v>
      </c>
      <c r="AA2333" s="164" t="s">
        <v>196</v>
      </c>
      <c r="AB2333" s="164" t="s">
        <v>187</v>
      </c>
      <c r="AC2333" s="164" t="s">
        <v>187</v>
      </c>
      <c r="AD2333" s="165">
        <v>1</v>
      </c>
      <c r="AE2333" s="164" t="s">
        <v>187</v>
      </c>
      <c r="AF2333" s="165">
        <v>31.738928507817</v>
      </c>
      <c r="AG2333" s="166">
        <v>71.415578669153206</v>
      </c>
      <c r="AO2333" s="121"/>
      <c r="AT2333" s="111"/>
      <c r="AX2333" s="121"/>
    </row>
    <row r="2334" spans="1:50" s="110" customFormat="1" ht="20" customHeight="1">
      <c r="A2334" s="125" t="s">
        <v>231</v>
      </c>
      <c r="B2334" s="126" t="s">
        <v>66</v>
      </c>
      <c r="C2334" s="127">
        <v>21747</v>
      </c>
      <c r="D2334" s="167"/>
      <c r="E2334" s="164" t="s">
        <v>813</v>
      </c>
      <c r="F2334" s="164" t="s">
        <v>813</v>
      </c>
      <c r="G2334" s="165">
        <v>44000</v>
      </c>
      <c r="H2334" s="165">
        <v>1</v>
      </c>
      <c r="I2334" s="164" t="s">
        <v>187</v>
      </c>
      <c r="J2334" s="164" t="s">
        <v>222</v>
      </c>
      <c r="K2334" s="164" t="s">
        <v>223</v>
      </c>
      <c r="L2334" s="165">
        <v>4</v>
      </c>
      <c r="M2334" s="165">
        <v>6</v>
      </c>
      <c r="N2334" s="164" t="s">
        <v>189</v>
      </c>
      <c r="O2334" s="165">
        <v>0</v>
      </c>
      <c r="P2334" s="165">
        <v>0</v>
      </c>
      <c r="Q2334" s="165">
        <v>21</v>
      </c>
      <c r="R2334" s="164" t="s">
        <v>200</v>
      </c>
      <c r="S2334" s="164" t="s">
        <v>201</v>
      </c>
      <c r="T2334" s="165">
        <v>458</v>
      </c>
      <c r="U2334" s="164" t="s">
        <v>200</v>
      </c>
      <c r="V2334" s="164" t="s">
        <v>763</v>
      </c>
      <c r="W2334" s="165">
        <v>1</v>
      </c>
      <c r="X2334" s="165">
        <v>4</v>
      </c>
      <c r="Y2334" s="164" t="s">
        <v>203</v>
      </c>
      <c r="Z2334" s="164" t="s">
        <v>195</v>
      </c>
      <c r="AA2334" s="164" t="s">
        <v>196</v>
      </c>
      <c r="AB2334" s="164" t="s">
        <v>187</v>
      </c>
      <c r="AC2334" s="164" t="s">
        <v>187</v>
      </c>
      <c r="AD2334" s="165">
        <v>1</v>
      </c>
      <c r="AE2334" s="164" t="s">
        <v>187</v>
      </c>
      <c r="AF2334" s="165">
        <v>30.07592</v>
      </c>
      <c r="AG2334" s="166">
        <v>71.009299999999996</v>
      </c>
      <c r="AO2334" s="121"/>
      <c r="AT2334" s="111"/>
      <c r="AX2334" s="121"/>
    </row>
    <row r="2335" spans="1:50" s="110" customFormat="1" ht="20" customHeight="1">
      <c r="A2335" s="125" t="s">
        <v>231</v>
      </c>
      <c r="B2335" s="126" t="s">
        <v>66</v>
      </c>
      <c r="C2335" s="127">
        <v>21728</v>
      </c>
      <c r="D2335" s="167"/>
      <c r="E2335" s="164" t="s">
        <v>782</v>
      </c>
      <c r="F2335" s="164" t="s">
        <v>782</v>
      </c>
      <c r="G2335" s="165">
        <v>42000</v>
      </c>
      <c r="H2335" s="165">
        <v>1</v>
      </c>
      <c r="I2335" s="164" t="s">
        <v>187</v>
      </c>
      <c r="J2335" s="164" t="s">
        <v>219</v>
      </c>
      <c r="K2335" s="164" t="s">
        <v>220</v>
      </c>
      <c r="L2335" s="165">
        <v>5</v>
      </c>
      <c r="M2335" s="165">
        <v>6</v>
      </c>
      <c r="N2335" s="164" t="s">
        <v>189</v>
      </c>
      <c r="O2335" s="165">
        <v>0</v>
      </c>
      <c r="P2335" s="165">
        <v>0</v>
      </c>
      <c r="Q2335" s="165">
        <v>21</v>
      </c>
      <c r="R2335" s="164" t="s">
        <v>200</v>
      </c>
      <c r="S2335" s="164" t="s">
        <v>201</v>
      </c>
      <c r="T2335" s="165">
        <v>458</v>
      </c>
      <c r="U2335" s="164" t="s">
        <v>200</v>
      </c>
      <c r="V2335" s="164" t="s">
        <v>763</v>
      </c>
      <c r="W2335" s="165">
        <v>2</v>
      </c>
      <c r="X2335" s="165">
        <v>4</v>
      </c>
      <c r="Y2335" s="164" t="s">
        <v>203</v>
      </c>
      <c r="Z2335" s="164" t="s">
        <v>195</v>
      </c>
      <c r="AA2335" s="164" t="s">
        <v>196</v>
      </c>
      <c r="AB2335" s="164" t="s">
        <v>187</v>
      </c>
      <c r="AC2335" s="164" t="s">
        <v>187</v>
      </c>
      <c r="AD2335" s="165">
        <v>1</v>
      </c>
      <c r="AE2335" s="164" t="s">
        <v>187</v>
      </c>
      <c r="AF2335" s="165">
        <v>26.865480000000002</v>
      </c>
      <c r="AG2335" s="166">
        <v>69.054590000000005</v>
      </c>
      <c r="AO2335" s="121"/>
      <c r="AT2335" s="111"/>
      <c r="AX2335" s="121"/>
    </row>
    <row r="2336" spans="1:50" s="110" customFormat="1" ht="20" customHeight="1">
      <c r="A2336" s="125" t="s">
        <v>231</v>
      </c>
      <c r="B2336" s="126" t="s">
        <v>66</v>
      </c>
      <c r="C2336" s="127">
        <v>21506</v>
      </c>
      <c r="D2336" s="163">
        <v>118284</v>
      </c>
      <c r="E2336" s="164" t="s">
        <v>765</v>
      </c>
      <c r="F2336" s="164" t="s">
        <v>765</v>
      </c>
      <c r="G2336" s="165">
        <v>41000</v>
      </c>
      <c r="H2336" s="165">
        <v>1</v>
      </c>
      <c r="I2336" s="164" t="s">
        <v>187</v>
      </c>
      <c r="J2336" s="164" t="s">
        <v>222</v>
      </c>
      <c r="K2336" s="164" t="s">
        <v>223</v>
      </c>
      <c r="L2336" s="165">
        <v>4</v>
      </c>
      <c r="M2336" s="165">
        <v>6</v>
      </c>
      <c r="N2336" s="164" t="s">
        <v>189</v>
      </c>
      <c r="O2336" s="165">
        <v>0</v>
      </c>
      <c r="P2336" s="165">
        <v>0</v>
      </c>
      <c r="Q2336" s="165">
        <v>21</v>
      </c>
      <c r="R2336" s="164" t="s">
        <v>200</v>
      </c>
      <c r="S2336" s="164" t="s">
        <v>201</v>
      </c>
      <c r="T2336" s="165">
        <v>458</v>
      </c>
      <c r="U2336" s="164" t="s">
        <v>200</v>
      </c>
      <c r="V2336" s="164" t="s">
        <v>763</v>
      </c>
      <c r="W2336" s="165">
        <v>1</v>
      </c>
      <c r="X2336" s="165">
        <v>4</v>
      </c>
      <c r="Y2336" s="164" t="s">
        <v>203</v>
      </c>
      <c r="Z2336" s="164" t="s">
        <v>195</v>
      </c>
      <c r="AA2336" s="164" t="s">
        <v>196</v>
      </c>
      <c r="AB2336" s="164" t="s">
        <v>187</v>
      </c>
      <c r="AC2336" s="164" t="s">
        <v>187</v>
      </c>
      <c r="AD2336" s="165">
        <v>1</v>
      </c>
      <c r="AE2336" s="164" t="s">
        <v>187</v>
      </c>
      <c r="AF2336" s="165">
        <v>32.713881579999999</v>
      </c>
      <c r="AG2336" s="166">
        <v>71.602469670000005</v>
      </c>
      <c r="AO2336" s="121"/>
      <c r="AT2336" s="111"/>
      <c r="AX2336" s="121"/>
    </row>
    <row r="2337" spans="1:50" s="110" customFormat="1" ht="20" customHeight="1">
      <c r="A2337" s="125" t="s">
        <v>231</v>
      </c>
      <c r="B2337" s="126" t="s">
        <v>66</v>
      </c>
      <c r="C2337" s="127">
        <v>21741</v>
      </c>
      <c r="D2337" s="167"/>
      <c r="E2337" s="164" t="s">
        <v>806</v>
      </c>
      <c r="F2337" s="164" t="s">
        <v>806</v>
      </c>
      <c r="G2337" s="165">
        <v>41000</v>
      </c>
      <c r="H2337" s="165">
        <v>1</v>
      </c>
      <c r="I2337" s="164" t="s">
        <v>187</v>
      </c>
      <c r="J2337" s="164" t="s">
        <v>222</v>
      </c>
      <c r="K2337" s="164" t="s">
        <v>223</v>
      </c>
      <c r="L2337" s="165">
        <v>4</v>
      </c>
      <c r="M2337" s="165">
        <v>6</v>
      </c>
      <c r="N2337" s="164" t="s">
        <v>189</v>
      </c>
      <c r="O2337" s="165">
        <v>0</v>
      </c>
      <c r="P2337" s="165">
        <v>0</v>
      </c>
      <c r="Q2337" s="165">
        <v>21</v>
      </c>
      <c r="R2337" s="164" t="s">
        <v>200</v>
      </c>
      <c r="S2337" s="164" t="s">
        <v>201</v>
      </c>
      <c r="T2337" s="165">
        <v>458</v>
      </c>
      <c r="U2337" s="164" t="s">
        <v>200</v>
      </c>
      <c r="V2337" s="164" t="s">
        <v>763</v>
      </c>
      <c r="W2337" s="165">
        <v>1</v>
      </c>
      <c r="X2337" s="165">
        <v>4</v>
      </c>
      <c r="Y2337" s="164" t="s">
        <v>203</v>
      </c>
      <c r="Z2337" s="164" t="s">
        <v>195</v>
      </c>
      <c r="AA2337" s="164" t="s">
        <v>196</v>
      </c>
      <c r="AB2337" s="164" t="s">
        <v>187</v>
      </c>
      <c r="AC2337" s="164" t="s">
        <v>187</v>
      </c>
      <c r="AD2337" s="165">
        <v>1</v>
      </c>
      <c r="AE2337" s="164" t="s">
        <v>187</v>
      </c>
      <c r="AF2337" s="165">
        <v>30.07592</v>
      </c>
      <c r="AG2337" s="166">
        <v>71.009299999999996</v>
      </c>
      <c r="AO2337" s="121"/>
      <c r="AT2337" s="111"/>
      <c r="AX2337" s="121"/>
    </row>
    <row r="2338" spans="1:50" s="110" customFormat="1" ht="20" customHeight="1">
      <c r="A2338" s="125" t="s">
        <v>231</v>
      </c>
      <c r="B2338" s="126" t="s">
        <v>66</v>
      </c>
      <c r="C2338" s="127">
        <v>21748</v>
      </c>
      <c r="D2338" s="167"/>
      <c r="E2338" s="164" t="s">
        <v>814</v>
      </c>
      <c r="F2338" s="164" t="s">
        <v>814</v>
      </c>
      <c r="G2338" s="165">
        <v>41000</v>
      </c>
      <c r="H2338" s="165">
        <v>1</v>
      </c>
      <c r="I2338" s="164" t="s">
        <v>187</v>
      </c>
      <c r="J2338" s="164" t="s">
        <v>219</v>
      </c>
      <c r="K2338" s="164" t="s">
        <v>220</v>
      </c>
      <c r="L2338" s="165">
        <v>5</v>
      </c>
      <c r="M2338" s="165">
        <v>6</v>
      </c>
      <c r="N2338" s="164" t="s">
        <v>189</v>
      </c>
      <c r="O2338" s="165">
        <v>0</v>
      </c>
      <c r="P2338" s="165">
        <v>0</v>
      </c>
      <c r="Q2338" s="165">
        <v>21</v>
      </c>
      <c r="R2338" s="164" t="s">
        <v>200</v>
      </c>
      <c r="S2338" s="164" t="s">
        <v>201</v>
      </c>
      <c r="T2338" s="165">
        <v>458</v>
      </c>
      <c r="U2338" s="164" t="s">
        <v>200</v>
      </c>
      <c r="V2338" s="164" t="s">
        <v>763</v>
      </c>
      <c r="W2338" s="165">
        <v>1</v>
      </c>
      <c r="X2338" s="165">
        <v>4</v>
      </c>
      <c r="Y2338" s="164" t="s">
        <v>203</v>
      </c>
      <c r="Z2338" s="164" t="s">
        <v>195</v>
      </c>
      <c r="AA2338" s="164" t="s">
        <v>196</v>
      </c>
      <c r="AB2338" s="164" t="s">
        <v>187</v>
      </c>
      <c r="AC2338" s="164" t="s">
        <v>187</v>
      </c>
      <c r="AD2338" s="165">
        <v>1</v>
      </c>
      <c r="AE2338" s="164" t="s">
        <v>187</v>
      </c>
      <c r="AF2338" s="165">
        <v>26.865480000000002</v>
      </c>
      <c r="AG2338" s="166">
        <v>69.054590000000005</v>
      </c>
      <c r="AO2338" s="121"/>
      <c r="AT2338" s="111"/>
      <c r="AX2338" s="121"/>
    </row>
    <row r="2339" spans="1:50" s="110" customFormat="1" ht="20" customHeight="1">
      <c r="A2339" s="125" t="s">
        <v>231</v>
      </c>
      <c r="B2339" s="126" t="s">
        <v>66</v>
      </c>
      <c r="C2339" s="127">
        <v>21740</v>
      </c>
      <c r="D2339" s="167"/>
      <c r="E2339" s="164" t="s">
        <v>805</v>
      </c>
      <c r="F2339" s="164" t="s">
        <v>805</v>
      </c>
      <c r="G2339" s="165">
        <v>39000</v>
      </c>
      <c r="H2339" s="165">
        <v>1</v>
      </c>
      <c r="I2339" s="164" t="s">
        <v>187</v>
      </c>
      <c r="J2339" s="164" t="s">
        <v>222</v>
      </c>
      <c r="K2339" s="164" t="s">
        <v>223</v>
      </c>
      <c r="L2339" s="165">
        <v>4</v>
      </c>
      <c r="M2339" s="165">
        <v>6</v>
      </c>
      <c r="N2339" s="164" t="s">
        <v>189</v>
      </c>
      <c r="O2339" s="165">
        <v>0</v>
      </c>
      <c r="P2339" s="165">
        <v>0</v>
      </c>
      <c r="Q2339" s="165">
        <v>21</v>
      </c>
      <c r="R2339" s="164" t="s">
        <v>200</v>
      </c>
      <c r="S2339" s="164" t="s">
        <v>201</v>
      </c>
      <c r="T2339" s="165">
        <v>458</v>
      </c>
      <c r="U2339" s="164" t="s">
        <v>200</v>
      </c>
      <c r="V2339" s="164" t="s">
        <v>763</v>
      </c>
      <c r="W2339" s="165">
        <v>1</v>
      </c>
      <c r="X2339" s="165">
        <v>4</v>
      </c>
      <c r="Y2339" s="164" t="s">
        <v>203</v>
      </c>
      <c r="Z2339" s="164" t="s">
        <v>195</v>
      </c>
      <c r="AA2339" s="164" t="s">
        <v>196</v>
      </c>
      <c r="AB2339" s="164" t="s">
        <v>187</v>
      </c>
      <c r="AC2339" s="164" t="s">
        <v>187</v>
      </c>
      <c r="AD2339" s="165">
        <v>1</v>
      </c>
      <c r="AE2339" s="164" t="s">
        <v>187</v>
      </c>
      <c r="AF2339" s="165">
        <v>30.07592</v>
      </c>
      <c r="AG2339" s="166">
        <v>71.009299999999996</v>
      </c>
      <c r="AO2339" s="121"/>
      <c r="AT2339" s="111"/>
      <c r="AX2339" s="121"/>
    </row>
    <row r="2340" spans="1:50" s="110" customFormat="1" ht="20" customHeight="1">
      <c r="A2340" s="125" t="s">
        <v>231</v>
      </c>
      <c r="B2340" s="126" t="s">
        <v>66</v>
      </c>
      <c r="C2340" s="127">
        <v>20848</v>
      </c>
      <c r="D2340" s="163">
        <v>117626</v>
      </c>
      <c r="E2340" s="164" t="s">
        <v>771</v>
      </c>
      <c r="F2340" s="164" t="s">
        <v>771</v>
      </c>
      <c r="G2340" s="165">
        <v>38000</v>
      </c>
      <c r="H2340" s="165">
        <v>1</v>
      </c>
      <c r="I2340" s="164" t="s">
        <v>187</v>
      </c>
      <c r="J2340" s="164" t="s">
        <v>222</v>
      </c>
      <c r="K2340" s="164" t="s">
        <v>223</v>
      </c>
      <c r="L2340" s="165">
        <v>4</v>
      </c>
      <c r="M2340" s="165">
        <v>6</v>
      </c>
      <c r="N2340" s="164" t="s">
        <v>189</v>
      </c>
      <c r="O2340" s="165">
        <v>0</v>
      </c>
      <c r="P2340" s="165">
        <v>0</v>
      </c>
      <c r="Q2340" s="165">
        <v>21</v>
      </c>
      <c r="R2340" s="164" t="s">
        <v>200</v>
      </c>
      <c r="S2340" s="164" t="s">
        <v>201</v>
      </c>
      <c r="T2340" s="165">
        <v>458</v>
      </c>
      <c r="U2340" s="164" t="s">
        <v>200</v>
      </c>
      <c r="V2340" s="164" t="s">
        <v>763</v>
      </c>
      <c r="W2340" s="165">
        <v>1</v>
      </c>
      <c r="X2340" s="165">
        <v>4</v>
      </c>
      <c r="Y2340" s="164" t="s">
        <v>203</v>
      </c>
      <c r="Z2340" s="164" t="s">
        <v>195</v>
      </c>
      <c r="AA2340" s="164" t="s">
        <v>196</v>
      </c>
      <c r="AB2340" s="164" t="s">
        <v>187</v>
      </c>
      <c r="AC2340" s="164" t="s">
        <v>187</v>
      </c>
      <c r="AD2340" s="165">
        <v>1</v>
      </c>
      <c r="AE2340" s="164" t="s">
        <v>187</v>
      </c>
      <c r="AF2340" s="165">
        <v>31.351690000000001</v>
      </c>
      <c r="AG2340" s="166">
        <v>73.241</v>
      </c>
      <c r="AO2340" s="121"/>
      <c r="AT2340" s="111"/>
      <c r="AX2340" s="121"/>
    </row>
    <row r="2341" spans="1:50" s="110" customFormat="1" ht="20" customHeight="1">
      <c r="A2341" s="125" t="s">
        <v>231</v>
      </c>
      <c r="B2341" s="126" t="s">
        <v>66</v>
      </c>
      <c r="C2341" s="127">
        <v>21734</v>
      </c>
      <c r="D2341" s="167"/>
      <c r="E2341" s="164" t="s">
        <v>798</v>
      </c>
      <c r="F2341" s="164" t="s">
        <v>798</v>
      </c>
      <c r="G2341" s="165">
        <v>37000</v>
      </c>
      <c r="H2341" s="165">
        <v>1</v>
      </c>
      <c r="I2341" s="164" t="s">
        <v>187</v>
      </c>
      <c r="J2341" s="164" t="s">
        <v>222</v>
      </c>
      <c r="K2341" s="164" t="s">
        <v>223</v>
      </c>
      <c r="L2341" s="165">
        <v>4</v>
      </c>
      <c r="M2341" s="165">
        <v>6</v>
      </c>
      <c r="N2341" s="164" t="s">
        <v>189</v>
      </c>
      <c r="O2341" s="165">
        <v>0</v>
      </c>
      <c r="P2341" s="165">
        <v>0</v>
      </c>
      <c r="Q2341" s="165">
        <v>21</v>
      </c>
      <c r="R2341" s="164" t="s">
        <v>200</v>
      </c>
      <c r="S2341" s="164" t="s">
        <v>201</v>
      </c>
      <c r="T2341" s="165">
        <v>458</v>
      </c>
      <c r="U2341" s="164" t="s">
        <v>200</v>
      </c>
      <c r="V2341" s="164" t="s">
        <v>763</v>
      </c>
      <c r="W2341" s="165">
        <v>1</v>
      </c>
      <c r="X2341" s="165">
        <v>4</v>
      </c>
      <c r="Y2341" s="164" t="s">
        <v>203</v>
      </c>
      <c r="Z2341" s="164" t="s">
        <v>195</v>
      </c>
      <c r="AA2341" s="164" t="s">
        <v>196</v>
      </c>
      <c r="AB2341" s="164" t="s">
        <v>187</v>
      </c>
      <c r="AC2341" s="164" t="s">
        <v>187</v>
      </c>
      <c r="AD2341" s="165">
        <v>1</v>
      </c>
      <c r="AE2341" s="164" t="s">
        <v>187</v>
      </c>
      <c r="AF2341" s="165">
        <v>33.426569999999998</v>
      </c>
      <c r="AG2341" s="166">
        <v>73.221559999999997</v>
      </c>
      <c r="AO2341" s="121"/>
      <c r="AT2341" s="111"/>
      <c r="AX2341" s="121"/>
    </row>
    <row r="2342" spans="1:50" s="110" customFormat="1" ht="20" customHeight="1">
      <c r="A2342" s="125" t="s">
        <v>231</v>
      </c>
      <c r="B2342" s="126" t="s">
        <v>66</v>
      </c>
      <c r="C2342" s="127">
        <v>21752</v>
      </c>
      <c r="D2342" s="167"/>
      <c r="E2342" s="164" t="s">
        <v>819</v>
      </c>
      <c r="F2342" s="164" t="s">
        <v>819</v>
      </c>
      <c r="G2342" s="165">
        <v>36000</v>
      </c>
      <c r="H2342" s="165">
        <v>1</v>
      </c>
      <c r="I2342" s="164" t="s">
        <v>187</v>
      </c>
      <c r="J2342" s="164" t="s">
        <v>219</v>
      </c>
      <c r="K2342" s="164" t="s">
        <v>220</v>
      </c>
      <c r="L2342" s="165">
        <v>5</v>
      </c>
      <c r="M2342" s="165">
        <v>6</v>
      </c>
      <c r="N2342" s="164" t="s">
        <v>189</v>
      </c>
      <c r="O2342" s="165">
        <v>0</v>
      </c>
      <c r="P2342" s="165">
        <v>0</v>
      </c>
      <c r="Q2342" s="165">
        <v>21</v>
      </c>
      <c r="R2342" s="164" t="s">
        <v>200</v>
      </c>
      <c r="S2342" s="164" t="s">
        <v>201</v>
      </c>
      <c r="T2342" s="165">
        <v>458</v>
      </c>
      <c r="U2342" s="164" t="s">
        <v>200</v>
      </c>
      <c r="V2342" s="164" t="s">
        <v>763</v>
      </c>
      <c r="W2342" s="165">
        <v>2</v>
      </c>
      <c r="X2342" s="165">
        <v>4</v>
      </c>
      <c r="Y2342" s="164" t="s">
        <v>203</v>
      </c>
      <c r="Z2342" s="164" t="s">
        <v>195</v>
      </c>
      <c r="AA2342" s="164" t="s">
        <v>196</v>
      </c>
      <c r="AB2342" s="164" t="s">
        <v>187</v>
      </c>
      <c r="AC2342" s="164" t="s">
        <v>187</v>
      </c>
      <c r="AD2342" s="165">
        <v>1</v>
      </c>
      <c r="AE2342" s="164" t="s">
        <v>187</v>
      </c>
      <c r="AF2342" s="165">
        <v>26.865480000000002</v>
      </c>
      <c r="AG2342" s="166">
        <v>69.054590000000005</v>
      </c>
      <c r="AO2342" s="121"/>
      <c r="AT2342" s="111"/>
      <c r="AX2342" s="121"/>
    </row>
    <row r="2343" spans="1:50" s="110" customFormat="1" ht="20" customHeight="1">
      <c r="A2343" s="125" t="s">
        <v>231</v>
      </c>
      <c r="B2343" s="126" t="s">
        <v>66</v>
      </c>
      <c r="C2343" s="127">
        <v>21726</v>
      </c>
      <c r="D2343" s="167"/>
      <c r="E2343" s="164" t="s">
        <v>774</v>
      </c>
      <c r="F2343" s="164" t="s">
        <v>774</v>
      </c>
      <c r="G2343" s="165">
        <v>35000</v>
      </c>
      <c r="H2343" s="165">
        <v>1</v>
      </c>
      <c r="I2343" s="164" t="s">
        <v>187</v>
      </c>
      <c r="J2343" s="164" t="s">
        <v>222</v>
      </c>
      <c r="K2343" s="164" t="s">
        <v>223</v>
      </c>
      <c r="L2343" s="165">
        <v>4</v>
      </c>
      <c r="M2343" s="165">
        <v>6</v>
      </c>
      <c r="N2343" s="164" t="s">
        <v>189</v>
      </c>
      <c r="O2343" s="165">
        <v>0</v>
      </c>
      <c r="P2343" s="165">
        <v>0</v>
      </c>
      <c r="Q2343" s="165">
        <v>21</v>
      </c>
      <c r="R2343" s="164" t="s">
        <v>200</v>
      </c>
      <c r="S2343" s="164" t="s">
        <v>201</v>
      </c>
      <c r="T2343" s="165">
        <v>458</v>
      </c>
      <c r="U2343" s="164" t="s">
        <v>200</v>
      </c>
      <c r="V2343" s="164" t="s">
        <v>763</v>
      </c>
      <c r="W2343" s="165">
        <v>1</v>
      </c>
      <c r="X2343" s="165">
        <v>4</v>
      </c>
      <c r="Y2343" s="164" t="s">
        <v>203</v>
      </c>
      <c r="Z2343" s="164" t="s">
        <v>195</v>
      </c>
      <c r="AA2343" s="164" t="s">
        <v>196</v>
      </c>
      <c r="AB2343" s="164" t="s">
        <v>187</v>
      </c>
      <c r="AC2343" s="164" t="s">
        <v>187</v>
      </c>
      <c r="AD2343" s="165">
        <v>1</v>
      </c>
      <c r="AE2343" s="164" t="s">
        <v>187</v>
      </c>
      <c r="AF2343" s="165">
        <v>32.185169999999999</v>
      </c>
      <c r="AG2343" s="166">
        <v>72.814570000000003</v>
      </c>
      <c r="AO2343" s="121"/>
      <c r="AT2343" s="111"/>
      <c r="AX2343" s="121"/>
    </row>
    <row r="2344" spans="1:50" s="110" customFormat="1" ht="20" customHeight="1">
      <c r="A2344" s="125" t="s">
        <v>231</v>
      </c>
      <c r="B2344" s="126" t="s">
        <v>66</v>
      </c>
      <c r="C2344" s="127">
        <v>21732</v>
      </c>
      <c r="D2344" s="167"/>
      <c r="E2344" s="164" t="s">
        <v>794</v>
      </c>
      <c r="F2344" s="164" t="s">
        <v>794</v>
      </c>
      <c r="G2344" s="165">
        <v>35000</v>
      </c>
      <c r="H2344" s="165">
        <v>1</v>
      </c>
      <c r="I2344" s="164" t="s">
        <v>187</v>
      </c>
      <c r="J2344" s="164" t="s">
        <v>222</v>
      </c>
      <c r="K2344" s="164" t="s">
        <v>223</v>
      </c>
      <c r="L2344" s="165">
        <v>4</v>
      </c>
      <c r="M2344" s="165">
        <v>6</v>
      </c>
      <c r="N2344" s="164" t="s">
        <v>189</v>
      </c>
      <c r="O2344" s="165">
        <v>0</v>
      </c>
      <c r="P2344" s="165">
        <v>0</v>
      </c>
      <c r="Q2344" s="165">
        <v>21</v>
      </c>
      <c r="R2344" s="164" t="s">
        <v>200</v>
      </c>
      <c r="S2344" s="164" t="s">
        <v>201</v>
      </c>
      <c r="T2344" s="165">
        <v>458</v>
      </c>
      <c r="U2344" s="164" t="s">
        <v>200</v>
      </c>
      <c r="V2344" s="164" t="s">
        <v>763</v>
      </c>
      <c r="W2344" s="165">
        <v>1</v>
      </c>
      <c r="X2344" s="165">
        <v>4</v>
      </c>
      <c r="Y2344" s="164" t="s">
        <v>203</v>
      </c>
      <c r="Z2344" s="164" t="s">
        <v>195</v>
      </c>
      <c r="AA2344" s="164" t="s">
        <v>196</v>
      </c>
      <c r="AB2344" s="164" t="s">
        <v>187</v>
      </c>
      <c r="AC2344" s="164" t="s">
        <v>187</v>
      </c>
      <c r="AD2344" s="165">
        <v>1</v>
      </c>
      <c r="AE2344" s="164" t="s">
        <v>187</v>
      </c>
      <c r="AF2344" s="165">
        <v>32.669350000000001</v>
      </c>
      <c r="AG2344" s="166">
        <v>74.090890000000002</v>
      </c>
      <c r="AO2344" s="121"/>
      <c r="AT2344" s="111"/>
      <c r="AX2344" s="121"/>
    </row>
    <row r="2345" spans="1:50" s="110" customFormat="1" ht="20" customHeight="1">
      <c r="A2345" s="125" t="s">
        <v>231</v>
      </c>
      <c r="B2345" s="126" t="s">
        <v>66</v>
      </c>
      <c r="C2345" s="127">
        <v>21751</v>
      </c>
      <c r="D2345" s="167"/>
      <c r="E2345" s="164" t="s">
        <v>817</v>
      </c>
      <c r="F2345" s="164" t="s">
        <v>817</v>
      </c>
      <c r="G2345" s="165">
        <v>35000</v>
      </c>
      <c r="H2345" s="165">
        <v>1</v>
      </c>
      <c r="I2345" s="164" t="s">
        <v>187</v>
      </c>
      <c r="J2345" s="164" t="s">
        <v>222</v>
      </c>
      <c r="K2345" s="164" t="s">
        <v>223</v>
      </c>
      <c r="L2345" s="165">
        <v>4</v>
      </c>
      <c r="M2345" s="165">
        <v>6</v>
      </c>
      <c r="N2345" s="164" t="s">
        <v>189</v>
      </c>
      <c r="O2345" s="165">
        <v>0</v>
      </c>
      <c r="P2345" s="165">
        <v>0</v>
      </c>
      <c r="Q2345" s="165">
        <v>21</v>
      </c>
      <c r="R2345" s="164" t="s">
        <v>200</v>
      </c>
      <c r="S2345" s="164" t="s">
        <v>201</v>
      </c>
      <c r="T2345" s="165">
        <v>458</v>
      </c>
      <c r="U2345" s="164" t="s">
        <v>200</v>
      </c>
      <c r="V2345" s="164" t="s">
        <v>763</v>
      </c>
      <c r="W2345" s="165">
        <v>1</v>
      </c>
      <c r="X2345" s="165">
        <v>4</v>
      </c>
      <c r="Y2345" s="164" t="s">
        <v>203</v>
      </c>
      <c r="Z2345" s="164" t="s">
        <v>195</v>
      </c>
      <c r="AA2345" s="164" t="s">
        <v>196</v>
      </c>
      <c r="AB2345" s="164" t="s">
        <v>187</v>
      </c>
      <c r="AC2345" s="164" t="s">
        <v>187</v>
      </c>
      <c r="AD2345" s="165">
        <v>1</v>
      </c>
      <c r="AE2345" s="164" t="s">
        <v>187</v>
      </c>
      <c r="AF2345" s="165">
        <v>28.46237</v>
      </c>
      <c r="AG2345" s="166">
        <v>70.476389999999995</v>
      </c>
      <c r="AO2345" s="121"/>
      <c r="AT2345" s="111"/>
      <c r="AX2345" s="121"/>
    </row>
    <row r="2346" spans="1:50" s="110" customFormat="1" ht="20" customHeight="1">
      <c r="A2346" s="125" t="s">
        <v>231</v>
      </c>
      <c r="B2346" s="126" t="s">
        <v>66</v>
      </c>
      <c r="C2346" s="127">
        <v>21510</v>
      </c>
      <c r="D2346" s="163">
        <v>118299</v>
      </c>
      <c r="E2346" s="164" t="s">
        <v>818</v>
      </c>
      <c r="F2346" s="164" t="s">
        <v>818</v>
      </c>
      <c r="G2346" s="165">
        <v>35000</v>
      </c>
      <c r="H2346" s="165">
        <v>1</v>
      </c>
      <c r="I2346" s="164" t="s">
        <v>187</v>
      </c>
      <c r="J2346" s="164" t="s">
        <v>222</v>
      </c>
      <c r="K2346" s="164" t="s">
        <v>223</v>
      </c>
      <c r="L2346" s="165">
        <v>4</v>
      </c>
      <c r="M2346" s="165">
        <v>6</v>
      </c>
      <c r="N2346" s="164" t="s">
        <v>189</v>
      </c>
      <c r="O2346" s="165">
        <v>0</v>
      </c>
      <c r="P2346" s="165">
        <v>0</v>
      </c>
      <c r="Q2346" s="165">
        <v>21</v>
      </c>
      <c r="R2346" s="164" t="s">
        <v>200</v>
      </c>
      <c r="S2346" s="164" t="s">
        <v>201</v>
      </c>
      <c r="T2346" s="165">
        <v>458</v>
      </c>
      <c r="U2346" s="164" t="s">
        <v>200</v>
      </c>
      <c r="V2346" s="164" t="s">
        <v>763</v>
      </c>
      <c r="W2346" s="165">
        <v>1</v>
      </c>
      <c r="X2346" s="165">
        <v>4</v>
      </c>
      <c r="Y2346" s="164" t="s">
        <v>203</v>
      </c>
      <c r="Z2346" s="164" t="s">
        <v>195</v>
      </c>
      <c r="AA2346" s="164" t="s">
        <v>196</v>
      </c>
      <c r="AB2346" s="164" t="s">
        <v>187</v>
      </c>
      <c r="AC2346" s="164" t="s">
        <v>187</v>
      </c>
      <c r="AD2346" s="165">
        <v>1</v>
      </c>
      <c r="AE2346" s="164" t="s">
        <v>187</v>
      </c>
      <c r="AF2346" s="165">
        <v>31.384805709999998</v>
      </c>
      <c r="AG2346" s="166">
        <v>73.318937289999994</v>
      </c>
      <c r="AO2346" s="121"/>
      <c r="AT2346" s="111"/>
      <c r="AX2346" s="121"/>
    </row>
    <row r="2347" spans="1:50" s="110" customFormat="1" ht="20" customHeight="1">
      <c r="A2347" s="125" t="s">
        <v>231</v>
      </c>
      <c r="B2347" s="126" t="s">
        <v>66</v>
      </c>
      <c r="C2347" s="127">
        <v>21738</v>
      </c>
      <c r="D2347" s="167"/>
      <c r="E2347" s="164" t="s">
        <v>803</v>
      </c>
      <c r="F2347" s="164" t="s">
        <v>803</v>
      </c>
      <c r="G2347" s="165">
        <v>34000</v>
      </c>
      <c r="H2347" s="165">
        <v>1</v>
      </c>
      <c r="I2347" s="164" t="s">
        <v>187</v>
      </c>
      <c r="J2347" s="164" t="s">
        <v>222</v>
      </c>
      <c r="K2347" s="164" t="s">
        <v>223</v>
      </c>
      <c r="L2347" s="165">
        <v>4</v>
      </c>
      <c r="M2347" s="165">
        <v>6</v>
      </c>
      <c r="N2347" s="164" t="s">
        <v>189</v>
      </c>
      <c r="O2347" s="165">
        <v>0</v>
      </c>
      <c r="P2347" s="165">
        <v>0</v>
      </c>
      <c r="Q2347" s="165">
        <v>21</v>
      </c>
      <c r="R2347" s="164" t="s">
        <v>200</v>
      </c>
      <c r="S2347" s="164" t="s">
        <v>201</v>
      </c>
      <c r="T2347" s="165">
        <v>458</v>
      </c>
      <c r="U2347" s="164" t="s">
        <v>200</v>
      </c>
      <c r="V2347" s="164" t="s">
        <v>763</v>
      </c>
      <c r="W2347" s="165">
        <v>1</v>
      </c>
      <c r="X2347" s="165">
        <v>4</v>
      </c>
      <c r="Y2347" s="164" t="s">
        <v>203</v>
      </c>
      <c r="Z2347" s="164" t="s">
        <v>195</v>
      </c>
      <c r="AA2347" s="164" t="s">
        <v>196</v>
      </c>
      <c r="AB2347" s="164" t="s">
        <v>187</v>
      </c>
      <c r="AC2347" s="164" t="s">
        <v>187</v>
      </c>
      <c r="AD2347" s="165">
        <v>1</v>
      </c>
      <c r="AE2347" s="164" t="s">
        <v>187</v>
      </c>
      <c r="AF2347" s="165">
        <v>30.07592</v>
      </c>
      <c r="AG2347" s="166">
        <v>71.009299999999996</v>
      </c>
      <c r="AO2347" s="121"/>
      <c r="AT2347" s="111"/>
      <c r="AX2347" s="121"/>
    </row>
    <row r="2348" spans="1:50" s="110" customFormat="1" ht="20" customHeight="1">
      <c r="A2348" s="125" t="s">
        <v>231</v>
      </c>
      <c r="B2348" s="126" t="s">
        <v>66</v>
      </c>
      <c r="C2348" s="127">
        <v>21724</v>
      </c>
      <c r="D2348" s="167"/>
      <c r="E2348" s="164" t="s">
        <v>769</v>
      </c>
      <c r="F2348" s="164" t="s">
        <v>769</v>
      </c>
      <c r="G2348" s="165">
        <v>33000</v>
      </c>
      <c r="H2348" s="165">
        <v>1</v>
      </c>
      <c r="I2348" s="164" t="s">
        <v>187</v>
      </c>
      <c r="J2348" s="164" t="s">
        <v>219</v>
      </c>
      <c r="K2348" s="164" t="s">
        <v>220</v>
      </c>
      <c r="L2348" s="165">
        <v>5</v>
      </c>
      <c r="M2348" s="165">
        <v>6</v>
      </c>
      <c r="N2348" s="164" t="s">
        <v>189</v>
      </c>
      <c r="O2348" s="165">
        <v>0</v>
      </c>
      <c r="P2348" s="165">
        <v>0</v>
      </c>
      <c r="Q2348" s="165">
        <v>21</v>
      </c>
      <c r="R2348" s="164" t="s">
        <v>200</v>
      </c>
      <c r="S2348" s="164" t="s">
        <v>201</v>
      </c>
      <c r="T2348" s="165">
        <v>458</v>
      </c>
      <c r="U2348" s="164" t="s">
        <v>200</v>
      </c>
      <c r="V2348" s="164" t="s">
        <v>763</v>
      </c>
      <c r="W2348" s="165">
        <v>1</v>
      </c>
      <c r="X2348" s="165">
        <v>4</v>
      </c>
      <c r="Y2348" s="164" t="s">
        <v>203</v>
      </c>
      <c r="Z2348" s="164" t="s">
        <v>195</v>
      </c>
      <c r="AA2348" s="164" t="s">
        <v>196</v>
      </c>
      <c r="AB2348" s="164" t="s">
        <v>187</v>
      </c>
      <c r="AC2348" s="164" t="s">
        <v>187</v>
      </c>
      <c r="AD2348" s="165">
        <v>1</v>
      </c>
      <c r="AE2348" s="164" t="s">
        <v>187</v>
      </c>
      <c r="AF2348" s="165">
        <v>31.351690000000001</v>
      </c>
      <c r="AG2348" s="166">
        <v>73.241309999999999</v>
      </c>
      <c r="AO2348" s="121"/>
      <c r="AT2348" s="111"/>
      <c r="AX2348" s="121"/>
    </row>
    <row r="2349" spans="1:50" s="110" customFormat="1" ht="20" customHeight="1">
      <c r="A2349" s="125" t="s">
        <v>231</v>
      </c>
      <c r="B2349" s="126" t="s">
        <v>66</v>
      </c>
      <c r="C2349" s="127">
        <v>21736</v>
      </c>
      <c r="D2349" s="167"/>
      <c r="E2349" s="164" t="s">
        <v>800</v>
      </c>
      <c r="F2349" s="164" t="s">
        <v>800</v>
      </c>
      <c r="G2349" s="165">
        <v>33000</v>
      </c>
      <c r="H2349" s="165">
        <v>1</v>
      </c>
      <c r="I2349" s="164" t="s">
        <v>187</v>
      </c>
      <c r="J2349" s="164" t="s">
        <v>222</v>
      </c>
      <c r="K2349" s="164" t="s">
        <v>223</v>
      </c>
      <c r="L2349" s="165">
        <v>4</v>
      </c>
      <c r="M2349" s="165">
        <v>6</v>
      </c>
      <c r="N2349" s="164" t="s">
        <v>189</v>
      </c>
      <c r="O2349" s="165">
        <v>0</v>
      </c>
      <c r="P2349" s="165">
        <v>0</v>
      </c>
      <c r="Q2349" s="165">
        <v>21</v>
      </c>
      <c r="R2349" s="164" t="s">
        <v>200</v>
      </c>
      <c r="S2349" s="164" t="s">
        <v>201</v>
      </c>
      <c r="T2349" s="165">
        <v>458</v>
      </c>
      <c r="U2349" s="164" t="s">
        <v>200</v>
      </c>
      <c r="V2349" s="164" t="s">
        <v>763</v>
      </c>
      <c r="W2349" s="165">
        <v>1</v>
      </c>
      <c r="X2349" s="165">
        <v>4</v>
      </c>
      <c r="Y2349" s="164" t="s">
        <v>203</v>
      </c>
      <c r="Z2349" s="164" t="s">
        <v>195</v>
      </c>
      <c r="AA2349" s="164" t="s">
        <v>196</v>
      </c>
      <c r="AB2349" s="164" t="s">
        <v>187</v>
      </c>
      <c r="AC2349" s="164" t="s">
        <v>187</v>
      </c>
      <c r="AD2349" s="165">
        <v>1</v>
      </c>
      <c r="AE2349" s="164" t="s">
        <v>187</v>
      </c>
      <c r="AF2349" s="165">
        <v>30.07592</v>
      </c>
      <c r="AG2349" s="166">
        <v>71.009299999999996</v>
      </c>
      <c r="AO2349" s="121"/>
      <c r="AT2349" s="111"/>
      <c r="AX2349" s="121"/>
    </row>
    <row r="2350" spans="1:50" s="110" customFormat="1" ht="20" customHeight="1">
      <c r="A2350" s="125" t="s">
        <v>231</v>
      </c>
      <c r="B2350" s="126" t="s">
        <v>66</v>
      </c>
      <c r="C2350" s="127">
        <v>21739</v>
      </c>
      <c r="D2350" s="167"/>
      <c r="E2350" s="164" t="s">
        <v>804</v>
      </c>
      <c r="F2350" s="164" t="s">
        <v>804</v>
      </c>
      <c r="G2350" s="165">
        <v>33000</v>
      </c>
      <c r="H2350" s="165">
        <v>1</v>
      </c>
      <c r="I2350" s="164" t="s">
        <v>187</v>
      </c>
      <c r="J2350" s="164" t="s">
        <v>222</v>
      </c>
      <c r="K2350" s="164" t="s">
        <v>223</v>
      </c>
      <c r="L2350" s="165">
        <v>4</v>
      </c>
      <c r="M2350" s="165">
        <v>6</v>
      </c>
      <c r="N2350" s="164" t="s">
        <v>189</v>
      </c>
      <c r="O2350" s="165">
        <v>0</v>
      </c>
      <c r="P2350" s="165">
        <v>0</v>
      </c>
      <c r="Q2350" s="165">
        <v>21</v>
      </c>
      <c r="R2350" s="164" t="s">
        <v>200</v>
      </c>
      <c r="S2350" s="164" t="s">
        <v>201</v>
      </c>
      <c r="T2350" s="165">
        <v>458</v>
      </c>
      <c r="U2350" s="164" t="s">
        <v>200</v>
      </c>
      <c r="V2350" s="164" t="s">
        <v>763</v>
      </c>
      <c r="W2350" s="165">
        <v>1</v>
      </c>
      <c r="X2350" s="165">
        <v>4</v>
      </c>
      <c r="Y2350" s="164" t="s">
        <v>203</v>
      </c>
      <c r="Z2350" s="164" t="s">
        <v>195</v>
      </c>
      <c r="AA2350" s="164" t="s">
        <v>196</v>
      </c>
      <c r="AB2350" s="164" t="s">
        <v>187</v>
      </c>
      <c r="AC2350" s="164" t="s">
        <v>187</v>
      </c>
      <c r="AD2350" s="165">
        <v>1</v>
      </c>
      <c r="AE2350" s="164" t="s">
        <v>187</v>
      </c>
      <c r="AF2350" s="165">
        <v>30.07592</v>
      </c>
      <c r="AG2350" s="166">
        <v>71.009299999999996</v>
      </c>
      <c r="AO2350" s="121"/>
      <c r="AT2350" s="111"/>
      <c r="AX2350" s="121"/>
    </row>
    <row r="2351" spans="1:50" s="110" customFormat="1" ht="20" customHeight="1">
      <c r="A2351" s="125" t="s">
        <v>231</v>
      </c>
      <c r="B2351" s="126" t="s">
        <v>66</v>
      </c>
      <c r="C2351" s="127">
        <v>21729</v>
      </c>
      <c r="D2351" s="167"/>
      <c r="E2351" s="164" t="s">
        <v>783</v>
      </c>
      <c r="F2351" s="164" t="s">
        <v>783</v>
      </c>
      <c r="G2351" s="165">
        <v>32000</v>
      </c>
      <c r="H2351" s="165">
        <v>1</v>
      </c>
      <c r="I2351" s="164" t="s">
        <v>187</v>
      </c>
      <c r="J2351" s="164" t="s">
        <v>219</v>
      </c>
      <c r="K2351" s="164" t="s">
        <v>220</v>
      </c>
      <c r="L2351" s="165">
        <v>5</v>
      </c>
      <c r="M2351" s="165">
        <v>6</v>
      </c>
      <c r="N2351" s="164" t="s">
        <v>189</v>
      </c>
      <c r="O2351" s="165">
        <v>0</v>
      </c>
      <c r="P2351" s="165">
        <v>0</v>
      </c>
      <c r="Q2351" s="165">
        <v>21</v>
      </c>
      <c r="R2351" s="164" t="s">
        <v>200</v>
      </c>
      <c r="S2351" s="164" t="s">
        <v>201</v>
      </c>
      <c r="T2351" s="165">
        <v>458</v>
      </c>
      <c r="U2351" s="164" t="s">
        <v>200</v>
      </c>
      <c r="V2351" s="164" t="s">
        <v>763</v>
      </c>
      <c r="W2351" s="165">
        <v>2</v>
      </c>
      <c r="X2351" s="165">
        <v>4</v>
      </c>
      <c r="Y2351" s="164" t="s">
        <v>203</v>
      </c>
      <c r="Z2351" s="164" t="s">
        <v>195</v>
      </c>
      <c r="AA2351" s="164" t="s">
        <v>196</v>
      </c>
      <c r="AB2351" s="164" t="s">
        <v>187</v>
      </c>
      <c r="AC2351" s="164" t="s">
        <v>187</v>
      </c>
      <c r="AD2351" s="165">
        <v>1</v>
      </c>
      <c r="AE2351" s="164" t="s">
        <v>187</v>
      </c>
      <c r="AF2351" s="165">
        <v>26.865480000000002</v>
      </c>
      <c r="AG2351" s="166">
        <v>69.054590000000005</v>
      </c>
      <c r="AO2351" s="121"/>
      <c r="AT2351" s="111"/>
      <c r="AX2351" s="121"/>
    </row>
    <row r="2352" spans="1:50" s="110" customFormat="1" ht="20" customHeight="1">
      <c r="A2352" s="125" t="s">
        <v>231</v>
      </c>
      <c r="B2352" s="126" t="s">
        <v>66</v>
      </c>
      <c r="C2352" s="127">
        <v>21735</v>
      </c>
      <c r="D2352" s="167"/>
      <c r="E2352" s="164" t="s">
        <v>799</v>
      </c>
      <c r="F2352" s="164" t="s">
        <v>799</v>
      </c>
      <c r="G2352" s="165">
        <v>32000</v>
      </c>
      <c r="H2352" s="165">
        <v>1</v>
      </c>
      <c r="I2352" s="164" t="s">
        <v>187</v>
      </c>
      <c r="J2352" s="164" t="s">
        <v>222</v>
      </c>
      <c r="K2352" s="164" t="s">
        <v>223</v>
      </c>
      <c r="L2352" s="165">
        <v>4</v>
      </c>
      <c r="M2352" s="165">
        <v>6</v>
      </c>
      <c r="N2352" s="164" t="s">
        <v>189</v>
      </c>
      <c r="O2352" s="165">
        <v>0</v>
      </c>
      <c r="P2352" s="165">
        <v>0</v>
      </c>
      <c r="Q2352" s="165">
        <v>21</v>
      </c>
      <c r="R2352" s="164" t="s">
        <v>200</v>
      </c>
      <c r="S2352" s="164" t="s">
        <v>201</v>
      </c>
      <c r="T2352" s="165">
        <v>458</v>
      </c>
      <c r="U2352" s="164" t="s">
        <v>200</v>
      </c>
      <c r="V2352" s="164" t="s">
        <v>763</v>
      </c>
      <c r="W2352" s="165">
        <v>1</v>
      </c>
      <c r="X2352" s="165">
        <v>4</v>
      </c>
      <c r="Y2352" s="164" t="s">
        <v>203</v>
      </c>
      <c r="Z2352" s="164" t="s">
        <v>195</v>
      </c>
      <c r="AA2352" s="164" t="s">
        <v>196</v>
      </c>
      <c r="AB2352" s="164" t="s">
        <v>187</v>
      </c>
      <c r="AC2352" s="164" t="s">
        <v>187</v>
      </c>
      <c r="AD2352" s="165">
        <v>1</v>
      </c>
      <c r="AE2352" s="164" t="s">
        <v>187</v>
      </c>
      <c r="AF2352" s="165">
        <v>33.426569999999998</v>
      </c>
      <c r="AG2352" s="166">
        <v>73.221559999999997</v>
      </c>
      <c r="AO2352" s="121"/>
      <c r="AT2352" s="111"/>
      <c r="AX2352" s="121"/>
    </row>
    <row r="2353" spans="1:50" s="110" customFormat="1" ht="20" customHeight="1">
      <c r="A2353" s="125" t="s">
        <v>231</v>
      </c>
      <c r="B2353" s="126" t="s">
        <v>66</v>
      </c>
      <c r="C2353" s="127">
        <v>21743</v>
      </c>
      <c r="D2353" s="167"/>
      <c r="E2353" s="164" t="s">
        <v>809</v>
      </c>
      <c r="F2353" s="164" t="s">
        <v>809</v>
      </c>
      <c r="G2353" s="165">
        <v>31000</v>
      </c>
      <c r="H2353" s="165">
        <v>1</v>
      </c>
      <c r="I2353" s="164" t="s">
        <v>187</v>
      </c>
      <c r="J2353" s="164" t="s">
        <v>222</v>
      </c>
      <c r="K2353" s="164" t="s">
        <v>223</v>
      </c>
      <c r="L2353" s="165">
        <v>4</v>
      </c>
      <c r="M2353" s="165">
        <v>6</v>
      </c>
      <c r="N2353" s="164" t="s">
        <v>189</v>
      </c>
      <c r="O2353" s="165">
        <v>0</v>
      </c>
      <c r="P2353" s="165">
        <v>0</v>
      </c>
      <c r="Q2353" s="165">
        <v>21</v>
      </c>
      <c r="R2353" s="164" t="s">
        <v>200</v>
      </c>
      <c r="S2353" s="164" t="s">
        <v>201</v>
      </c>
      <c r="T2353" s="165">
        <v>458</v>
      </c>
      <c r="U2353" s="164" t="s">
        <v>200</v>
      </c>
      <c r="V2353" s="164" t="s">
        <v>763</v>
      </c>
      <c r="W2353" s="165">
        <v>1</v>
      </c>
      <c r="X2353" s="165">
        <v>4</v>
      </c>
      <c r="Y2353" s="164" t="s">
        <v>203</v>
      </c>
      <c r="Z2353" s="164" t="s">
        <v>195</v>
      </c>
      <c r="AA2353" s="164" t="s">
        <v>196</v>
      </c>
      <c r="AB2353" s="164" t="s">
        <v>187</v>
      </c>
      <c r="AC2353" s="164" t="s">
        <v>187</v>
      </c>
      <c r="AD2353" s="165">
        <v>1</v>
      </c>
      <c r="AE2353" s="164" t="s">
        <v>187</v>
      </c>
      <c r="AF2353" s="165">
        <v>32.185169999999999</v>
      </c>
      <c r="AG2353" s="166">
        <v>72.814570000000003</v>
      </c>
      <c r="AO2353" s="121"/>
      <c r="AT2353" s="111"/>
      <c r="AX2353" s="121"/>
    </row>
    <row r="2354" spans="1:50" s="110" customFormat="1" ht="20" customHeight="1">
      <c r="A2354" s="125" t="s">
        <v>231</v>
      </c>
      <c r="B2354" s="126" t="s">
        <v>66</v>
      </c>
      <c r="C2354" s="127">
        <v>21733</v>
      </c>
      <c r="D2354" s="167"/>
      <c r="E2354" s="164" t="s">
        <v>797</v>
      </c>
      <c r="F2354" s="164" t="s">
        <v>797</v>
      </c>
      <c r="G2354" s="165">
        <v>30000</v>
      </c>
      <c r="H2354" s="165">
        <v>1</v>
      </c>
      <c r="I2354" s="164" t="s">
        <v>187</v>
      </c>
      <c r="J2354" s="164" t="s">
        <v>222</v>
      </c>
      <c r="K2354" s="164" t="s">
        <v>223</v>
      </c>
      <c r="L2354" s="165">
        <v>4</v>
      </c>
      <c r="M2354" s="165">
        <v>6</v>
      </c>
      <c r="N2354" s="164" t="s">
        <v>189</v>
      </c>
      <c r="O2354" s="165">
        <v>0</v>
      </c>
      <c r="P2354" s="165">
        <v>0</v>
      </c>
      <c r="Q2354" s="165">
        <v>21</v>
      </c>
      <c r="R2354" s="164" t="s">
        <v>200</v>
      </c>
      <c r="S2354" s="164" t="s">
        <v>201</v>
      </c>
      <c r="T2354" s="165">
        <v>458</v>
      </c>
      <c r="U2354" s="164" t="s">
        <v>200</v>
      </c>
      <c r="V2354" s="164" t="s">
        <v>763</v>
      </c>
      <c r="W2354" s="165">
        <v>1</v>
      </c>
      <c r="X2354" s="165">
        <v>4</v>
      </c>
      <c r="Y2354" s="164" t="s">
        <v>203</v>
      </c>
      <c r="Z2354" s="164" t="s">
        <v>195</v>
      </c>
      <c r="AA2354" s="164" t="s">
        <v>196</v>
      </c>
      <c r="AB2354" s="164" t="s">
        <v>187</v>
      </c>
      <c r="AC2354" s="164" t="s">
        <v>187</v>
      </c>
      <c r="AD2354" s="165">
        <v>1</v>
      </c>
      <c r="AE2354" s="164" t="s">
        <v>187</v>
      </c>
      <c r="AF2354" s="165">
        <v>30.471820000000001</v>
      </c>
      <c r="AG2354" s="166">
        <v>70.423439999999999</v>
      </c>
      <c r="AO2354" s="121"/>
      <c r="AT2354" s="111"/>
      <c r="AX2354" s="121"/>
    </row>
    <row r="2355" spans="1:50" s="110" customFormat="1" ht="20" customHeight="1">
      <c r="A2355" s="125" t="s">
        <v>231</v>
      </c>
      <c r="B2355" s="126" t="s">
        <v>66</v>
      </c>
      <c r="C2355" s="127">
        <v>21754</v>
      </c>
      <c r="D2355" s="167"/>
      <c r="E2355" s="164" t="s">
        <v>821</v>
      </c>
      <c r="F2355" s="164" t="s">
        <v>821</v>
      </c>
      <c r="G2355" s="165">
        <v>26000</v>
      </c>
      <c r="H2355" s="165">
        <v>1</v>
      </c>
      <c r="I2355" s="164" t="s">
        <v>187</v>
      </c>
      <c r="J2355" s="164" t="s">
        <v>222</v>
      </c>
      <c r="K2355" s="164" t="s">
        <v>223</v>
      </c>
      <c r="L2355" s="165">
        <v>4</v>
      </c>
      <c r="M2355" s="165">
        <v>6</v>
      </c>
      <c r="N2355" s="164" t="s">
        <v>189</v>
      </c>
      <c r="O2355" s="165">
        <v>0</v>
      </c>
      <c r="P2355" s="165">
        <v>0</v>
      </c>
      <c r="Q2355" s="165">
        <v>21</v>
      </c>
      <c r="R2355" s="164" t="s">
        <v>200</v>
      </c>
      <c r="S2355" s="164" t="s">
        <v>201</v>
      </c>
      <c r="T2355" s="165">
        <v>458</v>
      </c>
      <c r="U2355" s="164" t="s">
        <v>200</v>
      </c>
      <c r="V2355" s="164" t="s">
        <v>763</v>
      </c>
      <c r="W2355" s="165">
        <v>1</v>
      </c>
      <c r="X2355" s="165">
        <v>4</v>
      </c>
      <c r="Y2355" s="164" t="s">
        <v>203</v>
      </c>
      <c r="Z2355" s="164" t="s">
        <v>195</v>
      </c>
      <c r="AA2355" s="164" t="s">
        <v>196</v>
      </c>
      <c r="AB2355" s="164" t="s">
        <v>187</v>
      </c>
      <c r="AC2355" s="164" t="s">
        <v>187</v>
      </c>
      <c r="AD2355" s="165">
        <v>1</v>
      </c>
      <c r="AE2355" s="164" t="s">
        <v>187</v>
      </c>
      <c r="AF2355" s="165">
        <v>30.07592</v>
      </c>
      <c r="AG2355" s="166">
        <v>71.009299999999996</v>
      </c>
      <c r="AO2355" s="121"/>
      <c r="AT2355" s="111"/>
      <c r="AX2355" s="121"/>
    </row>
    <row r="2356" spans="1:50" s="110" customFormat="1" ht="20" customHeight="1">
      <c r="A2356" s="125" t="s">
        <v>231</v>
      </c>
      <c r="B2356" s="126" t="s">
        <v>66</v>
      </c>
      <c r="C2356" s="127">
        <v>21141</v>
      </c>
      <c r="D2356" s="163">
        <v>117963</v>
      </c>
      <c r="E2356" s="164" t="s">
        <v>825</v>
      </c>
      <c r="F2356" s="164" t="s">
        <v>826</v>
      </c>
      <c r="G2356" s="165">
        <v>26000</v>
      </c>
      <c r="H2356" s="165">
        <v>1</v>
      </c>
      <c r="I2356" s="164" t="s">
        <v>187</v>
      </c>
      <c r="J2356" s="164" t="s">
        <v>219</v>
      </c>
      <c r="K2356" s="164" t="s">
        <v>220</v>
      </c>
      <c r="L2356" s="165">
        <v>5</v>
      </c>
      <c r="M2356" s="165">
        <v>6</v>
      </c>
      <c r="N2356" s="164" t="s">
        <v>189</v>
      </c>
      <c r="O2356" s="165">
        <v>0</v>
      </c>
      <c r="P2356" s="165">
        <v>0</v>
      </c>
      <c r="Q2356" s="165">
        <v>21</v>
      </c>
      <c r="R2356" s="164" t="s">
        <v>200</v>
      </c>
      <c r="S2356" s="164" t="s">
        <v>201</v>
      </c>
      <c r="T2356" s="165">
        <v>458</v>
      </c>
      <c r="U2356" s="164" t="s">
        <v>200</v>
      </c>
      <c r="V2356" s="164" t="s">
        <v>763</v>
      </c>
      <c r="W2356" s="165">
        <v>2</v>
      </c>
      <c r="X2356" s="165">
        <v>4</v>
      </c>
      <c r="Y2356" s="164" t="s">
        <v>203</v>
      </c>
      <c r="Z2356" s="164" t="s">
        <v>195</v>
      </c>
      <c r="AA2356" s="164" t="s">
        <v>196</v>
      </c>
      <c r="AB2356" s="164" t="s">
        <v>187</v>
      </c>
      <c r="AC2356" s="164" t="s">
        <v>187</v>
      </c>
      <c r="AD2356" s="165">
        <v>1</v>
      </c>
      <c r="AE2356" s="164" t="s">
        <v>187</v>
      </c>
      <c r="AF2356" s="165">
        <v>26.865480000000002</v>
      </c>
      <c r="AG2356" s="166">
        <v>69.054590000000005</v>
      </c>
      <c r="AO2356" s="121"/>
      <c r="AT2356" s="111"/>
      <c r="AX2356" s="121"/>
    </row>
    <row r="2357" spans="1:50" s="110" customFormat="1" ht="20" customHeight="1">
      <c r="A2357" s="125" t="s">
        <v>231</v>
      </c>
      <c r="B2357" s="126" t="s">
        <v>66</v>
      </c>
      <c r="C2357" s="127">
        <v>21742</v>
      </c>
      <c r="D2357" s="167"/>
      <c r="E2357" s="164" t="s">
        <v>808</v>
      </c>
      <c r="F2357" s="164" t="s">
        <v>808</v>
      </c>
      <c r="G2357" s="165">
        <v>25000</v>
      </c>
      <c r="H2357" s="165">
        <v>1</v>
      </c>
      <c r="I2357" s="164" t="s">
        <v>187</v>
      </c>
      <c r="J2357" s="164" t="s">
        <v>222</v>
      </c>
      <c r="K2357" s="164" t="s">
        <v>223</v>
      </c>
      <c r="L2357" s="165">
        <v>4</v>
      </c>
      <c r="M2357" s="165">
        <v>6</v>
      </c>
      <c r="N2357" s="164" t="s">
        <v>189</v>
      </c>
      <c r="O2357" s="165">
        <v>0</v>
      </c>
      <c r="P2357" s="165">
        <v>0</v>
      </c>
      <c r="Q2357" s="165">
        <v>21</v>
      </c>
      <c r="R2357" s="164" t="s">
        <v>200</v>
      </c>
      <c r="S2357" s="164" t="s">
        <v>201</v>
      </c>
      <c r="T2357" s="165">
        <v>458</v>
      </c>
      <c r="U2357" s="164" t="s">
        <v>200</v>
      </c>
      <c r="V2357" s="164" t="s">
        <v>763</v>
      </c>
      <c r="W2357" s="165">
        <v>1</v>
      </c>
      <c r="X2357" s="165">
        <v>4</v>
      </c>
      <c r="Y2357" s="164" t="s">
        <v>203</v>
      </c>
      <c r="Z2357" s="164" t="s">
        <v>195</v>
      </c>
      <c r="AA2357" s="164" t="s">
        <v>196</v>
      </c>
      <c r="AB2357" s="164" t="s">
        <v>187</v>
      </c>
      <c r="AC2357" s="164" t="s">
        <v>187</v>
      </c>
      <c r="AD2357" s="165">
        <v>1</v>
      </c>
      <c r="AE2357" s="164" t="s">
        <v>187</v>
      </c>
      <c r="AF2357" s="165">
        <v>32.094029999999997</v>
      </c>
      <c r="AG2357" s="166">
        <v>74.218249999999998</v>
      </c>
      <c r="AO2357" s="121"/>
      <c r="AT2357" s="111"/>
      <c r="AX2357" s="121"/>
    </row>
    <row r="2358" spans="1:50" s="110" customFormat="1" ht="20" customHeight="1">
      <c r="A2358" s="125" t="s">
        <v>231</v>
      </c>
      <c r="B2358" s="126" t="s">
        <v>66</v>
      </c>
      <c r="C2358" s="127">
        <v>21750</v>
      </c>
      <c r="D2358" s="167"/>
      <c r="E2358" s="164" t="s">
        <v>816</v>
      </c>
      <c r="F2358" s="164" t="s">
        <v>816</v>
      </c>
      <c r="G2358" s="165">
        <v>24000</v>
      </c>
      <c r="H2358" s="165">
        <v>1</v>
      </c>
      <c r="I2358" s="164" t="s">
        <v>187</v>
      </c>
      <c r="J2358" s="164" t="s">
        <v>222</v>
      </c>
      <c r="K2358" s="164" t="s">
        <v>223</v>
      </c>
      <c r="L2358" s="165">
        <v>4</v>
      </c>
      <c r="M2358" s="165">
        <v>6</v>
      </c>
      <c r="N2358" s="164" t="s">
        <v>189</v>
      </c>
      <c r="O2358" s="165">
        <v>0</v>
      </c>
      <c r="P2358" s="165">
        <v>0</v>
      </c>
      <c r="Q2358" s="165">
        <v>21</v>
      </c>
      <c r="R2358" s="164" t="s">
        <v>200</v>
      </c>
      <c r="S2358" s="164" t="s">
        <v>201</v>
      </c>
      <c r="T2358" s="165">
        <v>458</v>
      </c>
      <c r="U2358" s="164" t="s">
        <v>200</v>
      </c>
      <c r="V2358" s="164" t="s">
        <v>763</v>
      </c>
      <c r="W2358" s="165">
        <v>1</v>
      </c>
      <c r="X2358" s="165">
        <v>4</v>
      </c>
      <c r="Y2358" s="164" t="s">
        <v>203</v>
      </c>
      <c r="Z2358" s="164" t="s">
        <v>195</v>
      </c>
      <c r="AA2358" s="164" t="s">
        <v>196</v>
      </c>
      <c r="AB2358" s="164" t="s">
        <v>187</v>
      </c>
      <c r="AC2358" s="164" t="s">
        <v>187</v>
      </c>
      <c r="AD2358" s="165">
        <v>1</v>
      </c>
      <c r="AE2358" s="164" t="s">
        <v>187</v>
      </c>
      <c r="AF2358" s="165">
        <v>30.48771</v>
      </c>
      <c r="AG2358" s="166">
        <v>72.046239999999997</v>
      </c>
      <c r="AO2358" s="121"/>
      <c r="AT2358" s="111"/>
      <c r="AX2358" s="121"/>
    </row>
    <row r="2359" spans="1:50" s="110" customFormat="1" ht="20" customHeight="1">
      <c r="A2359" s="125" t="s">
        <v>231</v>
      </c>
      <c r="B2359" s="126" t="s">
        <v>66</v>
      </c>
      <c r="C2359" s="127">
        <v>21727</v>
      </c>
      <c r="D2359" s="167"/>
      <c r="E2359" s="164" t="s">
        <v>777</v>
      </c>
      <c r="F2359" s="164" t="s">
        <v>777</v>
      </c>
      <c r="G2359" s="165">
        <v>22000</v>
      </c>
      <c r="H2359" s="165">
        <v>1</v>
      </c>
      <c r="I2359" s="164" t="s">
        <v>187</v>
      </c>
      <c r="J2359" s="164" t="s">
        <v>222</v>
      </c>
      <c r="K2359" s="164" t="s">
        <v>223</v>
      </c>
      <c r="L2359" s="165">
        <v>4</v>
      </c>
      <c r="M2359" s="165">
        <v>6</v>
      </c>
      <c r="N2359" s="164" t="s">
        <v>189</v>
      </c>
      <c r="O2359" s="165">
        <v>0</v>
      </c>
      <c r="P2359" s="165">
        <v>0</v>
      </c>
      <c r="Q2359" s="165">
        <v>21</v>
      </c>
      <c r="R2359" s="164" t="s">
        <v>200</v>
      </c>
      <c r="S2359" s="164" t="s">
        <v>201</v>
      </c>
      <c r="T2359" s="165">
        <v>458</v>
      </c>
      <c r="U2359" s="164" t="s">
        <v>200</v>
      </c>
      <c r="V2359" s="164" t="s">
        <v>763</v>
      </c>
      <c r="W2359" s="165">
        <v>1</v>
      </c>
      <c r="X2359" s="165">
        <v>4</v>
      </c>
      <c r="Y2359" s="164" t="s">
        <v>203</v>
      </c>
      <c r="Z2359" s="164" t="s">
        <v>195</v>
      </c>
      <c r="AA2359" s="164" t="s">
        <v>196</v>
      </c>
      <c r="AB2359" s="164" t="s">
        <v>187</v>
      </c>
      <c r="AC2359" s="164" t="s">
        <v>187</v>
      </c>
      <c r="AD2359" s="165">
        <v>1</v>
      </c>
      <c r="AE2359" s="164" t="s">
        <v>187</v>
      </c>
      <c r="AF2359" s="165">
        <v>29.710920000000002</v>
      </c>
      <c r="AG2359" s="166">
        <v>73.105760000000004</v>
      </c>
      <c r="AO2359" s="121"/>
      <c r="AT2359" s="111"/>
      <c r="AX2359" s="121"/>
    </row>
    <row r="2360" spans="1:50" s="110" customFormat="1" ht="20" customHeight="1">
      <c r="A2360" s="125" t="s">
        <v>231</v>
      </c>
      <c r="B2360" s="126" t="s">
        <v>66</v>
      </c>
      <c r="C2360" s="127">
        <v>21737</v>
      </c>
      <c r="D2360" s="167"/>
      <c r="E2360" s="164" t="s">
        <v>802</v>
      </c>
      <c r="F2360" s="164" t="s">
        <v>802</v>
      </c>
      <c r="G2360" s="165">
        <v>22000</v>
      </c>
      <c r="H2360" s="165">
        <v>1</v>
      </c>
      <c r="I2360" s="164" t="s">
        <v>187</v>
      </c>
      <c r="J2360" s="164" t="s">
        <v>222</v>
      </c>
      <c r="K2360" s="164" t="s">
        <v>223</v>
      </c>
      <c r="L2360" s="165">
        <v>4</v>
      </c>
      <c r="M2360" s="165">
        <v>6</v>
      </c>
      <c r="N2360" s="164" t="s">
        <v>189</v>
      </c>
      <c r="O2360" s="165">
        <v>0</v>
      </c>
      <c r="P2360" s="165">
        <v>0</v>
      </c>
      <c r="Q2360" s="165">
        <v>21</v>
      </c>
      <c r="R2360" s="164" t="s">
        <v>200</v>
      </c>
      <c r="S2360" s="164" t="s">
        <v>201</v>
      </c>
      <c r="T2360" s="165">
        <v>458</v>
      </c>
      <c r="U2360" s="164" t="s">
        <v>200</v>
      </c>
      <c r="V2360" s="164" t="s">
        <v>763</v>
      </c>
      <c r="W2360" s="165">
        <v>1</v>
      </c>
      <c r="X2360" s="165">
        <v>4</v>
      </c>
      <c r="Y2360" s="164" t="s">
        <v>203</v>
      </c>
      <c r="Z2360" s="164" t="s">
        <v>195</v>
      </c>
      <c r="AA2360" s="164" t="s">
        <v>196</v>
      </c>
      <c r="AB2360" s="164" t="s">
        <v>187</v>
      </c>
      <c r="AC2360" s="164" t="s">
        <v>187</v>
      </c>
      <c r="AD2360" s="165">
        <v>1</v>
      </c>
      <c r="AE2360" s="164" t="s">
        <v>187</v>
      </c>
      <c r="AF2360" s="165">
        <v>33.426569999999998</v>
      </c>
      <c r="AG2360" s="166">
        <v>73.221559999999997</v>
      </c>
      <c r="AO2360" s="121"/>
      <c r="AT2360" s="111"/>
      <c r="AX2360" s="121"/>
    </row>
    <row r="2361" spans="1:50" s="110" customFormat="1" ht="20" customHeight="1">
      <c r="A2361" s="125" t="s">
        <v>231</v>
      </c>
      <c r="B2361" s="126" t="s">
        <v>66</v>
      </c>
      <c r="C2361" s="127">
        <v>21725</v>
      </c>
      <c r="D2361" s="167"/>
      <c r="E2361" s="164" t="s">
        <v>770</v>
      </c>
      <c r="F2361" s="164" t="s">
        <v>770</v>
      </c>
      <c r="G2361" s="165">
        <v>7400</v>
      </c>
      <c r="H2361" s="165">
        <v>1</v>
      </c>
      <c r="I2361" s="164" t="s">
        <v>187</v>
      </c>
      <c r="J2361" s="164" t="s">
        <v>222</v>
      </c>
      <c r="K2361" s="164" t="s">
        <v>223</v>
      </c>
      <c r="L2361" s="165">
        <v>4</v>
      </c>
      <c r="M2361" s="165">
        <v>6</v>
      </c>
      <c r="N2361" s="164" t="s">
        <v>189</v>
      </c>
      <c r="O2361" s="165">
        <v>0</v>
      </c>
      <c r="P2361" s="165">
        <v>0</v>
      </c>
      <c r="Q2361" s="165">
        <v>21</v>
      </c>
      <c r="R2361" s="164" t="s">
        <v>200</v>
      </c>
      <c r="S2361" s="164" t="s">
        <v>201</v>
      </c>
      <c r="T2361" s="165">
        <v>458</v>
      </c>
      <c r="U2361" s="164" t="s">
        <v>200</v>
      </c>
      <c r="V2361" s="164" t="s">
        <v>763</v>
      </c>
      <c r="W2361" s="165">
        <v>1</v>
      </c>
      <c r="X2361" s="165">
        <v>4</v>
      </c>
      <c r="Y2361" s="164" t="s">
        <v>203</v>
      </c>
      <c r="Z2361" s="164" t="s">
        <v>195</v>
      </c>
      <c r="AA2361" s="164" t="s">
        <v>196</v>
      </c>
      <c r="AB2361" s="164" t="s">
        <v>187</v>
      </c>
      <c r="AC2361" s="164" t="s">
        <v>187</v>
      </c>
      <c r="AD2361" s="165">
        <v>1</v>
      </c>
      <c r="AE2361" s="164" t="s">
        <v>187</v>
      </c>
      <c r="AF2361" s="165">
        <v>30.471820000000001</v>
      </c>
      <c r="AG2361" s="166">
        <v>70.423439999999999</v>
      </c>
      <c r="AO2361" s="121"/>
      <c r="AT2361" s="111"/>
      <c r="AX2361" s="121"/>
    </row>
    <row r="2362" spans="1:50" s="110" customFormat="1" ht="20" customHeight="1">
      <c r="A2362" s="125" t="s">
        <v>231</v>
      </c>
      <c r="B2362" s="126" t="s">
        <v>66</v>
      </c>
      <c r="C2362" s="127">
        <v>21479</v>
      </c>
      <c r="D2362" s="163">
        <v>118295</v>
      </c>
      <c r="E2362" s="164" t="s">
        <v>764</v>
      </c>
      <c r="F2362" s="164" t="s">
        <v>764</v>
      </c>
      <c r="G2362" s="165">
        <v>6700</v>
      </c>
      <c r="H2362" s="165">
        <v>1</v>
      </c>
      <c r="I2362" s="164" t="s">
        <v>187</v>
      </c>
      <c r="J2362" s="164" t="s">
        <v>222</v>
      </c>
      <c r="K2362" s="164" t="s">
        <v>223</v>
      </c>
      <c r="L2362" s="165">
        <v>4</v>
      </c>
      <c r="M2362" s="165">
        <v>6</v>
      </c>
      <c r="N2362" s="164" t="s">
        <v>189</v>
      </c>
      <c r="O2362" s="165">
        <v>0</v>
      </c>
      <c r="P2362" s="165">
        <v>0</v>
      </c>
      <c r="Q2362" s="165">
        <v>21</v>
      </c>
      <c r="R2362" s="164" t="s">
        <v>200</v>
      </c>
      <c r="S2362" s="164" t="s">
        <v>201</v>
      </c>
      <c r="T2362" s="165">
        <v>458</v>
      </c>
      <c r="U2362" s="164" t="s">
        <v>200</v>
      </c>
      <c r="V2362" s="164" t="s">
        <v>763</v>
      </c>
      <c r="W2362" s="165">
        <v>3</v>
      </c>
      <c r="X2362" s="165">
        <v>4</v>
      </c>
      <c r="Y2362" s="164" t="s">
        <v>203</v>
      </c>
      <c r="Z2362" s="164" t="s">
        <v>195</v>
      </c>
      <c r="AA2362" s="164" t="s">
        <v>196</v>
      </c>
      <c r="AB2362" s="164" t="s">
        <v>187</v>
      </c>
      <c r="AC2362" s="164" t="s">
        <v>187</v>
      </c>
      <c r="AD2362" s="165">
        <v>1</v>
      </c>
      <c r="AE2362" s="164" t="s">
        <v>187</v>
      </c>
      <c r="AF2362" s="165">
        <v>32.680109999999999</v>
      </c>
      <c r="AG2362" s="166">
        <v>71.527000000000001</v>
      </c>
      <c r="AO2362" s="121"/>
      <c r="AT2362" s="111"/>
      <c r="AX2362" s="121"/>
    </row>
    <row r="2363" spans="1:50" s="110" customFormat="1" ht="20" customHeight="1">
      <c r="A2363" s="125" t="s">
        <v>224</v>
      </c>
      <c r="B2363" s="126" t="s">
        <v>68</v>
      </c>
      <c r="C2363" s="127">
        <v>17571</v>
      </c>
      <c r="D2363" s="163">
        <v>112998</v>
      </c>
      <c r="E2363" s="164" t="s">
        <v>762</v>
      </c>
      <c r="F2363" s="164" t="s">
        <v>762</v>
      </c>
      <c r="G2363" s="165">
        <v>1700</v>
      </c>
      <c r="H2363" s="165">
        <v>1</v>
      </c>
      <c r="I2363" s="164" t="s">
        <v>187</v>
      </c>
      <c r="J2363" s="164" t="s">
        <v>222</v>
      </c>
      <c r="K2363" s="164" t="s">
        <v>223</v>
      </c>
      <c r="L2363" s="165">
        <v>4</v>
      </c>
      <c r="M2363" s="165">
        <v>6</v>
      </c>
      <c r="N2363" s="164" t="s">
        <v>189</v>
      </c>
      <c r="O2363" s="165">
        <v>0</v>
      </c>
      <c r="P2363" s="165">
        <v>0</v>
      </c>
      <c r="Q2363" s="165">
        <v>21</v>
      </c>
      <c r="R2363" s="164" t="s">
        <v>200</v>
      </c>
      <c r="S2363" s="164" t="s">
        <v>201</v>
      </c>
      <c r="T2363" s="165">
        <v>458</v>
      </c>
      <c r="U2363" s="164" t="s">
        <v>200</v>
      </c>
      <c r="V2363" s="164" t="s">
        <v>763</v>
      </c>
      <c r="W2363" s="165">
        <v>4</v>
      </c>
      <c r="X2363" s="165">
        <v>4</v>
      </c>
      <c r="Y2363" s="164" t="s">
        <v>203</v>
      </c>
      <c r="Z2363" s="164" t="s">
        <v>195</v>
      </c>
      <c r="AA2363" s="164" t="s">
        <v>196</v>
      </c>
      <c r="AB2363" s="164" t="s">
        <v>187</v>
      </c>
      <c r="AC2363" s="164" t="s">
        <v>187</v>
      </c>
      <c r="AD2363" s="165">
        <v>1</v>
      </c>
      <c r="AE2363" s="164" t="s">
        <v>187</v>
      </c>
      <c r="AF2363" s="165">
        <v>7.2253531066033796</v>
      </c>
      <c r="AG2363" s="166">
        <v>81.5554924896839</v>
      </c>
      <c r="AO2363" s="121"/>
      <c r="AT2363" s="111"/>
      <c r="AX2363" s="121"/>
    </row>
    <row r="2364" spans="1:50" s="110" customFormat="1" ht="20" customHeight="1">
      <c r="A2364" s="125" t="s">
        <v>486</v>
      </c>
      <c r="B2364" s="126" t="s">
        <v>57</v>
      </c>
      <c r="C2364" s="127">
        <v>11359</v>
      </c>
      <c r="D2364" s="163">
        <v>102170</v>
      </c>
      <c r="E2364" s="164" t="s">
        <v>1304</v>
      </c>
      <c r="F2364" s="164" t="s">
        <v>1304</v>
      </c>
      <c r="G2364" s="165">
        <v>939000</v>
      </c>
      <c r="H2364" s="165">
        <v>1</v>
      </c>
      <c r="I2364" s="164" t="s">
        <v>187</v>
      </c>
      <c r="J2364" s="164" t="s">
        <v>1305</v>
      </c>
      <c r="K2364" s="164" t="s">
        <v>1304</v>
      </c>
      <c r="L2364" s="165">
        <v>3</v>
      </c>
      <c r="M2364" s="165">
        <v>6</v>
      </c>
      <c r="N2364" s="164" t="s">
        <v>189</v>
      </c>
      <c r="O2364" s="165">
        <v>0</v>
      </c>
      <c r="P2364" s="165">
        <v>0</v>
      </c>
      <c r="Q2364" s="165">
        <v>21</v>
      </c>
      <c r="R2364" s="164" t="s">
        <v>200</v>
      </c>
      <c r="S2364" s="164" t="s">
        <v>201</v>
      </c>
      <c r="T2364" s="165">
        <v>462</v>
      </c>
      <c r="U2364" s="164" t="s">
        <v>200</v>
      </c>
      <c r="V2364" s="164" t="s">
        <v>202</v>
      </c>
      <c r="W2364" s="165">
        <v>8</v>
      </c>
      <c r="X2364" s="165">
        <v>4</v>
      </c>
      <c r="Y2364" s="164" t="s">
        <v>203</v>
      </c>
      <c r="Z2364" s="164" t="s">
        <v>195</v>
      </c>
      <c r="AA2364" s="164" t="s">
        <v>196</v>
      </c>
      <c r="AB2364" s="164" t="s">
        <v>187</v>
      </c>
      <c r="AC2364" s="164" t="s">
        <v>187</v>
      </c>
      <c r="AD2364" s="165">
        <v>19</v>
      </c>
      <c r="AE2364" s="164" t="s">
        <v>187</v>
      </c>
      <c r="AF2364" s="165">
        <v>22.374082000000001</v>
      </c>
      <c r="AG2364" s="166">
        <v>91.811002000000002</v>
      </c>
      <c r="AO2364" s="121"/>
      <c r="AT2364" s="111"/>
      <c r="AX2364" s="121"/>
    </row>
    <row r="2365" spans="1:50" s="110" customFormat="1" ht="20" customHeight="1">
      <c r="A2365" s="125" t="s">
        <v>486</v>
      </c>
      <c r="B2365" s="126" t="s">
        <v>57</v>
      </c>
      <c r="C2365" s="127">
        <v>19654</v>
      </c>
      <c r="D2365" s="163">
        <v>116075</v>
      </c>
      <c r="E2365" s="164" t="s">
        <v>505</v>
      </c>
      <c r="F2365" s="164" t="s">
        <v>505</v>
      </c>
      <c r="G2365" s="165">
        <v>912000</v>
      </c>
      <c r="H2365" s="165">
        <v>1</v>
      </c>
      <c r="I2365" s="164" t="s">
        <v>187</v>
      </c>
      <c r="J2365" s="164" t="s">
        <v>216</v>
      </c>
      <c r="K2365" s="164" t="s">
        <v>217</v>
      </c>
      <c r="L2365" s="165">
        <v>5</v>
      </c>
      <c r="M2365" s="165">
        <v>6</v>
      </c>
      <c r="N2365" s="164" t="s">
        <v>189</v>
      </c>
      <c r="O2365" s="165">
        <v>0</v>
      </c>
      <c r="P2365" s="165">
        <v>0</v>
      </c>
      <c r="Q2365" s="165">
        <v>21</v>
      </c>
      <c r="R2365" s="164" t="s">
        <v>200</v>
      </c>
      <c r="S2365" s="164" t="s">
        <v>201</v>
      </c>
      <c r="T2365" s="165">
        <v>462</v>
      </c>
      <c r="U2365" s="164" t="s">
        <v>200</v>
      </c>
      <c r="V2365" s="164" t="s">
        <v>202</v>
      </c>
      <c r="W2365" s="165">
        <v>1</v>
      </c>
      <c r="X2365" s="165">
        <v>4</v>
      </c>
      <c r="Y2365" s="164" t="s">
        <v>203</v>
      </c>
      <c r="Z2365" s="164" t="s">
        <v>195</v>
      </c>
      <c r="AA2365" s="164" t="s">
        <v>196</v>
      </c>
      <c r="AB2365" s="164" t="s">
        <v>187</v>
      </c>
      <c r="AC2365" s="164" t="s">
        <v>187</v>
      </c>
      <c r="AD2365" s="165">
        <v>18</v>
      </c>
      <c r="AE2365" s="164" t="s">
        <v>187</v>
      </c>
      <c r="AF2365" s="165">
        <v>24.392366554564099</v>
      </c>
      <c r="AG2365" s="166">
        <v>90.782038768849503</v>
      </c>
      <c r="AO2365" s="121"/>
      <c r="AT2365" s="111"/>
      <c r="AX2365" s="121"/>
    </row>
    <row r="2366" spans="1:50" s="110" customFormat="1" ht="20" customHeight="1">
      <c r="A2366" s="125" t="s">
        <v>486</v>
      </c>
      <c r="B2366" s="126" t="s">
        <v>57</v>
      </c>
      <c r="C2366" s="127">
        <v>19655</v>
      </c>
      <c r="D2366" s="163">
        <v>112187</v>
      </c>
      <c r="E2366" s="164" t="s">
        <v>722</v>
      </c>
      <c r="F2366" s="164" t="s">
        <v>722</v>
      </c>
      <c r="G2366" s="165">
        <v>381000</v>
      </c>
      <c r="H2366" s="165">
        <v>1</v>
      </c>
      <c r="I2366" s="164" t="s">
        <v>187</v>
      </c>
      <c r="J2366" s="164" t="s">
        <v>198</v>
      </c>
      <c r="K2366" s="164" t="s">
        <v>199</v>
      </c>
      <c r="L2366" s="165">
        <v>5</v>
      </c>
      <c r="M2366" s="165">
        <v>6</v>
      </c>
      <c r="N2366" s="164" t="s">
        <v>189</v>
      </c>
      <c r="O2366" s="165">
        <v>0</v>
      </c>
      <c r="P2366" s="165">
        <v>0</v>
      </c>
      <c r="Q2366" s="165">
        <v>21</v>
      </c>
      <c r="R2366" s="164" t="s">
        <v>200</v>
      </c>
      <c r="S2366" s="164" t="s">
        <v>201</v>
      </c>
      <c r="T2366" s="165">
        <v>462</v>
      </c>
      <c r="U2366" s="164" t="s">
        <v>200</v>
      </c>
      <c r="V2366" s="164" t="s">
        <v>202</v>
      </c>
      <c r="W2366" s="165">
        <v>5</v>
      </c>
      <c r="X2366" s="165">
        <v>4</v>
      </c>
      <c r="Y2366" s="164" t="s">
        <v>203</v>
      </c>
      <c r="Z2366" s="164" t="s">
        <v>195</v>
      </c>
      <c r="AA2366" s="164" t="s">
        <v>196</v>
      </c>
      <c r="AB2366" s="164" t="s">
        <v>187</v>
      </c>
      <c r="AC2366" s="164" t="s">
        <v>187</v>
      </c>
      <c r="AD2366" s="165">
        <v>8</v>
      </c>
      <c r="AE2366" s="164" t="s">
        <v>187</v>
      </c>
      <c r="AF2366" s="165">
        <v>23.129217000000001</v>
      </c>
      <c r="AG2366" s="166">
        <v>92.075952000000001</v>
      </c>
      <c r="AO2366" s="121"/>
      <c r="AT2366" s="111"/>
      <c r="AX2366" s="121"/>
    </row>
    <row r="2367" spans="1:50" s="110" customFormat="1" ht="20" customHeight="1">
      <c r="A2367" s="125" t="s">
        <v>486</v>
      </c>
      <c r="B2367" s="126" t="s">
        <v>57</v>
      </c>
      <c r="C2367" s="127">
        <v>17633</v>
      </c>
      <c r="D2367" s="163">
        <v>113069</v>
      </c>
      <c r="E2367" s="164" t="s">
        <v>1103</v>
      </c>
      <c r="F2367" s="164" t="s">
        <v>1103</v>
      </c>
      <c r="G2367" s="165">
        <v>104000</v>
      </c>
      <c r="H2367" s="165">
        <v>1</v>
      </c>
      <c r="I2367" s="164" t="s">
        <v>187</v>
      </c>
      <c r="J2367" s="164" t="s">
        <v>198</v>
      </c>
      <c r="K2367" s="164" t="s">
        <v>199</v>
      </c>
      <c r="L2367" s="165">
        <v>5</v>
      </c>
      <c r="M2367" s="165">
        <v>6</v>
      </c>
      <c r="N2367" s="164" t="s">
        <v>189</v>
      </c>
      <c r="O2367" s="165">
        <v>0</v>
      </c>
      <c r="P2367" s="165">
        <v>0</v>
      </c>
      <c r="Q2367" s="165">
        <v>21</v>
      </c>
      <c r="R2367" s="164" t="s">
        <v>200</v>
      </c>
      <c r="S2367" s="164" t="s">
        <v>201</v>
      </c>
      <c r="T2367" s="165">
        <v>462</v>
      </c>
      <c r="U2367" s="164" t="s">
        <v>200</v>
      </c>
      <c r="V2367" s="164" t="s">
        <v>202</v>
      </c>
      <c r="W2367" s="165">
        <v>2</v>
      </c>
      <c r="X2367" s="165">
        <v>4</v>
      </c>
      <c r="Y2367" s="164" t="s">
        <v>203</v>
      </c>
      <c r="Z2367" s="164" t="s">
        <v>195</v>
      </c>
      <c r="AA2367" s="164" t="s">
        <v>196</v>
      </c>
      <c r="AB2367" s="164" t="s">
        <v>187</v>
      </c>
      <c r="AC2367" s="164" t="s">
        <v>187</v>
      </c>
      <c r="AD2367" s="165">
        <v>2</v>
      </c>
      <c r="AE2367" s="164" t="s">
        <v>187</v>
      </c>
      <c r="AF2367" s="165">
        <v>22.735864842012798</v>
      </c>
      <c r="AG2367" s="166">
        <v>89.877327116356</v>
      </c>
      <c r="AO2367" s="121"/>
      <c r="AT2367" s="111"/>
      <c r="AX2367" s="121"/>
    </row>
    <row r="2368" spans="1:50" s="110" customFormat="1" ht="20" customHeight="1">
      <c r="A2368" s="125" t="s">
        <v>486</v>
      </c>
      <c r="B2368" s="126" t="s">
        <v>57</v>
      </c>
      <c r="C2368" s="127">
        <v>17688</v>
      </c>
      <c r="D2368" s="163">
        <v>113133</v>
      </c>
      <c r="E2368" s="164" t="s">
        <v>1415</v>
      </c>
      <c r="F2368" s="164" t="s">
        <v>1415</v>
      </c>
      <c r="G2368" s="165">
        <v>95000</v>
      </c>
      <c r="H2368" s="165">
        <v>1</v>
      </c>
      <c r="I2368" s="164" t="s">
        <v>187</v>
      </c>
      <c r="J2368" s="164" t="s">
        <v>198</v>
      </c>
      <c r="K2368" s="164" t="s">
        <v>199</v>
      </c>
      <c r="L2368" s="165">
        <v>5</v>
      </c>
      <c r="M2368" s="165">
        <v>6</v>
      </c>
      <c r="N2368" s="164" t="s">
        <v>189</v>
      </c>
      <c r="O2368" s="165">
        <v>0</v>
      </c>
      <c r="P2368" s="165">
        <v>0</v>
      </c>
      <c r="Q2368" s="165">
        <v>21</v>
      </c>
      <c r="R2368" s="164" t="s">
        <v>200</v>
      </c>
      <c r="S2368" s="164" t="s">
        <v>201</v>
      </c>
      <c r="T2368" s="165">
        <v>462</v>
      </c>
      <c r="U2368" s="164" t="s">
        <v>200</v>
      </c>
      <c r="V2368" s="164" t="s">
        <v>202</v>
      </c>
      <c r="W2368" s="165">
        <v>3</v>
      </c>
      <c r="X2368" s="165">
        <v>4</v>
      </c>
      <c r="Y2368" s="164" t="s">
        <v>203</v>
      </c>
      <c r="Z2368" s="164" t="s">
        <v>195</v>
      </c>
      <c r="AA2368" s="164" t="s">
        <v>196</v>
      </c>
      <c r="AB2368" s="164" t="s">
        <v>187</v>
      </c>
      <c r="AC2368" s="164" t="s">
        <v>187</v>
      </c>
      <c r="AD2368" s="165">
        <v>2</v>
      </c>
      <c r="AE2368" s="164" t="s">
        <v>187</v>
      </c>
      <c r="AF2368" s="165">
        <v>22.9744905107788</v>
      </c>
      <c r="AG2368" s="166">
        <v>90.425104636514902</v>
      </c>
      <c r="AO2368" s="121"/>
      <c r="AT2368" s="111"/>
      <c r="AX2368" s="121"/>
    </row>
    <row r="2369" spans="1:50" s="110" customFormat="1" ht="20" customHeight="1">
      <c r="A2369" s="125" t="s">
        <v>486</v>
      </c>
      <c r="B2369" s="126" t="s">
        <v>57</v>
      </c>
      <c r="C2369" s="127">
        <v>17060</v>
      </c>
      <c r="D2369" s="163">
        <v>112398</v>
      </c>
      <c r="E2369" s="164" t="s">
        <v>881</v>
      </c>
      <c r="F2369" s="164" t="s">
        <v>881</v>
      </c>
      <c r="G2369" s="165">
        <v>76000</v>
      </c>
      <c r="H2369" s="165">
        <v>1</v>
      </c>
      <c r="I2369" s="164" t="s">
        <v>187</v>
      </c>
      <c r="J2369" s="164" t="s">
        <v>198</v>
      </c>
      <c r="K2369" s="164" t="s">
        <v>199</v>
      </c>
      <c r="L2369" s="165">
        <v>5</v>
      </c>
      <c r="M2369" s="165">
        <v>6</v>
      </c>
      <c r="N2369" s="164" t="s">
        <v>189</v>
      </c>
      <c r="O2369" s="165">
        <v>0</v>
      </c>
      <c r="P2369" s="165">
        <v>0</v>
      </c>
      <c r="Q2369" s="165">
        <v>21</v>
      </c>
      <c r="R2369" s="164" t="s">
        <v>200</v>
      </c>
      <c r="S2369" s="164" t="s">
        <v>201</v>
      </c>
      <c r="T2369" s="165">
        <v>462</v>
      </c>
      <c r="U2369" s="164" t="s">
        <v>200</v>
      </c>
      <c r="V2369" s="164" t="s">
        <v>202</v>
      </c>
      <c r="W2369" s="165">
        <v>2</v>
      </c>
      <c r="X2369" s="165">
        <v>4</v>
      </c>
      <c r="Y2369" s="164" t="s">
        <v>203</v>
      </c>
      <c r="Z2369" s="164" t="s">
        <v>195</v>
      </c>
      <c r="AA2369" s="164" t="s">
        <v>196</v>
      </c>
      <c r="AB2369" s="164" t="s">
        <v>187</v>
      </c>
      <c r="AC2369" s="164" t="s">
        <v>187</v>
      </c>
      <c r="AD2369" s="165">
        <v>2</v>
      </c>
      <c r="AE2369" s="164" t="s">
        <v>187</v>
      </c>
      <c r="AF2369" s="165">
        <v>24.8864568808062</v>
      </c>
      <c r="AG2369" s="166">
        <v>90.632197370478494</v>
      </c>
      <c r="AO2369" s="121"/>
      <c r="AT2369" s="111"/>
      <c r="AX2369" s="121"/>
    </row>
    <row r="2370" spans="1:50" s="110" customFormat="1" ht="20" customHeight="1">
      <c r="A2370" s="125" t="s">
        <v>486</v>
      </c>
      <c r="B2370" s="126" t="s">
        <v>57</v>
      </c>
      <c r="C2370" s="127">
        <v>20630</v>
      </c>
      <c r="D2370" s="163">
        <v>116909</v>
      </c>
      <c r="E2370" s="164" t="s">
        <v>1306</v>
      </c>
      <c r="F2370" s="164" t="s">
        <v>1306</v>
      </c>
      <c r="G2370" s="165">
        <v>74000</v>
      </c>
      <c r="H2370" s="165">
        <v>1</v>
      </c>
      <c r="I2370" s="164" t="s">
        <v>187</v>
      </c>
      <c r="J2370" s="164" t="s">
        <v>1305</v>
      </c>
      <c r="K2370" s="164" t="s">
        <v>1304</v>
      </c>
      <c r="L2370" s="165">
        <v>3</v>
      </c>
      <c r="M2370" s="165">
        <v>6</v>
      </c>
      <c r="N2370" s="164" t="s">
        <v>189</v>
      </c>
      <c r="O2370" s="165">
        <v>0</v>
      </c>
      <c r="P2370" s="165">
        <v>0</v>
      </c>
      <c r="Q2370" s="165">
        <v>21</v>
      </c>
      <c r="R2370" s="164" t="s">
        <v>200</v>
      </c>
      <c r="S2370" s="164" t="s">
        <v>201</v>
      </c>
      <c r="T2370" s="165">
        <v>462</v>
      </c>
      <c r="U2370" s="164" t="s">
        <v>200</v>
      </c>
      <c r="V2370" s="164" t="s">
        <v>202</v>
      </c>
      <c r="W2370" s="165">
        <v>1</v>
      </c>
      <c r="X2370" s="165">
        <v>4</v>
      </c>
      <c r="Y2370" s="164" t="s">
        <v>203</v>
      </c>
      <c r="Z2370" s="164" t="s">
        <v>195</v>
      </c>
      <c r="AA2370" s="164" t="s">
        <v>196</v>
      </c>
      <c r="AB2370" s="164" t="s">
        <v>187</v>
      </c>
      <c r="AC2370" s="164" t="s">
        <v>187</v>
      </c>
      <c r="AD2370" s="165">
        <v>1</v>
      </c>
      <c r="AE2370" s="164" t="s">
        <v>187</v>
      </c>
      <c r="AF2370" s="165">
        <v>22.329678999999999</v>
      </c>
      <c r="AG2370" s="166">
        <v>91.804663000000005</v>
      </c>
      <c r="AO2370" s="121"/>
      <c r="AT2370" s="111"/>
      <c r="AX2370" s="121"/>
    </row>
    <row r="2371" spans="1:50" s="110" customFormat="1" ht="20" customHeight="1">
      <c r="A2371" s="125" t="s">
        <v>486</v>
      </c>
      <c r="B2371" s="126" t="s">
        <v>57</v>
      </c>
      <c r="C2371" s="127">
        <v>16824</v>
      </c>
      <c r="D2371" s="163">
        <v>112093</v>
      </c>
      <c r="E2371" s="164" t="s">
        <v>710</v>
      </c>
      <c r="F2371" s="164" t="s">
        <v>710</v>
      </c>
      <c r="G2371" s="165">
        <v>62000</v>
      </c>
      <c r="H2371" s="165">
        <v>1</v>
      </c>
      <c r="I2371" s="164" t="s">
        <v>187</v>
      </c>
      <c r="J2371" s="164" t="s">
        <v>198</v>
      </c>
      <c r="K2371" s="164" t="s">
        <v>199</v>
      </c>
      <c r="L2371" s="165">
        <v>5</v>
      </c>
      <c r="M2371" s="165">
        <v>6</v>
      </c>
      <c r="N2371" s="164" t="s">
        <v>189</v>
      </c>
      <c r="O2371" s="165">
        <v>0</v>
      </c>
      <c r="P2371" s="165">
        <v>0</v>
      </c>
      <c r="Q2371" s="165">
        <v>21</v>
      </c>
      <c r="R2371" s="164" t="s">
        <v>200</v>
      </c>
      <c r="S2371" s="164" t="s">
        <v>201</v>
      </c>
      <c r="T2371" s="165">
        <v>462</v>
      </c>
      <c r="U2371" s="164" t="s">
        <v>200</v>
      </c>
      <c r="V2371" s="164" t="s">
        <v>202</v>
      </c>
      <c r="W2371" s="165">
        <v>2</v>
      </c>
      <c r="X2371" s="165">
        <v>4</v>
      </c>
      <c r="Y2371" s="164" t="s">
        <v>203</v>
      </c>
      <c r="Z2371" s="164" t="s">
        <v>195</v>
      </c>
      <c r="AA2371" s="164" t="s">
        <v>196</v>
      </c>
      <c r="AB2371" s="164" t="s">
        <v>187</v>
      </c>
      <c r="AC2371" s="164" t="s">
        <v>187</v>
      </c>
      <c r="AD2371" s="165">
        <v>1</v>
      </c>
      <c r="AE2371" s="164" t="s">
        <v>187</v>
      </c>
      <c r="AF2371" s="165">
        <v>22.6963558927911</v>
      </c>
      <c r="AG2371" s="166">
        <v>92.416650438636196</v>
      </c>
      <c r="AO2371" s="121"/>
      <c r="AT2371" s="111"/>
      <c r="AX2371" s="121"/>
    </row>
    <row r="2372" spans="1:50" s="110" customFormat="1" ht="20" customHeight="1">
      <c r="A2372" s="125" t="s">
        <v>486</v>
      </c>
      <c r="B2372" s="126" t="s">
        <v>57</v>
      </c>
      <c r="C2372" s="127">
        <v>17328</v>
      </c>
      <c r="D2372" s="163">
        <v>112710</v>
      </c>
      <c r="E2372" s="164" t="s">
        <v>1296</v>
      </c>
      <c r="F2372" s="164" t="s">
        <v>1296</v>
      </c>
      <c r="G2372" s="165">
        <v>58000</v>
      </c>
      <c r="H2372" s="165">
        <v>1</v>
      </c>
      <c r="I2372" s="164" t="s">
        <v>187</v>
      </c>
      <c r="J2372" s="164" t="s">
        <v>198</v>
      </c>
      <c r="K2372" s="164" t="s">
        <v>199</v>
      </c>
      <c r="L2372" s="165">
        <v>5</v>
      </c>
      <c r="M2372" s="165">
        <v>6</v>
      </c>
      <c r="N2372" s="164" t="s">
        <v>189</v>
      </c>
      <c r="O2372" s="165">
        <v>0</v>
      </c>
      <c r="P2372" s="165">
        <v>0</v>
      </c>
      <c r="Q2372" s="165">
        <v>21</v>
      </c>
      <c r="R2372" s="164" t="s">
        <v>200</v>
      </c>
      <c r="S2372" s="164" t="s">
        <v>201</v>
      </c>
      <c r="T2372" s="165">
        <v>462</v>
      </c>
      <c r="U2372" s="164" t="s">
        <v>200</v>
      </c>
      <c r="V2372" s="164" t="s">
        <v>202</v>
      </c>
      <c r="W2372" s="165">
        <v>4</v>
      </c>
      <c r="X2372" s="165">
        <v>4</v>
      </c>
      <c r="Y2372" s="164" t="s">
        <v>203</v>
      </c>
      <c r="Z2372" s="164" t="s">
        <v>195</v>
      </c>
      <c r="AA2372" s="164" t="s">
        <v>196</v>
      </c>
      <c r="AB2372" s="164" t="s">
        <v>187</v>
      </c>
      <c r="AC2372" s="164" t="s">
        <v>187</v>
      </c>
      <c r="AD2372" s="165">
        <v>1</v>
      </c>
      <c r="AE2372" s="164" t="s">
        <v>187</v>
      </c>
      <c r="AF2372" s="165">
        <v>25.056426461081902</v>
      </c>
      <c r="AG2372" s="166">
        <v>88.7837641214238</v>
      </c>
      <c r="AO2372" s="121"/>
      <c r="AT2372" s="111"/>
      <c r="AX2372" s="121"/>
    </row>
    <row r="2373" spans="1:50" s="110" customFormat="1" ht="20" customHeight="1">
      <c r="A2373" s="125" t="s">
        <v>486</v>
      </c>
      <c r="B2373" s="126" t="s">
        <v>57</v>
      </c>
      <c r="C2373" s="127">
        <v>16370</v>
      </c>
      <c r="D2373" s="163">
        <v>111512</v>
      </c>
      <c r="E2373" s="164" t="s">
        <v>453</v>
      </c>
      <c r="F2373" s="164" t="s">
        <v>453</v>
      </c>
      <c r="G2373" s="165">
        <v>55000</v>
      </c>
      <c r="H2373" s="165">
        <v>1</v>
      </c>
      <c r="I2373" s="164" t="s">
        <v>187</v>
      </c>
      <c r="J2373" s="164" t="s">
        <v>198</v>
      </c>
      <c r="K2373" s="164" t="s">
        <v>199</v>
      </c>
      <c r="L2373" s="165">
        <v>5</v>
      </c>
      <c r="M2373" s="165">
        <v>6</v>
      </c>
      <c r="N2373" s="164" t="s">
        <v>189</v>
      </c>
      <c r="O2373" s="165">
        <v>0</v>
      </c>
      <c r="P2373" s="165">
        <v>0</v>
      </c>
      <c r="Q2373" s="165">
        <v>21</v>
      </c>
      <c r="R2373" s="164" t="s">
        <v>200</v>
      </c>
      <c r="S2373" s="164" t="s">
        <v>201</v>
      </c>
      <c r="T2373" s="165">
        <v>462</v>
      </c>
      <c r="U2373" s="164" t="s">
        <v>200</v>
      </c>
      <c r="V2373" s="164" t="s">
        <v>202</v>
      </c>
      <c r="W2373" s="165">
        <v>2</v>
      </c>
      <c r="X2373" s="165">
        <v>4</v>
      </c>
      <c r="Y2373" s="164" t="s">
        <v>203</v>
      </c>
      <c r="Z2373" s="164" t="s">
        <v>195</v>
      </c>
      <c r="AA2373" s="164" t="s">
        <v>196</v>
      </c>
      <c r="AB2373" s="164" t="s">
        <v>187</v>
      </c>
      <c r="AC2373" s="164" t="s">
        <v>187</v>
      </c>
      <c r="AD2373" s="165">
        <v>1</v>
      </c>
      <c r="AE2373" s="164" t="s">
        <v>187</v>
      </c>
      <c r="AF2373" s="165">
        <v>22.7699589247053</v>
      </c>
      <c r="AG2373" s="166">
        <v>89.832809613751394</v>
      </c>
      <c r="AO2373" s="121"/>
      <c r="AT2373" s="111"/>
      <c r="AX2373" s="121"/>
    </row>
    <row r="2374" spans="1:50" s="110" customFormat="1" ht="20" customHeight="1">
      <c r="A2374" s="125" t="s">
        <v>486</v>
      </c>
      <c r="B2374" s="126" t="s">
        <v>57</v>
      </c>
      <c r="C2374" s="127">
        <v>17781</v>
      </c>
      <c r="D2374" s="163">
        <v>113245</v>
      </c>
      <c r="E2374" s="164" t="s">
        <v>1162</v>
      </c>
      <c r="F2374" s="164" t="s">
        <v>1162</v>
      </c>
      <c r="G2374" s="165">
        <v>54000</v>
      </c>
      <c r="H2374" s="165">
        <v>1</v>
      </c>
      <c r="I2374" s="164" t="s">
        <v>187</v>
      </c>
      <c r="J2374" s="164" t="s">
        <v>198</v>
      </c>
      <c r="K2374" s="164" t="s">
        <v>199</v>
      </c>
      <c r="L2374" s="165">
        <v>5</v>
      </c>
      <c r="M2374" s="165">
        <v>6</v>
      </c>
      <c r="N2374" s="164" t="s">
        <v>189</v>
      </c>
      <c r="O2374" s="165">
        <v>0</v>
      </c>
      <c r="P2374" s="165">
        <v>0</v>
      </c>
      <c r="Q2374" s="165">
        <v>21</v>
      </c>
      <c r="R2374" s="164" t="s">
        <v>200</v>
      </c>
      <c r="S2374" s="164" t="s">
        <v>201</v>
      </c>
      <c r="T2374" s="165">
        <v>462</v>
      </c>
      <c r="U2374" s="164" t="s">
        <v>200</v>
      </c>
      <c r="V2374" s="164" t="s">
        <v>202</v>
      </c>
      <c r="W2374" s="165">
        <v>2</v>
      </c>
      <c r="X2374" s="165">
        <v>4</v>
      </c>
      <c r="Y2374" s="164" t="s">
        <v>203</v>
      </c>
      <c r="Z2374" s="164" t="s">
        <v>195</v>
      </c>
      <c r="AA2374" s="164" t="s">
        <v>196</v>
      </c>
      <c r="AB2374" s="164" t="s">
        <v>187</v>
      </c>
      <c r="AC2374" s="164" t="s">
        <v>187</v>
      </c>
      <c r="AD2374" s="165">
        <v>1</v>
      </c>
      <c r="AE2374" s="164" t="s">
        <v>187</v>
      </c>
      <c r="AF2374" s="165">
        <v>22.881743042815501</v>
      </c>
      <c r="AG2374" s="166">
        <v>89.615714506812196</v>
      </c>
      <c r="AO2374" s="121"/>
      <c r="AT2374" s="111"/>
      <c r="AX2374" s="121"/>
    </row>
    <row r="2375" spans="1:50" s="110" customFormat="1" ht="20" customHeight="1">
      <c r="A2375" s="125" t="s">
        <v>486</v>
      </c>
      <c r="B2375" s="126" t="s">
        <v>57</v>
      </c>
      <c r="C2375" s="127">
        <v>18029</v>
      </c>
      <c r="D2375" s="163">
        <v>113524</v>
      </c>
      <c r="E2375" s="164" t="s">
        <v>1343</v>
      </c>
      <c r="F2375" s="164" t="s">
        <v>1343</v>
      </c>
      <c r="G2375" s="165">
        <v>52000</v>
      </c>
      <c r="H2375" s="165">
        <v>1</v>
      </c>
      <c r="I2375" s="164" t="s">
        <v>187</v>
      </c>
      <c r="J2375" s="164" t="s">
        <v>198</v>
      </c>
      <c r="K2375" s="164" t="s">
        <v>199</v>
      </c>
      <c r="L2375" s="165">
        <v>5</v>
      </c>
      <c r="M2375" s="165">
        <v>6</v>
      </c>
      <c r="N2375" s="164" t="s">
        <v>189</v>
      </c>
      <c r="O2375" s="165">
        <v>0</v>
      </c>
      <c r="P2375" s="165">
        <v>0</v>
      </c>
      <c r="Q2375" s="165">
        <v>21</v>
      </c>
      <c r="R2375" s="164" t="s">
        <v>200</v>
      </c>
      <c r="S2375" s="164" t="s">
        <v>201</v>
      </c>
      <c r="T2375" s="165">
        <v>462</v>
      </c>
      <c r="U2375" s="164" t="s">
        <v>200</v>
      </c>
      <c r="V2375" s="164" t="s">
        <v>202</v>
      </c>
      <c r="W2375" s="165">
        <v>2</v>
      </c>
      <c r="X2375" s="165">
        <v>4</v>
      </c>
      <c r="Y2375" s="164" t="s">
        <v>203</v>
      </c>
      <c r="Z2375" s="164" t="s">
        <v>195</v>
      </c>
      <c r="AA2375" s="164" t="s">
        <v>196</v>
      </c>
      <c r="AB2375" s="164" t="s">
        <v>187</v>
      </c>
      <c r="AC2375" s="164" t="s">
        <v>187</v>
      </c>
      <c r="AD2375" s="165">
        <v>1</v>
      </c>
      <c r="AE2375" s="164" t="s">
        <v>187</v>
      </c>
      <c r="AF2375" s="165">
        <v>22.681172908365699</v>
      </c>
      <c r="AG2375" s="166">
        <v>91.8789841103182</v>
      </c>
      <c r="AO2375" s="121"/>
      <c r="AT2375" s="111"/>
      <c r="AX2375" s="121"/>
    </row>
    <row r="2376" spans="1:50" s="110" customFormat="1" ht="20" customHeight="1">
      <c r="A2376" s="125" t="s">
        <v>486</v>
      </c>
      <c r="B2376" s="126" t="s">
        <v>57</v>
      </c>
      <c r="C2376" s="127">
        <v>17520</v>
      </c>
      <c r="D2376" s="163">
        <v>112938</v>
      </c>
      <c r="E2376" s="164" t="s">
        <v>645</v>
      </c>
      <c r="F2376" s="164" t="s">
        <v>645</v>
      </c>
      <c r="G2376" s="165">
        <v>51000</v>
      </c>
      <c r="H2376" s="165">
        <v>1</v>
      </c>
      <c r="I2376" s="164" t="s">
        <v>187</v>
      </c>
      <c r="J2376" s="164" t="s">
        <v>647</v>
      </c>
      <c r="K2376" s="164" t="s">
        <v>648</v>
      </c>
      <c r="L2376" s="165">
        <v>4</v>
      </c>
      <c r="M2376" s="165">
        <v>6</v>
      </c>
      <c r="N2376" s="164" t="s">
        <v>189</v>
      </c>
      <c r="O2376" s="165">
        <v>0</v>
      </c>
      <c r="P2376" s="165">
        <v>0</v>
      </c>
      <c r="Q2376" s="165">
        <v>21</v>
      </c>
      <c r="R2376" s="164" t="s">
        <v>200</v>
      </c>
      <c r="S2376" s="164" t="s">
        <v>201</v>
      </c>
      <c r="T2376" s="165">
        <v>462</v>
      </c>
      <c r="U2376" s="164" t="s">
        <v>200</v>
      </c>
      <c r="V2376" s="164" t="s">
        <v>202</v>
      </c>
      <c r="W2376" s="165">
        <v>3</v>
      </c>
      <c r="X2376" s="165">
        <v>4</v>
      </c>
      <c r="Y2376" s="164" t="s">
        <v>203</v>
      </c>
      <c r="Z2376" s="164" t="s">
        <v>195</v>
      </c>
      <c r="AA2376" s="164" t="s">
        <v>196</v>
      </c>
      <c r="AB2376" s="164" t="s">
        <v>187</v>
      </c>
      <c r="AC2376" s="164" t="s">
        <v>187</v>
      </c>
      <c r="AD2376" s="165">
        <v>1</v>
      </c>
      <c r="AE2376" s="164" t="s">
        <v>187</v>
      </c>
      <c r="AF2376" s="165">
        <v>25.0806447465575</v>
      </c>
      <c r="AG2376" s="166">
        <v>92.120610358111193</v>
      </c>
      <c r="AO2376" s="121"/>
      <c r="AT2376" s="111"/>
      <c r="AX2376" s="121"/>
    </row>
    <row r="2377" spans="1:50" s="110" customFormat="1" ht="20" customHeight="1">
      <c r="A2377" s="125" t="s">
        <v>486</v>
      </c>
      <c r="B2377" s="126" t="s">
        <v>57</v>
      </c>
      <c r="C2377" s="127">
        <v>16659</v>
      </c>
      <c r="D2377" s="163">
        <v>111872</v>
      </c>
      <c r="E2377" s="164" t="s">
        <v>598</v>
      </c>
      <c r="F2377" s="164" t="s">
        <v>598</v>
      </c>
      <c r="G2377" s="165">
        <v>48000</v>
      </c>
      <c r="H2377" s="165">
        <v>1</v>
      </c>
      <c r="I2377" s="164" t="s">
        <v>187</v>
      </c>
      <c r="J2377" s="164" t="s">
        <v>198</v>
      </c>
      <c r="K2377" s="164" t="s">
        <v>199</v>
      </c>
      <c r="L2377" s="165">
        <v>5</v>
      </c>
      <c r="M2377" s="165">
        <v>6</v>
      </c>
      <c r="N2377" s="164" t="s">
        <v>189</v>
      </c>
      <c r="O2377" s="165">
        <v>0</v>
      </c>
      <c r="P2377" s="165">
        <v>0</v>
      </c>
      <c r="Q2377" s="165">
        <v>21</v>
      </c>
      <c r="R2377" s="164" t="s">
        <v>200</v>
      </c>
      <c r="S2377" s="164" t="s">
        <v>201</v>
      </c>
      <c r="T2377" s="165">
        <v>462</v>
      </c>
      <c r="U2377" s="164" t="s">
        <v>200</v>
      </c>
      <c r="V2377" s="164" t="s">
        <v>202</v>
      </c>
      <c r="W2377" s="165">
        <v>2</v>
      </c>
      <c r="X2377" s="165">
        <v>4</v>
      </c>
      <c r="Y2377" s="164" t="s">
        <v>203</v>
      </c>
      <c r="Z2377" s="164" t="s">
        <v>195</v>
      </c>
      <c r="AA2377" s="164" t="s">
        <v>196</v>
      </c>
      <c r="AB2377" s="164" t="s">
        <v>187</v>
      </c>
      <c r="AC2377" s="164" t="s">
        <v>187</v>
      </c>
      <c r="AD2377" s="165">
        <v>1</v>
      </c>
      <c r="AE2377" s="164" t="s">
        <v>187</v>
      </c>
      <c r="AF2377" s="165">
        <v>24.612936000000001</v>
      </c>
      <c r="AG2377" s="166">
        <v>90.554495000000003</v>
      </c>
      <c r="AO2377" s="121"/>
      <c r="AT2377" s="111"/>
      <c r="AX2377" s="121"/>
    </row>
    <row r="2378" spans="1:50" s="110" customFormat="1" ht="20" customHeight="1">
      <c r="A2378" s="125" t="s">
        <v>486</v>
      </c>
      <c r="B2378" s="126" t="s">
        <v>57</v>
      </c>
      <c r="C2378" s="127">
        <v>13761</v>
      </c>
      <c r="D2378" s="163">
        <v>106706</v>
      </c>
      <c r="E2378" s="164" t="s">
        <v>1134</v>
      </c>
      <c r="F2378" s="164" t="s">
        <v>1134</v>
      </c>
      <c r="G2378" s="165">
        <v>41000</v>
      </c>
      <c r="H2378" s="165">
        <v>1</v>
      </c>
      <c r="I2378" s="164" t="s">
        <v>187</v>
      </c>
      <c r="J2378" s="164" t="s">
        <v>198</v>
      </c>
      <c r="K2378" s="164" t="s">
        <v>199</v>
      </c>
      <c r="L2378" s="165">
        <v>5</v>
      </c>
      <c r="M2378" s="165">
        <v>6</v>
      </c>
      <c r="N2378" s="164" t="s">
        <v>189</v>
      </c>
      <c r="O2378" s="165">
        <v>0</v>
      </c>
      <c r="P2378" s="165">
        <v>0</v>
      </c>
      <c r="Q2378" s="165">
        <v>21</v>
      </c>
      <c r="R2378" s="164" t="s">
        <v>200</v>
      </c>
      <c r="S2378" s="164" t="s">
        <v>201</v>
      </c>
      <c r="T2378" s="165">
        <v>462</v>
      </c>
      <c r="U2378" s="164" t="s">
        <v>200</v>
      </c>
      <c r="V2378" s="164" t="s">
        <v>202</v>
      </c>
      <c r="W2378" s="165">
        <v>6</v>
      </c>
      <c r="X2378" s="165">
        <v>4</v>
      </c>
      <c r="Y2378" s="164" t="s">
        <v>203</v>
      </c>
      <c r="Z2378" s="164" t="s">
        <v>195</v>
      </c>
      <c r="AA2378" s="164" t="s">
        <v>196</v>
      </c>
      <c r="AB2378" s="164" t="s">
        <v>187</v>
      </c>
      <c r="AC2378" s="164" t="s">
        <v>187</v>
      </c>
      <c r="AD2378" s="165">
        <v>1</v>
      </c>
      <c r="AE2378" s="164" t="s">
        <v>187</v>
      </c>
      <c r="AF2378" s="165">
        <v>24.2592997934326</v>
      </c>
      <c r="AG2378" s="166">
        <v>90.964894723604601</v>
      </c>
      <c r="AO2378" s="121"/>
      <c r="AT2378" s="111"/>
      <c r="AX2378" s="121"/>
    </row>
    <row r="2379" spans="1:50" s="110" customFormat="1" ht="20" customHeight="1">
      <c r="A2379" s="125" t="s">
        <v>486</v>
      </c>
      <c r="B2379" s="126" t="s">
        <v>57</v>
      </c>
      <c r="C2379" s="127">
        <v>17428</v>
      </c>
      <c r="D2379" s="163">
        <v>112830</v>
      </c>
      <c r="E2379" s="164" t="s">
        <v>1091</v>
      </c>
      <c r="F2379" s="164" t="s">
        <v>1091</v>
      </c>
      <c r="G2379" s="165">
        <v>39000</v>
      </c>
      <c r="H2379" s="165">
        <v>1</v>
      </c>
      <c r="I2379" s="164" t="s">
        <v>187</v>
      </c>
      <c r="J2379" s="164" t="s">
        <v>198</v>
      </c>
      <c r="K2379" s="164" t="s">
        <v>199</v>
      </c>
      <c r="L2379" s="165">
        <v>5</v>
      </c>
      <c r="M2379" s="165">
        <v>6</v>
      </c>
      <c r="N2379" s="164" t="s">
        <v>189</v>
      </c>
      <c r="O2379" s="165">
        <v>0</v>
      </c>
      <c r="P2379" s="165">
        <v>0</v>
      </c>
      <c r="Q2379" s="165">
        <v>21</v>
      </c>
      <c r="R2379" s="164" t="s">
        <v>200</v>
      </c>
      <c r="S2379" s="164" t="s">
        <v>201</v>
      </c>
      <c r="T2379" s="165">
        <v>462</v>
      </c>
      <c r="U2379" s="164" t="s">
        <v>200</v>
      </c>
      <c r="V2379" s="164" t="s">
        <v>202</v>
      </c>
      <c r="W2379" s="165">
        <v>3</v>
      </c>
      <c r="X2379" s="165">
        <v>4</v>
      </c>
      <c r="Y2379" s="164" t="s">
        <v>203</v>
      </c>
      <c r="Z2379" s="164" t="s">
        <v>195</v>
      </c>
      <c r="AA2379" s="164" t="s">
        <v>196</v>
      </c>
      <c r="AB2379" s="164" t="s">
        <v>187</v>
      </c>
      <c r="AC2379" s="164" t="s">
        <v>187</v>
      </c>
      <c r="AD2379" s="165">
        <v>1</v>
      </c>
      <c r="AE2379" s="164" t="s">
        <v>187</v>
      </c>
      <c r="AF2379" s="165">
        <v>22.918853125438002</v>
      </c>
      <c r="AG2379" s="166">
        <v>89.740672364023197</v>
      </c>
      <c r="AO2379" s="121"/>
      <c r="AT2379" s="111"/>
      <c r="AX2379" s="121"/>
    </row>
    <row r="2380" spans="1:50" s="110" customFormat="1" ht="20" customHeight="1">
      <c r="A2380" s="125" t="s">
        <v>486</v>
      </c>
      <c r="B2380" s="126" t="s">
        <v>57</v>
      </c>
      <c r="C2380" s="127">
        <v>17877</v>
      </c>
      <c r="D2380" s="163">
        <v>113353</v>
      </c>
      <c r="E2380" s="164" t="s">
        <v>1209</v>
      </c>
      <c r="F2380" s="164" t="s">
        <v>1209</v>
      </c>
      <c r="G2380" s="165">
        <v>29000</v>
      </c>
      <c r="H2380" s="165">
        <v>1</v>
      </c>
      <c r="I2380" s="164" t="s">
        <v>187</v>
      </c>
      <c r="J2380" s="164" t="s">
        <v>198</v>
      </c>
      <c r="K2380" s="164" t="s">
        <v>199</v>
      </c>
      <c r="L2380" s="165">
        <v>5</v>
      </c>
      <c r="M2380" s="165">
        <v>6</v>
      </c>
      <c r="N2380" s="164" t="s">
        <v>189</v>
      </c>
      <c r="O2380" s="165">
        <v>0</v>
      </c>
      <c r="P2380" s="165">
        <v>0</v>
      </c>
      <c r="Q2380" s="165">
        <v>21</v>
      </c>
      <c r="R2380" s="164" t="s">
        <v>200</v>
      </c>
      <c r="S2380" s="164" t="s">
        <v>201</v>
      </c>
      <c r="T2380" s="165">
        <v>462</v>
      </c>
      <c r="U2380" s="164" t="s">
        <v>200</v>
      </c>
      <c r="V2380" s="164" t="s">
        <v>202</v>
      </c>
      <c r="W2380" s="165">
        <v>4</v>
      </c>
      <c r="X2380" s="165">
        <v>4</v>
      </c>
      <c r="Y2380" s="164" t="s">
        <v>203</v>
      </c>
      <c r="Z2380" s="164" t="s">
        <v>195</v>
      </c>
      <c r="AA2380" s="164" t="s">
        <v>196</v>
      </c>
      <c r="AB2380" s="164" t="s">
        <v>187</v>
      </c>
      <c r="AC2380" s="164" t="s">
        <v>187</v>
      </c>
      <c r="AD2380" s="165">
        <v>1</v>
      </c>
      <c r="AE2380" s="164" t="s">
        <v>187</v>
      </c>
      <c r="AF2380" s="165">
        <v>22.622014066612401</v>
      </c>
      <c r="AG2380" s="166">
        <v>92.336196428941705</v>
      </c>
      <c r="AO2380" s="121"/>
      <c r="AT2380" s="111"/>
      <c r="AX2380" s="121"/>
    </row>
    <row r="2381" spans="1:50" s="110" customFormat="1" ht="20" customHeight="1">
      <c r="A2381" s="125" t="s">
        <v>486</v>
      </c>
      <c r="B2381" s="126" t="s">
        <v>57</v>
      </c>
      <c r="C2381" s="127">
        <v>17561</v>
      </c>
      <c r="D2381" s="163">
        <v>112987</v>
      </c>
      <c r="E2381" s="164" t="s">
        <v>1129</v>
      </c>
      <c r="F2381" s="164" t="s">
        <v>1129</v>
      </c>
      <c r="G2381" s="165">
        <v>28000</v>
      </c>
      <c r="H2381" s="165">
        <v>1</v>
      </c>
      <c r="I2381" s="164" t="s">
        <v>187</v>
      </c>
      <c r="J2381" s="164" t="s">
        <v>198</v>
      </c>
      <c r="K2381" s="164" t="s">
        <v>199</v>
      </c>
      <c r="L2381" s="165">
        <v>5</v>
      </c>
      <c r="M2381" s="165">
        <v>6</v>
      </c>
      <c r="N2381" s="164" t="s">
        <v>189</v>
      </c>
      <c r="O2381" s="165">
        <v>0</v>
      </c>
      <c r="P2381" s="165">
        <v>0</v>
      </c>
      <c r="Q2381" s="165">
        <v>21</v>
      </c>
      <c r="R2381" s="164" t="s">
        <v>200</v>
      </c>
      <c r="S2381" s="164" t="s">
        <v>201</v>
      </c>
      <c r="T2381" s="165">
        <v>462</v>
      </c>
      <c r="U2381" s="164" t="s">
        <v>200</v>
      </c>
      <c r="V2381" s="164" t="s">
        <v>202</v>
      </c>
      <c r="W2381" s="165">
        <v>2</v>
      </c>
      <c r="X2381" s="165">
        <v>4</v>
      </c>
      <c r="Y2381" s="164" t="s">
        <v>203</v>
      </c>
      <c r="Z2381" s="164" t="s">
        <v>195</v>
      </c>
      <c r="AA2381" s="164" t="s">
        <v>196</v>
      </c>
      <c r="AB2381" s="164" t="s">
        <v>187</v>
      </c>
      <c r="AC2381" s="164" t="s">
        <v>187</v>
      </c>
      <c r="AD2381" s="165">
        <v>1</v>
      </c>
      <c r="AE2381" s="164" t="s">
        <v>187</v>
      </c>
      <c r="AF2381" s="165">
        <v>25.177850029467098</v>
      </c>
      <c r="AG2381" s="166">
        <v>88.833441383493494</v>
      </c>
      <c r="AO2381" s="121"/>
      <c r="AT2381" s="111"/>
      <c r="AX2381" s="121"/>
    </row>
    <row r="2382" spans="1:50" s="110" customFormat="1" ht="20" customHeight="1">
      <c r="A2382" s="125" t="s">
        <v>486</v>
      </c>
      <c r="B2382" s="126" t="s">
        <v>57</v>
      </c>
      <c r="C2382" s="127">
        <v>16152</v>
      </c>
      <c r="D2382" s="163">
        <v>111252</v>
      </c>
      <c r="E2382" s="164" t="s">
        <v>197</v>
      </c>
      <c r="F2382" s="164" t="s">
        <v>197</v>
      </c>
      <c r="G2382" s="165">
        <v>27000</v>
      </c>
      <c r="H2382" s="165">
        <v>1</v>
      </c>
      <c r="I2382" s="164" t="s">
        <v>187</v>
      </c>
      <c r="J2382" s="164" t="s">
        <v>198</v>
      </c>
      <c r="K2382" s="164" t="s">
        <v>199</v>
      </c>
      <c r="L2382" s="165">
        <v>5</v>
      </c>
      <c r="M2382" s="165">
        <v>6</v>
      </c>
      <c r="N2382" s="164" t="s">
        <v>189</v>
      </c>
      <c r="O2382" s="165">
        <v>0</v>
      </c>
      <c r="P2382" s="165">
        <v>0</v>
      </c>
      <c r="Q2382" s="165">
        <v>21</v>
      </c>
      <c r="R2382" s="164" t="s">
        <v>200</v>
      </c>
      <c r="S2382" s="164" t="s">
        <v>201</v>
      </c>
      <c r="T2382" s="165">
        <v>462</v>
      </c>
      <c r="U2382" s="164" t="s">
        <v>200</v>
      </c>
      <c r="V2382" s="164" t="s">
        <v>202</v>
      </c>
      <c r="W2382" s="165">
        <v>3</v>
      </c>
      <c r="X2382" s="165">
        <v>4</v>
      </c>
      <c r="Y2382" s="164" t="s">
        <v>203</v>
      </c>
      <c r="Z2382" s="164" t="s">
        <v>195</v>
      </c>
      <c r="AA2382" s="164" t="s">
        <v>196</v>
      </c>
      <c r="AB2382" s="164" t="s">
        <v>187</v>
      </c>
      <c r="AC2382" s="164" t="s">
        <v>187</v>
      </c>
      <c r="AD2382" s="165">
        <v>1</v>
      </c>
      <c r="AE2382" s="164" t="s">
        <v>187</v>
      </c>
      <c r="AF2382" s="165">
        <v>22.996444245678902</v>
      </c>
      <c r="AG2382" s="166">
        <v>89.836245920389104</v>
      </c>
      <c r="AO2382" s="121"/>
      <c r="AT2382" s="111"/>
      <c r="AX2382" s="121"/>
    </row>
    <row r="2383" spans="1:50" s="110" customFormat="1" ht="20" customHeight="1">
      <c r="A2383" s="125" t="s">
        <v>486</v>
      </c>
      <c r="B2383" s="126" t="s">
        <v>57</v>
      </c>
      <c r="C2383" s="127">
        <v>16467</v>
      </c>
      <c r="D2383" s="163">
        <v>111632</v>
      </c>
      <c r="E2383" s="164" t="s">
        <v>514</v>
      </c>
      <c r="F2383" s="164" t="s">
        <v>514</v>
      </c>
      <c r="G2383" s="165">
        <v>26000</v>
      </c>
      <c r="H2383" s="165">
        <v>1</v>
      </c>
      <c r="I2383" s="164" t="s">
        <v>187</v>
      </c>
      <c r="J2383" s="164" t="s">
        <v>198</v>
      </c>
      <c r="K2383" s="164" t="s">
        <v>199</v>
      </c>
      <c r="L2383" s="165">
        <v>5</v>
      </c>
      <c r="M2383" s="165">
        <v>6</v>
      </c>
      <c r="N2383" s="164" t="s">
        <v>189</v>
      </c>
      <c r="O2383" s="165">
        <v>0</v>
      </c>
      <c r="P2383" s="165">
        <v>0</v>
      </c>
      <c r="Q2383" s="165">
        <v>21</v>
      </c>
      <c r="R2383" s="164" t="s">
        <v>200</v>
      </c>
      <c r="S2383" s="164" t="s">
        <v>201</v>
      </c>
      <c r="T2383" s="165">
        <v>462</v>
      </c>
      <c r="U2383" s="164" t="s">
        <v>200</v>
      </c>
      <c r="V2383" s="164" t="s">
        <v>202</v>
      </c>
      <c r="W2383" s="165">
        <v>2</v>
      </c>
      <c r="X2383" s="165">
        <v>4</v>
      </c>
      <c r="Y2383" s="164" t="s">
        <v>203</v>
      </c>
      <c r="Z2383" s="164" t="s">
        <v>195</v>
      </c>
      <c r="AA2383" s="164" t="s">
        <v>196</v>
      </c>
      <c r="AB2383" s="164" t="s">
        <v>187</v>
      </c>
      <c r="AC2383" s="164" t="s">
        <v>187</v>
      </c>
      <c r="AD2383" s="165">
        <v>1</v>
      </c>
      <c r="AE2383" s="164" t="s">
        <v>187</v>
      </c>
      <c r="AF2383" s="165">
        <v>22.8184819759357</v>
      </c>
      <c r="AG2383" s="166">
        <v>89.805220840410499</v>
      </c>
      <c r="AO2383" s="121"/>
      <c r="AT2383" s="111"/>
      <c r="AX2383" s="121"/>
    </row>
    <row r="2384" spans="1:50" s="110" customFormat="1" ht="20" customHeight="1">
      <c r="A2384" s="125" t="s">
        <v>486</v>
      </c>
      <c r="B2384" s="126" t="s">
        <v>57</v>
      </c>
      <c r="C2384" s="127">
        <v>17609</v>
      </c>
      <c r="D2384" s="163">
        <v>113040</v>
      </c>
      <c r="E2384" s="164" t="s">
        <v>1009</v>
      </c>
      <c r="F2384" s="164" t="s">
        <v>1009</v>
      </c>
      <c r="G2384" s="165">
        <v>23000</v>
      </c>
      <c r="H2384" s="165">
        <v>1</v>
      </c>
      <c r="I2384" s="164" t="s">
        <v>187</v>
      </c>
      <c r="J2384" s="164" t="s">
        <v>198</v>
      </c>
      <c r="K2384" s="164" t="s">
        <v>199</v>
      </c>
      <c r="L2384" s="165">
        <v>5</v>
      </c>
      <c r="M2384" s="165">
        <v>6</v>
      </c>
      <c r="N2384" s="164" t="s">
        <v>189</v>
      </c>
      <c r="O2384" s="165">
        <v>0</v>
      </c>
      <c r="P2384" s="165">
        <v>0</v>
      </c>
      <c r="Q2384" s="165">
        <v>21</v>
      </c>
      <c r="R2384" s="164" t="s">
        <v>200</v>
      </c>
      <c r="S2384" s="164" t="s">
        <v>201</v>
      </c>
      <c r="T2384" s="165">
        <v>462</v>
      </c>
      <c r="U2384" s="164" t="s">
        <v>200</v>
      </c>
      <c r="V2384" s="164" t="s">
        <v>202</v>
      </c>
      <c r="W2384" s="165">
        <v>4</v>
      </c>
      <c r="X2384" s="165">
        <v>4</v>
      </c>
      <c r="Y2384" s="164" t="s">
        <v>203</v>
      </c>
      <c r="Z2384" s="164" t="s">
        <v>195</v>
      </c>
      <c r="AA2384" s="164" t="s">
        <v>196</v>
      </c>
      <c r="AB2384" s="164" t="s">
        <v>187</v>
      </c>
      <c r="AC2384" s="164" t="s">
        <v>187</v>
      </c>
      <c r="AD2384" s="165">
        <v>1</v>
      </c>
      <c r="AE2384" s="164" t="s">
        <v>187</v>
      </c>
      <c r="AF2384" s="165">
        <v>22.514366881502902</v>
      </c>
      <c r="AG2384" s="166">
        <v>91.870850676301501</v>
      </c>
      <c r="AO2384" s="121"/>
      <c r="AT2384" s="111"/>
      <c r="AX2384" s="121"/>
    </row>
    <row r="2385" spans="1:50" s="110" customFormat="1" ht="20" customHeight="1">
      <c r="A2385" s="125" t="s">
        <v>486</v>
      </c>
      <c r="B2385" s="126" t="s">
        <v>57</v>
      </c>
      <c r="C2385" s="127">
        <v>18082</v>
      </c>
      <c r="D2385" s="163">
        <v>113583</v>
      </c>
      <c r="E2385" s="164" t="s">
        <v>1366</v>
      </c>
      <c r="F2385" s="164" t="s">
        <v>1366</v>
      </c>
      <c r="G2385" s="165">
        <v>22000</v>
      </c>
      <c r="H2385" s="165">
        <v>1</v>
      </c>
      <c r="I2385" s="164" t="s">
        <v>187</v>
      </c>
      <c r="J2385" s="164" t="s">
        <v>198</v>
      </c>
      <c r="K2385" s="164" t="s">
        <v>199</v>
      </c>
      <c r="L2385" s="165">
        <v>5</v>
      </c>
      <c r="M2385" s="165">
        <v>6</v>
      </c>
      <c r="N2385" s="164" t="s">
        <v>189</v>
      </c>
      <c r="O2385" s="165">
        <v>0</v>
      </c>
      <c r="P2385" s="165">
        <v>0</v>
      </c>
      <c r="Q2385" s="165">
        <v>21</v>
      </c>
      <c r="R2385" s="164" t="s">
        <v>200</v>
      </c>
      <c r="S2385" s="164" t="s">
        <v>201</v>
      </c>
      <c r="T2385" s="165">
        <v>462</v>
      </c>
      <c r="U2385" s="164" t="s">
        <v>200</v>
      </c>
      <c r="V2385" s="164" t="s">
        <v>202</v>
      </c>
      <c r="W2385" s="165">
        <v>1</v>
      </c>
      <c r="X2385" s="165">
        <v>4</v>
      </c>
      <c r="Y2385" s="164" t="s">
        <v>203</v>
      </c>
      <c r="Z2385" s="164" t="s">
        <v>195</v>
      </c>
      <c r="AA2385" s="164" t="s">
        <v>196</v>
      </c>
      <c r="AB2385" s="164" t="s">
        <v>187</v>
      </c>
      <c r="AC2385" s="164" t="s">
        <v>187</v>
      </c>
      <c r="AD2385" s="165">
        <v>1</v>
      </c>
      <c r="AE2385" s="164" t="s">
        <v>187</v>
      </c>
      <c r="AF2385" s="165">
        <v>22.693010040986699</v>
      </c>
      <c r="AG2385" s="166">
        <v>89.781329941868904</v>
      </c>
      <c r="AO2385" s="121"/>
      <c r="AT2385" s="111"/>
      <c r="AX2385" s="121"/>
    </row>
    <row r="2386" spans="1:50" s="110" customFormat="1" ht="20" customHeight="1">
      <c r="A2386" s="125" t="s">
        <v>486</v>
      </c>
      <c r="B2386" s="126" t="s">
        <v>57</v>
      </c>
      <c r="C2386" s="127">
        <v>17519</v>
      </c>
      <c r="D2386" s="163">
        <v>112937</v>
      </c>
      <c r="E2386" s="164" t="s">
        <v>643</v>
      </c>
      <c r="F2386" s="164" t="s">
        <v>643</v>
      </c>
      <c r="G2386" s="165">
        <v>21000</v>
      </c>
      <c r="H2386" s="165">
        <v>1</v>
      </c>
      <c r="I2386" s="164" t="s">
        <v>187</v>
      </c>
      <c r="J2386" s="164" t="s">
        <v>198</v>
      </c>
      <c r="K2386" s="164" t="s">
        <v>199</v>
      </c>
      <c r="L2386" s="165">
        <v>5</v>
      </c>
      <c r="M2386" s="165">
        <v>6</v>
      </c>
      <c r="N2386" s="164" t="s">
        <v>189</v>
      </c>
      <c r="O2386" s="165">
        <v>0</v>
      </c>
      <c r="P2386" s="165">
        <v>0</v>
      </c>
      <c r="Q2386" s="165">
        <v>21</v>
      </c>
      <c r="R2386" s="164" t="s">
        <v>200</v>
      </c>
      <c r="S2386" s="164" t="s">
        <v>201</v>
      </c>
      <c r="T2386" s="165">
        <v>462</v>
      </c>
      <c r="U2386" s="164" t="s">
        <v>200</v>
      </c>
      <c r="V2386" s="164" t="s">
        <v>202</v>
      </c>
      <c r="W2386" s="165">
        <v>4</v>
      </c>
      <c r="X2386" s="165">
        <v>4</v>
      </c>
      <c r="Y2386" s="164" t="s">
        <v>203</v>
      </c>
      <c r="Z2386" s="164" t="s">
        <v>195</v>
      </c>
      <c r="AA2386" s="164" t="s">
        <v>196</v>
      </c>
      <c r="AB2386" s="164" t="s">
        <v>187</v>
      </c>
      <c r="AC2386" s="164" t="s">
        <v>187</v>
      </c>
      <c r="AD2386" s="165">
        <v>1</v>
      </c>
      <c r="AE2386" s="164" t="s">
        <v>187</v>
      </c>
      <c r="AF2386" s="165">
        <v>25.093590190440999</v>
      </c>
      <c r="AG2386" s="166">
        <v>89.256086383363495</v>
      </c>
      <c r="AO2386" s="121"/>
      <c r="AT2386" s="111"/>
      <c r="AX2386" s="121"/>
    </row>
    <row r="2387" spans="1:50" s="110" customFormat="1" ht="20" customHeight="1">
      <c r="A2387" s="125" t="s">
        <v>486</v>
      </c>
      <c r="B2387" s="126" t="s">
        <v>57</v>
      </c>
      <c r="C2387" s="127">
        <v>17570</v>
      </c>
      <c r="D2387" s="163">
        <v>112997</v>
      </c>
      <c r="E2387" s="164" t="s">
        <v>761</v>
      </c>
      <c r="F2387" s="164" t="s">
        <v>761</v>
      </c>
      <c r="G2387" s="165">
        <v>18000</v>
      </c>
      <c r="H2387" s="165">
        <v>1</v>
      </c>
      <c r="I2387" s="164" t="s">
        <v>187</v>
      </c>
      <c r="J2387" s="164" t="s">
        <v>198</v>
      </c>
      <c r="K2387" s="164" t="s">
        <v>199</v>
      </c>
      <c r="L2387" s="165">
        <v>5</v>
      </c>
      <c r="M2387" s="165">
        <v>6</v>
      </c>
      <c r="N2387" s="164" t="s">
        <v>189</v>
      </c>
      <c r="O2387" s="165">
        <v>0</v>
      </c>
      <c r="P2387" s="165">
        <v>0</v>
      </c>
      <c r="Q2387" s="165">
        <v>21</v>
      </c>
      <c r="R2387" s="164" t="s">
        <v>200</v>
      </c>
      <c r="S2387" s="164" t="s">
        <v>201</v>
      </c>
      <c r="T2387" s="165">
        <v>462</v>
      </c>
      <c r="U2387" s="164" t="s">
        <v>200</v>
      </c>
      <c r="V2387" s="164" t="s">
        <v>202</v>
      </c>
      <c r="W2387" s="165">
        <v>1</v>
      </c>
      <c r="X2387" s="165">
        <v>4</v>
      </c>
      <c r="Y2387" s="164" t="s">
        <v>203</v>
      </c>
      <c r="Z2387" s="164" t="s">
        <v>195</v>
      </c>
      <c r="AA2387" s="164" t="s">
        <v>196</v>
      </c>
      <c r="AB2387" s="164" t="s">
        <v>187</v>
      </c>
      <c r="AC2387" s="164" t="s">
        <v>187</v>
      </c>
      <c r="AD2387" s="165">
        <v>1</v>
      </c>
      <c r="AE2387" s="164" t="s">
        <v>187</v>
      </c>
      <c r="AF2387" s="165">
        <v>24.858263796361001</v>
      </c>
      <c r="AG2387" s="166">
        <v>90.637374897636207</v>
      </c>
      <c r="AO2387" s="121"/>
      <c r="AT2387" s="111"/>
      <c r="AX2387" s="121"/>
    </row>
    <row r="2388" spans="1:50" s="110" customFormat="1" ht="20" customHeight="1">
      <c r="A2388" s="125" t="s">
        <v>486</v>
      </c>
      <c r="B2388" s="126" t="s">
        <v>57</v>
      </c>
      <c r="C2388" s="127">
        <v>17624</v>
      </c>
      <c r="D2388" s="163">
        <v>113059</v>
      </c>
      <c r="E2388" s="164" t="s">
        <v>1088</v>
      </c>
      <c r="F2388" s="164" t="s">
        <v>1088</v>
      </c>
      <c r="G2388" s="165">
        <v>17000</v>
      </c>
      <c r="H2388" s="165">
        <v>1</v>
      </c>
      <c r="I2388" s="164" t="s">
        <v>187</v>
      </c>
      <c r="J2388" s="164" t="s">
        <v>198</v>
      </c>
      <c r="K2388" s="164" t="s">
        <v>199</v>
      </c>
      <c r="L2388" s="165">
        <v>5</v>
      </c>
      <c r="M2388" s="165">
        <v>6</v>
      </c>
      <c r="N2388" s="164" t="s">
        <v>189</v>
      </c>
      <c r="O2388" s="165">
        <v>0</v>
      </c>
      <c r="P2388" s="165">
        <v>0</v>
      </c>
      <c r="Q2388" s="165">
        <v>21</v>
      </c>
      <c r="R2388" s="164" t="s">
        <v>200</v>
      </c>
      <c r="S2388" s="164" t="s">
        <v>201</v>
      </c>
      <c r="T2388" s="165">
        <v>462</v>
      </c>
      <c r="U2388" s="164" t="s">
        <v>200</v>
      </c>
      <c r="V2388" s="164" t="s">
        <v>202</v>
      </c>
      <c r="W2388" s="165">
        <v>3</v>
      </c>
      <c r="X2388" s="165">
        <v>4</v>
      </c>
      <c r="Y2388" s="164" t="s">
        <v>203</v>
      </c>
      <c r="Z2388" s="164" t="s">
        <v>195</v>
      </c>
      <c r="AA2388" s="164" t="s">
        <v>196</v>
      </c>
      <c r="AB2388" s="164" t="s">
        <v>187</v>
      </c>
      <c r="AC2388" s="164" t="s">
        <v>187</v>
      </c>
      <c r="AD2388" s="165">
        <v>1</v>
      </c>
      <c r="AE2388" s="164" t="s">
        <v>187</v>
      </c>
      <c r="AF2388" s="165">
        <v>25.6865928607954</v>
      </c>
      <c r="AG2388" s="166">
        <v>88.832281540860393</v>
      </c>
      <c r="AO2388" s="121"/>
      <c r="AT2388" s="111"/>
      <c r="AX2388" s="121"/>
    </row>
    <row r="2389" spans="1:50" s="110" customFormat="1" ht="20" customHeight="1">
      <c r="A2389" s="125" t="s">
        <v>486</v>
      </c>
      <c r="B2389" s="126" t="s">
        <v>57</v>
      </c>
      <c r="C2389" s="127">
        <v>17513</v>
      </c>
      <c r="D2389" s="163">
        <v>112930</v>
      </c>
      <c r="E2389" s="164" t="s">
        <v>613</v>
      </c>
      <c r="F2389" s="164" t="s">
        <v>613</v>
      </c>
      <c r="G2389" s="165">
        <v>16000</v>
      </c>
      <c r="H2389" s="165">
        <v>1</v>
      </c>
      <c r="I2389" s="164" t="s">
        <v>187</v>
      </c>
      <c r="J2389" s="164" t="s">
        <v>198</v>
      </c>
      <c r="K2389" s="164" t="s">
        <v>199</v>
      </c>
      <c r="L2389" s="165">
        <v>5</v>
      </c>
      <c r="M2389" s="165">
        <v>6</v>
      </c>
      <c r="N2389" s="164" t="s">
        <v>189</v>
      </c>
      <c r="O2389" s="165">
        <v>0</v>
      </c>
      <c r="P2389" s="165">
        <v>0</v>
      </c>
      <c r="Q2389" s="165">
        <v>21</v>
      </c>
      <c r="R2389" s="164" t="s">
        <v>200</v>
      </c>
      <c r="S2389" s="164" t="s">
        <v>201</v>
      </c>
      <c r="T2389" s="165">
        <v>462</v>
      </c>
      <c r="U2389" s="164" t="s">
        <v>200</v>
      </c>
      <c r="V2389" s="164" t="s">
        <v>202</v>
      </c>
      <c r="W2389" s="165">
        <v>4</v>
      </c>
      <c r="X2389" s="165">
        <v>4</v>
      </c>
      <c r="Y2389" s="164" t="s">
        <v>203</v>
      </c>
      <c r="Z2389" s="164" t="s">
        <v>195</v>
      </c>
      <c r="AA2389" s="164" t="s">
        <v>196</v>
      </c>
      <c r="AB2389" s="164" t="s">
        <v>187</v>
      </c>
      <c r="AC2389" s="164" t="s">
        <v>187</v>
      </c>
      <c r="AD2389" s="165">
        <v>1</v>
      </c>
      <c r="AE2389" s="164" t="s">
        <v>187</v>
      </c>
      <c r="AF2389" s="165">
        <v>23.228361699971298</v>
      </c>
      <c r="AG2389" s="166">
        <v>89.317182529413799</v>
      </c>
      <c r="AO2389" s="121"/>
      <c r="AT2389" s="111"/>
      <c r="AX2389" s="121"/>
    </row>
    <row r="2390" spans="1:50" s="110" customFormat="1" ht="20" customHeight="1">
      <c r="A2390" s="125" t="s">
        <v>486</v>
      </c>
      <c r="B2390" s="126" t="s">
        <v>57</v>
      </c>
      <c r="C2390" s="127">
        <v>17919</v>
      </c>
      <c r="D2390" s="163">
        <v>113401</v>
      </c>
      <c r="E2390" s="164" t="s">
        <v>1212</v>
      </c>
      <c r="F2390" s="164" t="s">
        <v>1212</v>
      </c>
      <c r="G2390" s="165">
        <v>15000</v>
      </c>
      <c r="H2390" s="165">
        <v>1</v>
      </c>
      <c r="I2390" s="164" t="s">
        <v>187</v>
      </c>
      <c r="J2390" s="164" t="s">
        <v>198</v>
      </c>
      <c r="K2390" s="164" t="s">
        <v>199</v>
      </c>
      <c r="L2390" s="165">
        <v>5</v>
      </c>
      <c r="M2390" s="165">
        <v>6</v>
      </c>
      <c r="N2390" s="164" t="s">
        <v>189</v>
      </c>
      <c r="O2390" s="165">
        <v>0</v>
      </c>
      <c r="P2390" s="165">
        <v>0</v>
      </c>
      <c r="Q2390" s="165">
        <v>21</v>
      </c>
      <c r="R2390" s="164" t="s">
        <v>200</v>
      </c>
      <c r="S2390" s="164" t="s">
        <v>201</v>
      </c>
      <c r="T2390" s="165">
        <v>462</v>
      </c>
      <c r="U2390" s="164" t="s">
        <v>200</v>
      </c>
      <c r="V2390" s="164" t="s">
        <v>202</v>
      </c>
      <c r="W2390" s="165">
        <v>4</v>
      </c>
      <c r="X2390" s="165">
        <v>4</v>
      </c>
      <c r="Y2390" s="164" t="s">
        <v>203</v>
      </c>
      <c r="Z2390" s="164" t="s">
        <v>195</v>
      </c>
      <c r="AA2390" s="164" t="s">
        <v>196</v>
      </c>
      <c r="AB2390" s="164" t="s">
        <v>187</v>
      </c>
      <c r="AC2390" s="164" t="s">
        <v>187</v>
      </c>
      <c r="AD2390" s="165">
        <v>1</v>
      </c>
      <c r="AE2390" s="164" t="s">
        <v>187</v>
      </c>
      <c r="AF2390" s="165">
        <v>24.620790714399099</v>
      </c>
      <c r="AG2390" s="166">
        <v>90.102572904012405</v>
      </c>
      <c r="AO2390" s="121"/>
      <c r="AT2390" s="111"/>
      <c r="AX2390" s="121"/>
    </row>
    <row r="2391" spans="1:50" s="110" customFormat="1" ht="20" customHeight="1">
      <c r="A2391" s="125" t="s">
        <v>486</v>
      </c>
      <c r="B2391" s="126" t="s">
        <v>57</v>
      </c>
      <c r="C2391" s="127">
        <v>17125</v>
      </c>
      <c r="D2391" s="163">
        <v>112472</v>
      </c>
      <c r="E2391" s="164" t="s">
        <v>1213</v>
      </c>
      <c r="F2391" s="164" t="s">
        <v>1213</v>
      </c>
      <c r="G2391" s="165">
        <v>14000</v>
      </c>
      <c r="H2391" s="165">
        <v>1</v>
      </c>
      <c r="I2391" s="164" t="s">
        <v>187</v>
      </c>
      <c r="J2391" s="164" t="s">
        <v>198</v>
      </c>
      <c r="K2391" s="164" t="s">
        <v>199</v>
      </c>
      <c r="L2391" s="165">
        <v>5</v>
      </c>
      <c r="M2391" s="165">
        <v>6</v>
      </c>
      <c r="N2391" s="164" t="s">
        <v>189</v>
      </c>
      <c r="O2391" s="165">
        <v>0</v>
      </c>
      <c r="P2391" s="165">
        <v>0</v>
      </c>
      <c r="Q2391" s="165">
        <v>21</v>
      </c>
      <c r="R2391" s="164" t="s">
        <v>200</v>
      </c>
      <c r="S2391" s="164" t="s">
        <v>201</v>
      </c>
      <c r="T2391" s="165">
        <v>462</v>
      </c>
      <c r="U2391" s="164" t="s">
        <v>200</v>
      </c>
      <c r="V2391" s="164" t="s">
        <v>202</v>
      </c>
      <c r="W2391" s="165">
        <v>3</v>
      </c>
      <c r="X2391" s="165">
        <v>4</v>
      </c>
      <c r="Y2391" s="164" t="s">
        <v>203</v>
      </c>
      <c r="Z2391" s="164" t="s">
        <v>195</v>
      </c>
      <c r="AA2391" s="164" t="s">
        <v>196</v>
      </c>
      <c r="AB2391" s="164" t="s">
        <v>187</v>
      </c>
      <c r="AC2391" s="164" t="s">
        <v>187</v>
      </c>
      <c r="AD2391" s="165">
        <v>1</v>
      </c>
      <c r="AE2391" s="164" t="s">
        <v>187</v>
      </c>
      <c r="AF2391" s="165">
        <v>22.995225810171402</v>
      </c>
      <c r="AG2391" s="166">
        <v>89.925602241178694</v>
      </c>
      <c r="AO2391" s="121"/>
      <c r="AT2391" s="111"/>
      <c r="AX2391" s="121"/>
    </row>
    <row r="2392" spans="1:50" s="110" customFormat="1" ht="20" customHeight="1">
      <c r="A2392" s="125" t="s">
        <v>486</v>
      </c>
      <c r="B2392" s="126" t="s">
        <v>57</v>
      </c>
      <c r="C2392" s="127">
        <v>17629</v>
      </c>
      <c r="D2392" s="163">
        <v>113065</v>
      </c>
      <c r="E2392" s="164" t="s">
        <v>1151</v>
      </c>
      <c r="F2392" s="164" t="s">
        <v>1151</v>
      </c>
      <c r="G2392" s="165">
        <v>13000</v>
      </c>
      <c r="H2392" s="165">
        <v>1</v>
      </c>
      <c r="I2392" s="164" t="s">
        <v>187</v>
      </c>
      <c r="J2392" s="164" t="s">
        <v>198</v>
      </c>
      <c r="K2392" s="164" t="s">
        <v>199</v>
      </c>
      <c r="L2392" s="165">
        <v>5</v>
      </c>
      <c r="M2392" s="165">
        <v>6</v>
      </c>
      <c r="N2392" s="164" t="s">
        <v>189</v>
      </c>
      <c r="O2392" s="165">
        <v>0</v>
      </c>
      <c r="P2392" s="165">
        <v>0</v>
      </c>
      <c r="Q2392" s="165">
        <v>21</v>
      </c>
      <c r="R2392" s="164" t="s">
        <v>200</v>
      </c>
      <c r="S2392" s="164" t="s">
        <v>201</v>
      </c>
      <c r="T2392" s="165">
        <v>462</v>
      </c>
      <c r="U2392" s="164" t="s">
        <v>200</v>
      </c>
      <c r="V2392" s="164" t="s">
        <v>202</v>
      </c>
      <c r="W2392" s="165">
        <v>2</v>
      </c>
      <c r="X2392" s="165">
        <v>4</v>
      </c>
      <c r="Y2392" s="164" t="s">
        <v>203</v>
      </c>
      <c r="Z2392" s="164" t="s">
        <v>195</v>
      </c>
      <c r="AA2392" s="164" t="s">
        <v>196</v>
      </c>
      <c r="AB2392" s="164" t="s">
        <v>187</v>
      </c>
      <c r="AC2392" s="164" t="s">
        <v>187</v>
      </c>
      <c r="AD2392" s="165">
        <v>1</v>
      </c>
      <c r="AE2392" s="164" t="s">
        <v>187</v>
      </c>
      <c r="AF2392" s="165">
        <v>23.0302270443574</v>
      </c>
      <c r="AG2392" s="166">
        <v>89.802563545258494</v>
      </c>
      <c r="AO2392" s="121"/>
      <c r="AT2392" s="111"/>
      <c r="AX2392" s="121"/>
    </row>
    <row r="2393" spans="1:50" s="110" customFormat="1" ht="20" customHeight="1">
      <c r="A2393" s="125" t="s">
        <v>486</v>
      </c>
      <c r="B2393" s="126" t="s">
        <v>57</v>
      </c>
      <c r="C2393" s="127">
        <v>21345</v>
      </c>
      <c r="D2393" s="163">
        <v>118171</v>
      </c>
      <c r="E2393" s="164" t="s">
        <v>1089</v>
      </c>
      <c r="F2393" s="164" t="s">
        <v>1089</v>
      </c>
      <c r="G2393" s="165">
        <v>11000</v>
      </c>
      <c r="H2393" s="165">
        <v>1</v>
      </c>
      <c r="I2393" s="164" t="s">
        <v>187</v>
      </c>
      <c r="J2393" s="164" t="s">
        <v>198</v>
      </c>
      <c r="K2393" s="164" t="s">
        <v>199</v>
      </c>
      <c r="L2393" s="165">
        <v>5</v>
      </c>
      <c r="M2393" s="165">
        <v>6</v>
      </c>
      <c r="N2393" s="164" t="s">
        <v>189</v>
      </c>
      <c r="O2393" s="165">
        <v>0</v>
      </c>
      <c r="P2393" s="165">
        <v>0</v>
      </c>
      <c r="Q2393" s="165">
        <v>21</v>
      </c>
      <c r="R2393" s="164" t="s">
        <v>200</v>
      </c>
      <c r="S2393" s="164" t="s">
        <v>201</v>
      </c>
      <c r="T2393" s="165">
        <v>462</v>
      </c>
      <c r="U2393" s="164" t="s">
        <v>200</v>
      </c>
      <c r="V2393" s="164" t="s">
        <v>202</v>
      </c>
      <c r="W2393" s="165">
        <v>2</v>
      </c>
      <c r="X2393" s="165">
        <v>4</v>
      </c>
      <c r="Y2393" s="164" t="s">
        <v>203</v>
      </c>
      <c r="Z2393" s="164" t="s">
        <v>195</v>
      </c>
      <c r="AA2393" s="164" t="s">
        <v>196</v>
      </c>
      <c r="AB2393" s="164" t="s">
        <v>187</v>
      </c>
      <c r="AC2393" s="164" t="s">
        <v>187</v>
      </c>
      <c r="AD2393" s="165">
        <v>1</v>
      </c>
      <c r="AE2393" s="164" t="s">
        <v>187</v>
      </c>
      <c r="AF2393" s="165">
        <v>24.822310000000002</v>
      </c>
      <c r="AG2393" s="166">
        <v>89.381</v>
      </c>
      <c r="AO2393" s="121"/>
      <c r="AT2393" s="111"/>
      <c r="AX2393" s="121"/>
    </row>
    <row r="2394" spans="1:50" s="110" customFormat="1" ht="20" customHeight="1">
      <c r="A2394" s="125" t="s">
        <v>486</v>
      </c>
      <c r="B2394" s="126" t="s">
        <v>57</v>
      </c>
      <c r="C2394" s="127">
        <v>17662</v>
      </c>
      <c r="D2394" s="163">
        <v>113102</v>
      </c>
      <c r="E2394" s="164" t="s">
        <v>1193</v>
      </c>
      <c r="F2394" s="164" t="s">
        <v>1193</v>
      </c>
      <c r="G2394" s="165">
        <v>8000</v>
      </c>
      <c r="H2394" s="165">
        <v>1</v>
      </c>
      <c r="I2394" s="164" t="s">
        <v>187</v>
      </c>
      <c r="J2394" s="164" t="s">
        <v>198</v>
      </c>
      <c r="K2394" s="164" t="s">
        <v>199</v>
      </c>
      <c r="L2394" s="165">
        <v>5</v>
      </c>
      <c r="M2394" s="165">
        <v>6</v>
      </c>
      <c r="N2394" s="164" t="s">
        <v>189</v>
      </c>
      <c r="O2394" s="165">
        <v>0</v>
      </c>
      <c r="P2394" s="165">
        <v>0</v>
      </c>
      <c r="Q2394" s="165">
        <v>21</v>
      </c>
      <c r="R2394" s="164" t="s">
        <v>200</v>
      </c>
      <c r="S2394" s="164" t="s">
        <v>201</v>
      </c>
      <c r="T2394" s="165">
        <v>462</v>
      </c>
      <c r="U2394" s="164" t="s">
        <v>200</v>
      </c>
      <c r="V2394" s="164" t="s">
        <v>202</v>
      </c>
      <c r="W2394" s="165">
        <v>3</v>
      </c>
      <c r="X2394" s="165">
        <v>4</v>
      </c>
      <c r="Y2394" s="164" t="s">
        <v>203</v>
      </c>
      <c r="Z2394" s="164" t="s">
        <v>195</v>
      </c>
      <c r="AA2394" s="164" t="s">
        <v>196</v>
      </c>
      <c r="AB2394" s="164" t="s">
        <v>187</v>
      </c>
      <c r="AC2394" s="164" t="s">
        <v>187</v>
      </c>
      <c r="AD2394" s="165">
        <v>1</v>
      </c>
      <c r="AE2394" s="164" t="s">
        <v>187</v>
      </c>
      <c r="AF2394" s="165">
        <v>22.8560822626673</v>
      </c>
      <c r="AG2394" s="166">
        <v>90.535715744097104</v>
      </c>
      <c r="AO2394" s="121"/>
      <c r="AT2394" s="111"/>
      <c r="AX2394" s="121"/>
    </row>
    <row r="2395" spans="1:50" s="110" customFormat="1" ht="20" customHeight="1">
      <c r="A2395" s="125" t="s">
        <v>486</v>
      </c>
      <c r="B2395" s="126" t="s">
        <v>57</v>
      </c>
      <c r="C2395" s="127">
        <v>16385</v>
      </c>
      <c r="D2395" s="163">
        <v>111527</v>
      </c>
      <c r="E2395" s="164" t="s">
        <v>479</v>
      </c>
      <c r="F2395" s="164" t="s">
        <v>479</v>
      </c>
      <c r="G2395" s="165">
        <v>7600</v>
      </c>
      <c r="H2395" s="165">
        <v>1</v>
      </c>
      <c r="I2395" s="164" t="s">
        <v>187</v>
      </c>
      <c r="J2395" s="164" t="s">
        <v>198</v>
      </c>
      <c r="K2395" s="164" t="s">
        <v>199</v>
      </c>
      <c r="L2395" s="165">
        <v>5</v>
      </c>
      <c r="M2395" s="165">
        <v>6</v>
      </c>
      <c r="N2395" s="164" t="s">
        <v>189</v>
      </c>
      <c r="O2395" s="165">
        <v>0</v>
      </c>
      <c r="P2395" s="165">
        <v>0</v>
      </c>
      <c r="Q2395" s="165">
        <v>21</v>
      </c>
      <c r="R2395" s="164" t="s">
        <v>200</v>
      </c>
      <c r="S2395" s="164" t="s">
        <v>201</v>
      </c>
      <c r="T2395" s="165">
        <v>462</v>
      </c>
      <c r="U2395" s="164" t="s">
        <v>200</v>
      </c>
      <c r="V2395" s="164" t="s">
        <v>202</v>
      </c>
      <c r="W2395" s="165">
        <v>2</v>
      </c>
      <c r="X2395" s="165">
        <v>4</v>
      </c>
      <c r="Y2395" s="164" t="s">
        <v>203</v>
      </c>
      <c r="Z2395" s="164" t="s">
        <v>195</v>
      </c>
      <c r="AA2395" s="164" t="s">
        <v>196</v>
      </c>
      <c r="AB2395" s="164" t="s">
        <v>187</v>
      </c>
      <c r="AC2395" s="164" t="s">
        <v>187</v>
      </c>
      <c r="AD2395" s="165">
        <v>1</v>
      </c>
      <c r="AE2395" s="164" t="s">
        <v>187</v>
      </c>
      <c r="AF2395" s="165">
        <v>25.807067033018502</v>
      </c>
      <c r="AG2395" s="166">
        <v>89.269958597254004</v>
      </c>
      <c r="AO2395" s="121"/>
      <c r="AT2395" s="111"/>
      <c r="AX2395" s="121"/>
    </row>
    <row r="2396" spans="1:50" s="110" customFormat="1" ht="20" customHeight="1">
      <c r="A2396" s="125" t="s">
        <v>486</v>
      </c>
      <c r="B2396" s="126" t="s">
        <v>57</v>
      </c>
      <c r="C2396" s="127">
        <v>17564</v>
      </c>
      <c r="D2396" s="163">
        <v>112990</v>
      </c>
      <c r="E2396" s="164" t="s">
        <v>1132</v>
      </c>
      <c r="F2396" s="164" t="s">
        <v>1132</v>
      </c>
      <c r="G2396" s="165">
        <v>7400</v>
      </c>
      <c r="H2396" s="165">
        <v>1</v>
      </c>
      <c r="I2396" s="164" t="s">
        <v>187</v>
      </c>
      <c r="J2396" s="164" t="s">
        <v>198</v>
      </c>
      <c r="K2396" s="164" t="s">
        <v>199</v>
      </c>
      <c r="L2396" s="165">
        <v>5</v>
      </c>
      <c r="M2396" s="165">
        <v>6</v>
      </c>
      <c r="N2396" s="164" t="s">
        <v>189</v>
      </c>
      <c r="O2396" s="165">
        <v>0</v>
      </c>
      <c r="P2396" s="165">
        <v>0</v>
      </c>
      <c r="Q2396" s="165">
        <v>21</v>
      </c>
      <c r="R2396" s="164" t="s">
        <v>200</v>
      </c>
      <c r="S2396" s="164" t="s">
        <v>201</v>
      </c>
      <c r="T2396" s="165">
        <v>462</v>
      </c>
      <c r="U2396" s="164" t="s">
        <v>200</v>
      </c>
      <c r="V2396" s="164" t="s">
        <v>202</v>
      </c>
      <c r="W2396" s="165">
        <v>3</v>
      </c>
      <c r="X2396" s="165">
        <v>4</v>
      </c>
      <c r="Y2396" s="164" t="s">
        <v>203</v>
      </c>
      <c r="Z2396" s="164" t="s">
        <v>195</v>
      </c>
      <c r="AA2396" s="164" t="s">
        <v>196</v>
      </c>
      <c r="AB2396" s="164" t="s">
        <v>187</v>
      </c>
      <c r="AC2396" s="164" t="s">
        <v>187</v>
      </c>
      <c r="AD2396" s="165">
        <v>1</v>
      </c>
      <c r="AE2396" s="164" t="s">
        <v>187</v>
      </c>
      <c r="AF2396" s="165">
        <v>24.778189999999999</v>
      </c>
      <c r="AG2396" s="166">
        <v>88.933470999999997</v>
      </c>
      <c r="AO2396" s="121"/>
      <c r="AT2396" s="111"/>
      <c r="AX2396" s="121"/>
    </row>
    <row r="2397" spans="1:50" s="110" customFormat="1" ht="20" customHeight="1">
      <c r="A2397" s="125" t="s">
        <v>486</v>
      </c>
      <c r="B2397" s="126" t="s">
        <v>57</v>
      </c>
      <c r="C2397" s="127">
        <v>17625</v>
      </c>
      <c r="D2397" s="163">
        <v>113060</v>
      </c>
      <c r="E2397" s="164" t="s">
        <v>1133</v>
      </c>
      <c r="F2397" s="164" t="s">
        <v>1133</v>
      </c>
      <c r="G2397" s="165">
        <v>7300</v>
      </c>
      <c r="H2397" s="165">
        <v>1</v>
      </c>
      <c r="I2397" s="164" t="s">
        <v>187</v>
      </c>
      <c r="J2397" s="164" t="s">
        <v>198</v>
      </c>
      <c r="K2397" s="164" t="s">
        <v>199</v>
      </c>
      <c r="L2397" s="165">
        <v>5</v>
      </c>
      <c r="M2397" s="165">
        <v>6</v>
      </c>
      <c r="N2397" s="164" t="s">
        <v>189</v>
      </c>
      <c r="O2397" s="165">
        <v>0</v>
      </c>
      <c r="P2397" s="165">
        <v>0</v>
      </c>
      <c r="Q2397" s="165">
        <v>21</v>
      </c>
      <c r="R2397" s="164" t="s">
        <v>200</v>
      </c>
      <c r="S2397" s="164" t="s">
        <v>201</v>
      </c>
      <c r="T2397" s="165">
        <v>462</v>
      </c>
      <c r="U2397" s="164" t="s">
        <v>200</v>
      </c>
      <c r="V2397" s="164" t="s">
        <v>202</v>
      </c>
      <c r="W2397" s="165">
        <v>3</v>
      </c>
      <c r="X2397" s="165">
        <v>4</v>
      </c>
      <c r="Y2397" s="164" t="s">
        <v>203</v>
      </c>
      <c r="Z2397" s="164" t="s">
        <v>195</v>
      </c>
      <c r="AA2397" s="164" t="s">
        <v>196</v>
      </c>
      <c r="AB2397" s="164" t="s">
        <v>187</v>
      </c>
      <c r="AC2397" s="164" t="s">
        <v>187</v>
      </c>
      <c r="AD2397" s="165">
        <v>1</v>
      </c>
      <c r="AE2397" s="164" t="s">
        <v>187</v>
      </c>
      <c r="AF2397" s="165">
        <v>23.37861538265</v>
      </c>
      <c r="AG2397" s="166">
        <v>89.309001404194902</v>
      </c>
      <c r="AO2397" s="121"/>
      <c r="AT2397" s="111"/>
      <c r="AX2397" s="121"/>
    </row>
    <row r="2398" spans="1:50" s="110" customFormat="1" ht="20" customHeight="1">
      <c r="A2398" s="125" t="s">
        <v>486</v>
      </c>
      <c r="B2398" s="126" t="s">
        <v>57</v>
      </c>
      <c r="C2398" s="127">
        <v>17686</v>
      </c>
      <c r="D2398" s="163">
        <v>113131</v>
      </c>
      <c r="E2398" s="164" t="s">
        <v>1397</v>
      </c>
      <c r="F2398" s="164" t="s">
        <v>1397</v>
      </c>
      <c r="G2398" s="165">
        <v>6900</v>
      </c>
      <c r="H2398" s="165">
        <v>1</v>
      </c>
      <c r="I2398" s="164" t="s">
        <v>187</v>
      </c>
      <c r="J2398" s="164" t="s">
        <v>198</v>
      </c>
      <c r="K2398" s="164" t="s">
        <v>199</v>
      </c>
      <c r="L2398" s="165">
        <v>5</v>
      </c>
      <c r="M2398" s="165">
        <v>6</v>
      </c>
      <c r="N2398" s="164" t="s">
        <v>189</v>
      </c>
      <c r="O2398" s="165">
        <v>0</v>
      </c>
      <c r="P2398" s="165">
        <v>0</v>
      </c>
      <c r="Q2398" s="165">
        <v>21</v>
      </c>
      <c r="R2398" s="164" t="s">
        <v>200</v>
      </c>
      <c r="S2398" s="164" t="s">
        <v>201</v>
      </c>
      <c r="T2398" s="165">
        <v>462</v>
      </c>
      <c r="U2398" s="164" t="s">
        <v>200</v>
      </c>
      <c r="V2398" s="164" t="s">
        <v>202</v>
      </c>
      <c r="W2398" s="165">
        <v>2</v>
      </c>
      <c r="X2398" s="165">
        <v>4</v>
      </c>
      <c r="Y2398" s="164" t="s">
        <v>203</v>
      </c>
      <c r="Z2398" s="164" t="s">
        <v>195</v>
      </c>
      <c r="AA2398" s="164" t="s">
        <v>196</v>
      </c>
      <c r="AB2398" s="164" t="s">
        <v>187</v>
      </c>
      <c r="AC2398" s="164" t="s">
        <v>187</v>
      </c>
      <c r="AD2398" s="165">
        <v>1</v>
      </c>
      <c r="AE2398" s="164" t="s">
        <v>187</v>
      </c>
      <c r="AF2398" s="165">
        <v>22.553314921708299</v>
      </c>
      <c r="AG2398" s="166">
        <v>92.132488036937005</v>
      </c>
      <c r="AO2398" s="121"/>
      <c r="AT2398" s="111"/>
      <c r="AX2398" s="121"/>
    </row>
    <row r="2399" spans="1:50" s="110" customFormat="1" ht="20" customHeight="1">
      <c r="A2399" s="125" t="s">
        <v>486</v>
      </c>
      <c r="B2399" s="126" t="s">
        <v>57</v>
      </c>
      <c r="C2399" s="127">
        <v>17660</v>
      </c>
      <c r="D2399" s="163">
        <v>113100</v>
      </c>
      <c r="E2399" s="164" t="s">
        <v>1192</v>
      </c>
      <c r="F2399" s="164" t="s">
        <v>1192</v>
      </c>
      <c r="G2399" s="165">
        <v>5900</v>
      </c>
      <c r="H2399" s="165">
        <v>1</v>
      </c>
      <c r="I2399" s="164" t="s">
        <v>187</v>
      </c>
      <c r="J2399" s="164" t="s">
        <v>198</v>
      </c>
      <c r="K2399" s="164" t="s">
        <v>199</v>
      </c>
      <c r="L2399" s="165">
        <v>5</v>
      </c>
      <c r="M2399" s="165">
        <v>6</v>
      </c>
      <c r="N2399" s="164" t="s">
        <v>189</v>
      </c>
      <c r="O2399" s="165">
        <v>0</v>
      </c>
      <c r="P2399" s="165">
        <v>0</v>
      </c>
      <c r="Q2399" s="165">
        <v>21</v>
      </c>
      <c r="R2399" s="164" t="s">
        <v>200</v>
      </c>
      <c r="S2399" s="164" t="s">
        <v>201</v>
      </c>
      <c r="T2399" s="165">
        <v>462</v>
      </c>
      <c r="U2399" s="164" t="s">
        <v>200</v>
      </c>
      <c r="V2399" s="164" t="s">
        <v>202</v>
      </c>
      <c r="W2399" s="165">
        <v>2</v>
      </c>
      <c r="X2399" s="165">
        <v>4</v>
      </c>
      <c r="Y2399" s="164" t="s">
        <v>203</v>
      </c>
      <c r="Z2399" s="164" t="s">
        <v>195</v>
      </c>
      <c r="AA2399" s="164" t="s">
        <v>196</v>
      </c>
      <c r="AB2399" s="164" t="s">
        <v>187</v>
      </c>
      <c r="AC2399" s="164" t="s">
        <v>187</v>
      </c>
      <c r="AD2399" s="165">
        <v>1</v>
      </c>
      <c r="AE2399" s="164" t="s">
        <v>187</v>
      </c>
      <c r="AF2399" s="165">
        <v>22.6053682111989</v>
      </c>
      <c r="AG2399" s="166">
        <v>89.723308380032606</v>
      </c>
      <c r="AO2399" s="121"/>
      <c r="AT2399" s="111"/>
      <c r="AX2399" s="121"/>
    </row>
    <row r="2400" spans="1:50" s="110" customFormat="1" ht="20" customHeight="1">
      <c r="A2400" s="125" t="s">
        <v>486</v>
      </c>
      <c r="B2400" s="126" t="s">
        <v>57</v>
      </c>
      <c r="C2400" s="127">
        <v>16762</v>
      </c>
      <c r="D2400" s="163">
        <v>112012</v>
      </c>
      <c r="E2400" s="164" t="s">
        <v>678</v>
      </c>
      <c r="F2400" s="164" t="s">
        <v>678</v>
      </c>
      <c r="G2400" s="165">
        <v>5100</v>
      </c>
      <c r="H2400" s="165">
        <v>1</v>
      </c>
      <c r="I2400" s="164" t="s">
        <v>187</v>
      </c>
      <c r="J2400" s="164" t="s">
        <v>198</v>
      </c>
      <c r="K2400" s="164" t="s">
        <v>199</v>
      </c>
      <c r="L2400" s="165">
        <v>5</v>
      </c>
      <c r="M2400" s="165">
        <v>6</v>
      </c>
      <c r="N2400" s="164" t="s">
        <v>189</v>
      </c>
      <c r="O2400" s="165">
        <v>0</v>
      </c>
      <c r="P2400" s="165">
        <v>0</v>
      </c>
      <c r="Q2400" s="165">
        <v>21</v>
      </c>
      <c r="R2400" s="164" t="s">
        <v>200</v>
      </c>
      <c r="S2400" s="164" t="s">
        <v>201</v>
      </c>
      <c r="T2400" s="165">
        <v>462</v>
      </c>
      <c r="U2400" s="164" t="s">
        <v>200</v>
      </c>
      <c r="V2400" s="164" t="s">
        <v>202</v>
      </c>
      <c r="W2400" s="165">
        <v>3</v>
      </c>
      <c r="X2400" s="165">
        <v>4</v>
      </c>
      <c r="Y2400" s="164" t="s">
        <v>203</v>
      </c>
      <c r="Z2400" s="164" t="s">
        <v>195</v>
      </c>
      <c r="AA2400" s="164" t="s">
        <v>196</v>
      </c>
      <c r="AB2400" s="164" t="s">
        <v>187</v>
      </c>
      <c r="AC2400" s="164" t="s">
        <v>187</v>
      </c>
      <c r="AD2400" s="165">
        <v>1</v>
      </c>
      <c r="AE2400" s="164" t="s">
        <v>187</v>
      </c>
      <c r="AF2400" s="165">
        <v>24.0197846159862</v>
      </c>
      <c r="AG2400" s="166">
        <v>90.839695223838007</v>
      </c>
      <c r="AO2400" s="121"/>
      <c r="AT2400" s="111"/>
      <c r="AX2400" s="121"/>
    </row>
    <row r="2401" spans="1:50" s="110" customFormat="1" ht="20" customHeight="1">
      <c r="A2401" s="125" t="s">
        <v>486</v>
      </c>
      <c r="B2401" s="126" t="s">
        <v>57</v>
      </c>
      <c r="C2401" s="127">
        <v>20445</v>
      </c>
      <c r="D2401" s="163">
        <v>116118</v>
      </c>
      <c r="E2401" s="164" t="s">
        <v>697</v>
      </c>
      <c r="F2401" s="164" t="s">
        <v>697</v>
      </c>
      <c r="G2401" s="165">
        <v>5000</v>
      </c>
      <c r="H2401" s="165">
        <v>1</v>
      </c>
      <c r="I2401" s="164" t="s">
        <v>187</v>
      </c>
      <c r="J2401" s="164" t="s">
        <v>198</v>
      </c>
      <c r="K2401" s="164" t="s">
        <v>199</v>
      </c>
      <c r="L2401" s="165">
        <v>5</v>
      </c>
      <c r="M2401" s="165">
        <v>6</v>
      </c>
      <c r="N2401" s="164" t="s">
        <v>189</v>
      </c>
      <c r="O2401" s="165">
        <v>0</v>
      </c>
      <c r="P2401" s="165">
        <v>0</v>
      </c>
      <c r="Q2401" s="165">
        <v>21</v>
      </c>
      <c r="R2401" s="164" t="s">
        <v>200</v>
      </c>
      <c r="S2401" s="164" t="s">
        <v>201</v>
      </c>
      <c r="T2401" s="165">
        <v>462</v>
      </c>
      <c r="U2401" s="164" t="s">
        <v>200</v>
      </c>
      <c r="V2401" s="164" t="s">
        <v>202</v>
      </c>
      <c r="W2401" s="165">
        <v>2</v>
      </c>
      <c r="X2401" s="165">
        <v>4</v>
      </c>
      <c r="Y2401" s="164" t="s">
        <v>203</v>
      </c>
      <c r="Z2401" s="164" t="s">
        <v>195</v>
      </c>
      <c r="AA2401" s="164" t="s">
        <v>196</v>
      </c>
      <c r="AB2401" s="164" t="s">
        <v>187</v>
      </c>
      <c r="AC2401" s="164" t="s">
        <v>187</v>
      </c>
      <c r="AD2401" s="165">
        <v>1</v>
      </c>
      <c r="AE2401" s="164" t="s">
        <v>187</v>
      </c>
      <c r="AF2401" s="165">
        <v>24.894341000000001</v>
      </c>
      <c r="AG2401" s="166">
        <v>91.914764000000005</v>
      </c>
      <c r="AO2401" s="121"/>
      <c r="AT2401" s="111"/>
      <c r="AX2401" s="121"/>
    </row>
    <row r="2402" spans="1:50" s="110" customFormat="1" ht="20" customHeight="1">
      <c r="A2402" s="125" t="s">
        <v>486</v>
      </c>
      <c r="B2402" s="126" t="s">
        <v>57</v>
      </c>
      <c r="C2402" s="127">
        <v>17573</v>
      </c>
      <c r="D2402" s="163">
        <v>113000</v>
      </c>
      <c r="E2402" s="164" t="s">
        <v>854</v>
      </c>
      <c r="F2402" s="164" t="s">
        <v>854</v>
      </c>
      <c r="G2402" s="165">
        <v>4900</v>
      </c>
      <c r="H2402" s="165">
        <v>1</v>
      </c>
      <c r="I2402" s="164" t="s">
        <v>187</v>
      </c>
      <c r="J2402" s="164" t="s">
        <v>198</v>
      </c>
      <c r="K2402" s="164" t="s">
        <v>199</v>
      </c>
      <c r="L2402" s="165">
        <v>5</v>
      </c>
      <c r="M2402" s="165">
        <v>6</v>
      </c>
      <c r="N2402" s="164" t="s">
        <v>189</v>
      </c>
      <c r="O2402" s="165">
        <v>0</v>
      </c>
      <c r="P2402" s="165">
        <v>0</v>
      </c>
      <c r="Q2402" s="165">
        <v>21</v>
      </c>
      <c r="R2402" s="164" t="s">
        <v>200</v>
      </c>
      <c r="S2402" s="164" t="s">
        <v>201</v>
      </c>
      <c r="T2402" s="165">
        <v>462</v>
      </c>
      <c r="U2402" s="164" t="s">
        <v>200</v>
      </c>
      <c r="V2402" s="164" t="s">
        <v>202</v>
      </c>
      <c r="W2402" s="165">
        <v>3</v>
      </c>
      <c r="X2402" s="165">
        <v>4</v>
      </c>
      <c r="Y2402" s="164" t="s">
        <v>203</v>
      </c>
      <c r="Z2402" s="164" t="s">
        <v>195</v>
      </c>
      <c r="AA2402" s="164" t="s">
        <v>196</v>
      </c>
      <c r="AB2402" s="164" t="s">
        <v>187</v>
      </c>
      <c r="AC2402" s="164" t="s">
        <v>187</v>
      </c>
      <c r="AD2402" s="165">
        <v>1</v>
      </c>
      <c r="AE2402" s="164" t="s">
        <v>187</v>
      </c>
      <c r="AF2402" s="165">
        <v>22.659246191040001</v>
      </c>
      <c r="AG2402" s="166">
        <v>89.782374739484197</v>
      </c>
      <c r="AO2402" s="121"/>
      <c r="AT2402" s="111"/>
      <c r="AX2402" s="121"/>
    </row>
    <row r="2403" spans="1:50" s="110" customFormat="1" ht="20" customHeight="1">
      <c r="A2403" s="125" t="s">
        <v>486</v>
      </c>
      <c r="B2403" s="126" t="s">
        <v>57</v>
      </c>
      <c r="C2403" s="127">
        <v>17668</v>
      </c>
      <c r="D2403" s="163">
        <v>113110</v>
      </c>
      <c r="E2403" s="164" t="s">
        <v>1222</v>
      </c>
      <c r="F2403" s="164" t="s">
        <v>1222</v>
      </c>
      <c r="G2403" s="165">
        <v>4700</v>
      </c>
      <c r="H2403" s="165">
        <v>1</v>
      </c>
      <c r="I2403" s="164" t="s">
        <v>187</v>
      </c>
      <c r="J2403" s="164" t="s">
        <v>198</v>
      </c>
      <c r="K2403" s="164" t="s">
        <v>199</v>
      </c>
      <c r="L2403" s="165">
        <v>5</v>
      </c>
      <c r="M2403" s="165">
        <v>6</v>
      </c>
      <c r="N2403" s="164" t="s">
        <v>189</v>
      </c>
      <c r="O2403" s="165">
        <v>0</v>
      </c>
      <c r="P2403" s="165">
        <v>0</v>
      </c>
      <c r="Q2403" s="165">
        <v>21</v>
      </c>
      <c r="R2403" s="164" t="s">
        <v>200</v>
      </c>
      <c r="S2403" s="164" t="s">
        <v>201</v>
      </c>
      <c r="T2403" s="165">
        <v>462</v>
      </c>
      <c r="U2403" s="164" t="s">
        <v>200</v>
      </c>
      <c r="V2403" s="164" t="s">
        <v>202</v>
      </c>
      <c r="W2403" s="165">
        <v>2</v>
      </c>
      <c r="X2403" s="165">
        <v>4</v>
      </c>
      <c r="Y2403" s="164" t="s">
        <v>203</v>
      </c>
      <c r="Z2403" s="164" t="s">
        <v>195</v>
      </c>
      <c r="AA2403" s="164" t="s">
        <v>196</v>
      </c>
      <c r="AB2403" s="164" t="s">
        <v>187</v>
      </c>
      <c r="AC2403" s="164" t="s">
        <v>187</v>
      </c>
      <c r="AD2403" s="165">
        <v>1</v>
      </c>
      <c r="AE2403" s="164" t="s">
        <v>187</v>
      </c>
      <c r="AF2403" s="165">
        <v>26.39220324894</v>
      </c>
      <c r="AG2403" s="166">
        <v>88.942202814977904</v>
      </c>
      <c r="AO2403" s="121"/>
      <c r="AT2403" s="111"/>
      <c r="AX2403" s="121"/>
    </row>
    <row r="2404" spans="1:50" s="110" customFormat="1" ht="20" customHeight="1">
      <c r="A2404" s="125" t="s">
        <v>486</v>
      </c>
      <c r="B2404" s="126" t="s">
        <v>57</v>
      </c>
      <c r="C2404" s="127">
        <v>19483</v>
      </c>
      <c r="D2404" s="163">
        <v>115507</v>
      </c>
      <c r="E2404" s="164" t="s">
        <v>1036</v>
      </c>
      <c r="F2404" s="164" t="s">
        <v>1036</v>
      </c>
      <c r="G2404" s="165">
        <v>4500</v>
      </c>
      <c r="H2404" s="165">
        <v>1</v>
      </c>
      <c r="I2404" s="164" t="s">
        <v>187</v>
      </c>
      <c r="J2404" s="164" t="s">
        <v>198</v>
      </c>
      <c r="K2404" s="164" t="s">
        <v>199</v>
      </c>
      <c r="L2404" s="165">
        <v>5</v>
      </c>
      <c r="M2404" s="165">
        <v>6</v>
      </c>
      <c r="N2404" s="164" t="s">
        <v>189</v>
      </c>
      <c r="O2404" s="165">
        <v>0</v>
      </c>
      <c r="P2404" s="165">
        <v>0</v>
      </c>
      <c r="Q2404" s="165">
        <v>21</v>
      </c>
      <c r="R2404" s="164" t="s">
        <v>200</v>
      </c>
      <c r="S2404" s="164" t="s">
        <v>201</v>
      </c>
      <c r="T2404" s="165">
        <v>462</v>
      </c>
      <c r="U2404" s="164" t="s">
        <v>200</v>
      </c>
      <c r="V2404" s="164" t="s">
        <v>202</v>
      </c>
      <c r="W2404" s="165">
        <v>4</v>
      </c>
      <c r="X2404" s="165">
        <v>4</v>
      </c>
      <c r="Y2404" s="164" t="s">
        <v>203</v>
      </c>
      <c r="Z2404" s="164" t="s">
        <v>195</v>
      </c>
      <c r="AA2404" s="164" t="s">
        <v>196</v>
      </c>
      <c r="AB2404" s="164" t="s">
        <v>187</v>
      </c>
      <c r="AC2404" s="164" t="s">
        <v>187</v>
      </c>
      <c r="AD2404" s="165">
        <v>1</v>
      </c>
      <c r="AE2404" s="164" t="s">
        <v>187</v>
      </c>
      <c r="AF2404" s="165">
        <v>24.025933848319799</v>
      </c>
      <c r="AG2404" s="166">
        <v>90.789535714211397</v>
      </c>
      <c r="AO2404" s="121"/>
      <c r="AT2404" s="111"/>
      <c r="AX2404" s="121"/>
    </row>
    <row r="2405" spans="1:50" s="110" customFormat="1" ht="20" customHeight="1">
      <c r="A2405" s="125" t="s">
        <v>486</v>
      </c>
      <c r="B2405" s="126" t="s">
        <v>57</v>
      </c>
      <c r="C2405" s="127">
        <v>16829</v>
      </c>
      <c r="D2405" s="163">
        <v>112104</v>
      </c>
      <c r="E2405" s="164" t="s">
        <v>712</v>
      </c>
      <c r="F2405" s="164" t="s">
        <v>712</v>
      </c>
      <c r="G2405" s="165">
        <v>4300</v>
      </c>
      <c r="H2405" s="165">
        <v>1</v>
      </c>
      <c r="I2405" s="164" t="s">
        <v>187</v>
      </c>
      <c r="J2405" s="164" t="s">
        <v>713</v>
      </c>
      <c r="K2405" s="164" t="s">
        <v>714</v>
      </c>
      <c r="L2405" s="165">
        <v>4</v>
      </c>
      <c r="M2405" s="165">
        <v>6</v>
      </c>
      <c r="N2405" s="164" t="s">
        <v>189</v>
      </c>
      <c r="O2405" s="165">
        <v>0</v>
      </c>
      <c r="P2405" s="165">
        <v>0</v>
      </c>
      <c r="Q2405" s="165">
        <v>21</v>
      </c>
      <c r="R2405" s="164" t="s">
        <v>200</v>
      </c>
      <c r="S2405" s="164" t="s">
        <v>201</v>
      </c>
      <c r="T2405" s="165">
        <v>462</v>
      </c>
      <c r="U2405" s="164" t="s">
        <v>200</v>
      </c>
      <c r="V2405" s="164" t="s">
        <v>202</v>
      </c>
      <c r="W2405" s="165">
        <v>2</v>
      </c>
      <c r="X2405" s="165">
        <v>4</v>
      </c>
      <c r="Y2405" s="164" t="s">
        <v>203</v>
      </c>
      <c r="Z2405" s="164" t="s">
        <v>195</v>
      </c>
      <c r="AA2405" s="164" t="s">
        <v>196</v>
      </c>
      <c r="AB2405" s="164" t="s">
        <v>187</v>
      </c>
      <c r="AC2405" s="164" t="s">
        <v>187</v>
      </c>
      <c r="AD2405" s="165">
        <v>1</v>
      </c>
      <c r="AE2405" s="164" t="s">
        <v>187</v>
      </c>
      <c r="AF2405" s="165">
        <v>22.747464807548202</v>
      </c>
      <c r="AG2405" s="166">
        <v>92.020661371609705</v>
      </c>
      <c r="AO2405" s="121"/>
      <c r="AT2405" s="111"/>
      <c r="AX2405" s="121"/>
    </row>
    <row r="2406" spans="1:50" s="110" customFormat="1" ht="20" customHeight="1">
      <c r="A2406" s="125" t="s">
        <v>486</v>
      </c>
      <c r="B2406" s="126" t="s">
        <v>57</v>
      </c>
      <c r="C2406" s="127">
        <v>17614</v>
      </c>
      <c r="D2406" s="163">
        <v>113046</v>
      </c>
      <c r="E2406" s="164" t="s">
        <v>1055</v>
      </c>
      <c r="F2406" s="164" t="s">
        <v>1055</v>
      </c>
      <c r="G2406" s="165">
        <v>4000</v>
      </c>
      <c r="H2406" s="165">
        <v>1</v>
      </c>
      <c r="I2406" s="164" t="s">
        <v>187</v>
      </c>
      <c r="J2406" s="164" t="s">
        <v>198</v>
      </c>
      <c r="K2406" s="164" t="s">
        <v>199</v>
      </c>
      <c r="L2406" s="165">
        <v>5</v>
      </c>
      <c r="M2406" s="165">
        <v>6</v>
      </c>
      <c r="N2406" s="164" t="s">
        <v>189</v>
      </c>
      <c r="O2406" s="165">
        <v>0</v>
      </c>
      <c r="P2406" s="165">
        <v>0</v>
      </c>
      <c r="Q2406" s="165">
        <v>21</v>
      </c>
      <c r="R2406" s="164" t="s">
        <v>200</v>
      </c>
      <c r="S2406" s="164" t="s">
        <v>201</v>
      </c>
      <c r="T2406" s="165">
        <v>462</v>
      </c>
      <c r="U2406" s="164" t="s">
        <v>200</v>
      </c>
      <c r="V2406" s="164" t="s">
        <v>202</v>
      </c>
      <c r="W2406" s="165">
        <v>2</v>
      </c>
      <c r="X2406" s="165">
        <v>4</v>
      </c>
      <c r="Y2406" s="164" t="s">
        <v>203</v>
      </c>
      <c r="Z2406" s="164" t="s">
        <v>195</v>
      </c>
      <c r="AA2406" s="164" t="s">
        <v>196</v>
      </c>
      <c r="AB2406" s="164" t="s">
        <v>187</v>
      </c>
      <c r="AC2406" s="164" t="s">
        <v>187</v>
      </c>
      <c r="AD2406" s="165">
        <v>1</v>
      </c>
      <c r="AE2406" s="164" t="s">
        <v>187</v>
      </c>
      <c r="AF2406" s="165">
        <v>23.9634926124515</v>
      </c>
      <c r="AG2406" s="166">
        <v>90.613046890415603</v>
      </c>
      <c r="AO2406" s="121"/>
      <c r="AT2406" s="111"/>
      <c r="AX2406" s="121"/>
    </row>
    <row r="2407" spans="1:50" s="110" customFormat="1" ht="20" customHeight="1">
      <c r="A2407" s="125" t="s">
        <v>486</v>
      </c>
      <c r="B2407" s="126" t="s">
        <v>57</v>
      </c>
      <c r="C2407" s="127">
        <v>17579</v>
      </c>
      <c r="D2407" s="163">
        <v>113006</v>
      </c>
      <c r="E2407" s="164" t="s">
        <v>858</v>
      </c>
      <c r="F2407" s="164" t="s">
        <v>858</v>
      </c>
      <c r="G2407" s="165">
        <v>3900</v>
      </c>
      <c r="H2407" s="165">
        <v>1</v>
      </c>
      <c r="I2407" s="164" t="s">
        <v>187</v>
      </c>
      <c r="J2407" s="164" t="s">
        <v>198</v>
      </c>
      <c r="K2407" s="164" t="s">
        <v>199</v>
      </c>
      <c r="L2407" s="165">
        <v>5</v>
      </c>
      <c r="M2407" s="165">
        <v>6</v>
      </c>
      <c r="N2407" s="164" t="s">
        <v>189</v>
      </c>
      <c r="O2407" s="165">
        <v>0</v>
      </c>
      <c r="P2407" s="165">
        <v>0</v>
      </c>
      <c r="Q2407" s="165">
        <v>21</v>
      </c>
      <c r="R2407" s="164" t="s">
        <v>200</v>
      </c>
      <c r="S2407" s="164" t="s">
        <v>201</v>
      </c>
      <c r="T2407" s="165">
        <v>462</v>
      </c>
      <c r="U2407" s="164" t="s">
        <v>200</v>
      </c>
      <c r="V2407" s="164" t="s">
        <v>202</v>
      </c>
      <c r="W2407" s="165">
        <v>3</v>
      </c>
      <c r="X2407" s="165">
        <v>4</v>
      </c>
      <c r="Y2407" s="164" t="s">
        <v>203</v>
      </c>
      <c r="Z2407" s="164" t="s">
        <v>195</v>
      </c>
      <c r="AA2407" s="164" t="s">
        <v>196</v>
      </c>
      <c r="AB2407" s="164" t="s">
        <v>187</v>
      </c>
      <c r="AC2407" s="164" t="s">
        <v>187</v>
      </c>
      <c r="AD2407" s="165">
        <v>1</v>
      </c>
      <c r="AE2407" s="164" t="s">
        <v>187</v>
      </c>
      <c r="AF2407" s="165">
        <v>23.579938605734998</v>
      </c>
      <c r="AG2407" s="166">
        <v>90.028058487818996</v>
      </c>
      <c r="AO2407" s="121"/>
      <c r="AT2407" s="111"/>
      <c r="AX2407" s="121"/>
    </row>
    <row r="2408" spans="1:50" s="110" customFormat="1" ht="20" customHeight="1">
      <c r="A2408" s="125" t="s">
        <v>486</v>
      </c>
      <c r="B2408" s="126" t="s">
        <v>57</v>
      </c>
      <c r="C2408" s="127">
        <v>18140</v>
      </c>
      <c r="D2408" s="163">
        <v>113647</v>
      </c>
      <c r="E2408" s="164" t="s">
        <v>1378</v>
      </c>
      <c r="F2408" s="164" t="s">
        <v>1378</v>
      </c>
      <c r="G2408" s="165">
        <v>3700</v>
      </c>
      <c r="H2408" s="165">
        <v>1</v>
      </c>
      <c r="I2408" s="164" t="s">
        <v>187</v>
      </c>
      <c r="J2408" s="164" t="s">
        <v>219</v>
      </c>
      <c r="K2408" s="164" t="s">
        <v>220</v>
      </c>
      <c r="L2408" s="165">
        <v>5</v>
      </c>
      <c r="M2408" s="165">
        <v>6</v>
      </c>
      <c r="N2408" s="164" t="s">
        <v>189</v>
      </c>
      <c r="O2408" s="165">
        <v>0</v>
      </c>
      <c r="P2408" s="165">
        <v>0</v>
      </c>
      <c r="Q2408" s="165">
        <v>21</v>
      </c>
      <c r="R2408" s="164" t="s">
        <v>200</v>
      </c>
      <c r="S2408" s="164" t="s">
        <v>201</v>
      </c>
      <c r="T2408" s="165">
        <v>462</v>
      </c>
      <c r="U2408" s="164" t="s">
        <v>200</v>
      </c>
      <c r="V2408" s="164" t="s">
        <v>202</v>
      </c>
      <c r="W2408" s="165">
        <v>4</v>
      </c>
      <c r="X2408" s="165">
        <v>4</v>
      </c>
      <c r="Y2408" s="164" t="s">
        <v>203</v>
      </c>
      <c r="Z2408" s="164" t="s">
        <v>195</v>
      </c>
      <c r="AA2408" s="164" t="s">
        <v>196</v>
      </c>
      <c r="AB2408" s="164" t="s">
        <v>187</v>
      </c>
      <c r="AC2408" s="164" t="s">
        <v>187</v>
      </c>
      <c r="AD2408" s="165">
        <v>1</v>
      </c>
      <c r="AE2408" s="164" t="s">
        <v>187</v>
      </c>
      <c r="AF2408" s="165">
        <v>24.1463018530109</v>
      </c>
      <c r="AG2408" s="166">
        <v>90.558485856614695</v>
      </c>
      <c r="AO2408" s="121"/>
      <c r="AT2408" s="111"/>
      <c r="AX2408" s="121"/>
    </row>
    <row r="2409" spans="1:50" s="110" customFormat="1" ht="20" customHeight="1">
      <c r="A2409" s="125" t="s">
        <v>486</v>
      </c>
      <c r="B2409" s="126" t="s">
        <v>57</v>
      </c>
      <c r="C2409" s="127">
        <v>18218</v>
      </c>
      <c r="D2409" s="163">
        <v>113744</v>
      </c>
      <c r="E2409" s="164" t="s">
        <v>1423</v>
      </c>
      <c r="F2409" s="164" t="s">
        <v>1423</v>
      </c>
      <c r="G2409" s="165">
        <v>3700</v>
      </c>
      <c r="H2409" s="165">
        <v>1</v>
      </c>
      <c r="I2409" s="164" t="s">
        <v>187</v>
      </c>
      <c r="J2409" s="164" t="s">
        <v>198</v>
      </c>
      <c r="K2409" s="164" t="s">
        <v>199</v>
      </c>
      <c r="L2409" s="165">
        <v>5</v>
      </c>
      <c r="M2409" s="165">
        <v>6</v>
      </c>
      <c r="N2409" s="164" t="s">
        <v>189</v>
      </c>
      <c r="O2409" s="165">
        <v>0</v>
      </c>
      <c r="P2409" s="165">
        <v>0</v>
      </c>
      <c r="Q2409" s="165">
        <v>21</v>
      </c>
      <c r="R2409" s="164" t="s">
        <v>200</v>
      </c>
      <c r="S2409" s="164" t="s">
        <v>201</v>
      </c>
      <c r="T2409" s="165">
        <v>462</v>
      </c>
      <c r="U2409" s="164" t="s">
        <v>200</v>
      </c>
      <c r="V2409" s="164" t="s">
        <v>202</v>
      </c>
      <c r="W2409" s="165">
        <v>1</v>
      </c>
      <c r="X2409" s="165">
        <v>4</v>
      </c>
      <c r="Y2409" s="164" t="s">
        <v>203</v>
      </c>
      <c r="Z2409" s="164" t="s">
        <v>195</v>
      </c>
      <c r="AA2409" s="164" t="s">
        <v>196</v>
      </c>
      <c r="AB2409" s="164" t="s">
        <v>187</v>
      </c>
      <c r="AC2409" s="164" t="s">
        <v>187</v>
      </c>
      <c r="AD2409" s="165">
        <v>1</v>
      </c>
      <c r="AE2409" s="164" t="s">
        <v>187</v>
      </c>
      <c r="AF2409" s="165">
        <v>23.106177361576499</v>
      </c>
      <c r="AG2409" s="166">
        <v>89.704366079297301</v>
      </c>
      <c r="AO2409" s="121"/>
      <c r="AT2409" s="111"/>
      <c r="AX2409" s="121"/>
    </row>
    <row r="2410" spans="1:50" s="110" customFormat="1" ht="20" customHeight="1">
      <c r="A2410" s="125" t="s">
        <v>486</v>
      </c>
      <c r="B2410" s="126" t="s">
        <v>57</v>
      </c>
      <c r="C2410" s="127">
        <v>17603</v>
      </c>
      <c r="D2410" s="163">
        <v>113034</v>
      </c>
      <c r="E2410" s="164" t="s">
        <v>968</v>
      </c>
      <c r="F2410" s="164" t="s">
        <v>968</v>
      </c>
      <c r="G2410" s="165">
        <v>3500</v>
      </c>
      <c r="H2410" s="165">
        <v>1</v>
      </c>
      <c r="I2410" s="164" t="s">
        <v>187</v>
      </c>
      <c r="J2410" s="164" t="s">
        <v>198</v>
      </c>
      <c r="K2410" s="164" t="s">
        <v>199</v>
      </c>
      <c r="L2410" s="165">
        <v>5</v>
      </c>
      <c r="M2410" s="165">
        <v>6</v>
      </c>
      <c r="N2410" s="164" t="s">
        <v>189</v>
      </c>
      <c r="O2410" s="165">
        <v>0</v>
      </c>
      <c r="P2410" s="165">
        <v>0</v>
      </c>
      <c r="Q2410" s="165">
        <v>21</v>
      </c>
      <c r="R2410" s="164" t="s">
        <v>200</v>
      </c>
      <c r="S2410" s="164" t="s">
        <v>201</v>
      </c>
      <c r="T2410" s="165">
        <v>462</v>
      </c>
      <c r="U2410" s="164" t="s">
        <v>200</v>
      </c>
      <c r="V2410" s="164" t="s">
        <v>202</v>
      </c>
      <c r="W2410" s="165">
        <v>3</v>
      </c>
      <c r="X2410" s="165">
        <v>4</v>
      </c>
      <c r="Y2410" s="164" t="s">
        <v>203</v>
      </c>
      <c r="Z2410" s="164" t="s">
        <v>195</v>
      </c>
      <c r="AA2410" s="164" t="s">
        <v>196</v>
      </c>
      <c r="AB2410" s="164" t="s">
        <v>187</v>
      </c>
      <c r="AC2410" s="164" t="s">
        <v>187</v>
      </c>
      <c r="AD2410" s="165">
        <v>1</v>
      </c>
      <c r="AE2410" s="164" t="s">
        <v>187</v>
      </c>
      <c r="AF2410" s="165">
        <v>24.773648000000001</v>
      </c>
      <c r="AG2410" s="166">
        <v>89.421246999999994</v>
      </c>
      <c r="AO2410" s="121"/>
      <c r="AT2410" s="111"/>
      <c r="AX2410" s="121"/>
    </row>
    <row r="2411" spans="1:50" s="110" customFormat="1" ht="20" customHeight="1">
      <c r="A2411" s="125" t="s">
        <v>486</v>
      </c>
      <c r="B2411" s="126" t="s">
        <v>57</v>
      </c>
      <c r="C2411" s="127">
        <v>17460</v>
      </c>
      <c r="D2411" s="163">
        <v>112868</v>
      </c>
      <c r="E2411" s="164" t="s">
        <v>1115</v>
      </c>
      <c r="F2411" s="164" t="s">
        <v>1115</v>
      </c>
      <c r="G2411" s="165">
        <v>2600</v>
      </c>
      <c r="H2411" s="165">
        <v>1</v>
      </c>
      <c r="I2411" s="164" t="s">
        <v>187</v>
      </c>
      <c r="J2411" s="164" t="s">
        <v>198</v>
      </c>
      <c r="K2411" s="164" t="s">
        <v>199</v>
      </c>
      <c r="L2411" s="165">
        <v>5</v>
      </c>
      <c r="M2411" s="165">
        <v>6</v>
      </c>
      <c r="N2411" s="164" t="s">
        <v>189</v>
      </c>
      <c r="O2411" s="165">
        <v>0</v>
      </c>
      <c r="P2411" s="165">
        <v>0</v>
      </c>
      <c r="Q2411" s="165">
        <v>21</v>
      </c>
      <c r="R2411" s="164" t="s">
        <v>200</v>
      </c>
      <c r="S2411" s="164" t="s">
        <v>201</v>
      </c>
      <c r="T2411" s="165">
        <v>462</v>
      </c>
      <c r="U2411" s="164" t="s">
        <v>200</v>
      </c>
      <c r="V2411" s="164" t="s">
        <v>202</v>
      </c>
      <c r="W2411" s="165">
        <v>1</v>
      </c>
      <c r="X2411" s="165">
        <v>4</v>
      </c>
      <c r="Y2411" s="164" t="s">
        <v>203</v>
      </c>
      <c r="Z2411" s="164" t="s">
        <v>195</v>
      </c>
      <c r="AA2411" s="164" t="s">
        <v>196</v>
      </c>
      <c r="AB2411" s="164" t="s">
        <v>187</v>
      </c>
      <c r="AC2411" s="164" t="s">
        <v>187</v>
      </c>
      <c r="AD2411" s="165">
        <v>1</v>
      </c>
      <c r="AE2411" s="164" t="s">
        <v>187</v>
      </c>
      <c r="AF2411" s="165">
        <v>23.749058529904499</v>
      </c>
      <c r="AG2411" s="166">
        <v>90.040132004559098</v>
      </c>
      <c r="AO2411" s="121"/>
      <c r="AT2411" s="111"/>
      <c r="AX2411" s="121"/>
    </row>
    <row r="2412" spans="1:50" s="110" customFormat="1" ht="20" customHeight="1">
      <c r="A2412" s="125" t="s">
        <v>486</v>
      </c>
      <c r="B2412" s="126" t="s">
        <v>57</v>
      </c>
      <c r="C2412" s="127">
        <v>17631</v>
      </c>
      <c r="D2412" s="163">
        <v>113067</v>
      </c>
      <c r="E2412" s="164" t="s">
        <v>1161</v>
      </c>
      <c r="F2412" s="164" t="s">
        <v>1161</v>
      </c>
      <c r="G2412" s="165">
        <v>2500</v>
      </c>
      <c r="H2412" s="165">
        <v>1</v>
      </c>
      <c r="I2412" s="164" t="s">
        <v>187</v>
      </c>
      <c r="J2412" s="164" t="s">
        <v>198</v>
      </c>
      <c r="K2412" s="164" t="s">
        <v>199</v>
      </c>
      <c r="L2412" s="165">
        <v>5</v>
      </c>
      <c r="M2412" s="165">
        <v>6</v>
      </c>
      <c r="N2412" s="164" t="s">
        <v>189</v>
      </c>
      <c r="O2412" s="165">
        <v>0</v>
      </c>
      <c r="P2412" s="165">
        <v>0</v>
      </c>
      <c r="Q2412" s="165">
        <v>21</v>
      </c>
      <c r="R2412" s="164" t="s">
        <v>200</v>
      </c>
      <c r="S2412" s="164" t="s">
        <v>201</v>
      </c>
      <c r="T2412" s="165">
        <v>462</v>
      </c>
      <c r="U2412" s="164" t="s">
        <v>200</v>
      </c>
      <c r="V2412" s="164" t="s">
        <v>202</v>
      </c>
      <c r="W2412" s="165">
        <v>4</v>
      </c>
      <c r="X2412" s="165">
        <v>4</v>
      </c>
      <c r="Y2412" s="164" t="s">
        <v>203</v>
      </c>
      <c r="Z2412" s="164" t="s">
        <v>195</v>
      </c>
      <c r="AA2412" s="164" t="s">
        <v>196</v>
      </c>
      <c r="AB2412" s="164" t="s">
        <v>187</v>
      </c>
      <c r="AC2412" s="164" t="s">
        <v>187</v>
      </c>
      <c r="AD2412" s="165">
        <v>1</v>
      </c>
      <c r="AE2412" s="164" t="s">
        <v>187</v>
      </c>
      <c r="AF2412" s="165">
        <v>22.658226981643899</v>
      </c>
      <c r="AG2412" s="166">
        <v>92.366892252939707</v>
      </c>
      <c r="AO2412" s="121"/>
      <c r="AT2412" s="111"/>
      <c r="AX2412" s="121"/>
    </row>
    <row r="2413" spans="1:50" s="110" customFormat="1" ht="20" customHeight="1">
      <c r="A2413" s="125" t="s">
        <v>486</v>
      </c>
      <c r="B2413" s="126" t="s">
        <v>57</v>
      </c>
      <c r="C2413" s="127">
        <v>17090</v>
      </c>
      <c r="D2413" s="163">
        <v>112430</v>
      </c>
      <c r="E2413" s="164" t="s">
        <v>892</v>
      </c>
      <c r="F2413" s="164" t="s">
        <v>892</v>
      </c>
      <c r="G2413" s="165">
        <v>2400</v>
      </c>
      <c r="H2413" s="165">
        <v>1</v>
      </c>
      <c r="I2413" s="164" t="s">
        <v>187</v>
      </c>
      <c r="J2413" s="164" t="s">
        <v>198</v>
      </c>
      <c r="K2413" s="164" t="s">
        <v>199</v>
      </c>
      <c r="L2413" s="165">
        <v>5</v>
      </c>
      <c r="M2413" s="165">
        <v>6</v>
      </c>
      <c r="N2413" s="164" t="s">
        <v>189</v>
      </c>
      <c r="O2413" s="165">
        <v>0</v>
      </c>
      <c r="P2413" s="165">
        <v>0</v>
      </c>
      <c r="Q2413" s="165">
        <v>21</v>
      </c>
      <c r="R2413" s="164" t="s">
        <v>200</v>
      </c>
      <c r="S2413" s="164" t="s">
        <v>201</v>
      </c>
      <c r="T2413" s="165">
        <v>462</v>
      </c>
      <c r="U2413" s="164" t="s">
        <v>200</v>
      </c>
      <c r="V2413" s="164" t="s">
        <v>202</v>
      </c>
      <c r="W2413" s="165">
        <v>1</v>
      </c>
      <c r="X2413" s="165">
        <v>4</v>
      </c>
      <c r="Y2413" s="164" t="s">
        <v>203</v>
      </c>
      <c r="Z2413" s="164" t="s">
        <v>195</v>
      </c>
      <c r="AA2413" s="164" t="s">
        <v>196</v>
      </c>
      <c r="AB2413" s="164" t="s">
        <v>187</v>
      </c>
      <c r="AC2413" s="164" t="s">
        <v>187</v>
      </c>
      <c r="AD2413" s="165">
        <v>1</v>
      </c>
      <c r="AE2413" s="164" t="s">
        <v>187</v>
      </c>
      <c r="AF2413" s="165">
        <v>23.592397159205198</v>
      </c>
      <c r="AG2413" s="166">
        <v>89.986260001352406</v>
      </c>
      <c r="AO2413" s="121"/>
      <c r="AT2413" s="111"/>
      <c r="AX2413" s="121"/>
    </row>
    <row r="2414" spans="1:50" s="110" customFormat="1" ht="20" customHeight="1">
      <c r="A2414" s="125" t="s">
        <v>486</v>
      </c>
      <c r="B2414" s="126" t="s">
        <v>57</v>
      </c>
      <c r="C2414" s="127">
        <v>16663</v>
      </c>
      <c r="D2414" s="163">
        <v>111877</v>
      </c>
      <c r="E2414" s="164" t="s">
        <v>601</v>
      </c>
      <c r="F2414" s="164" t="s">
        <v>601</v>
      </c>
      <c r="G2414" s="165">
        <v>2300</v>
      </c>
      <c r="H2414" s="165">
        <v>1</v>
      </c>
      <c r="I2414" s="164" t="s">
        <v>187</v>
      </c>
      <c r="J2414" s="164" t="s">
        <v>198</v>
      </c>
      <c r="K2414" s="164" t="s">
        <v>199</v>
      </c>
      <c r="L2414" s="165">
        <v>5</v>
      </c>
      <c r="M2414" s="165">
        <v>6</v>
      </c>
      <c r="N2414" s="164" t="s">
        <v>189</v>
      </c>
      <c r="O2414" s="165">
        <v>0</v>
      </c>
      <c r="P2414" s="165">
        <v>0</v>
      </c>
      <c r="Q2414" s="165">
        <v>21</v>
      </c>
      <c r="R2414" s="164" t="s">
        <v>200</v>
      </c>
      <c r="S2414" s="164" t="s">
        <v>201</v>
      </c>
      <c r="T2414" s="165">
        <v>462</v>
      </c>
      <c r="U2414" s="164" t="s">
        <v>200</v>
      </c>
      <c r="V2414" s="164" t="s">
        <v>202</v>
      </c>
      <c r="W2414" s="165">
        <v>2</v>
      </c>
      <c r="X2414" s="165">
        <v>4</v>
      </c>
      <c r="Y2414" s="164" t="s">
        <v>203</v>
      </c>
      <c r="Z2414" s="164" t="s">
        <v>195</v>
      </c>
      <c r="AA2414" s="164" t="s">
        <v>196</v>
      </c>
      <c r="AB2414" s="164" t="s">
        <v>187</v>
      </c>
      <c r="AC2414" s="164" t="s">
        <v>187</v>
      </c>
      <c r="AD2414" s="165">
        <v>1</v>
      </c>
      <c r="AE2414" s="164" t="s">
        <v>187</v>
      </c>
      <c r="AF2414" s="165">
        <v>25.541332000000001</v>
      </c>
      <c r="AG2414" s="166">
        <v>89.067688000000004</v>
      </c>
      <c r="AO2414" s="121"/>
      <c r="AT2414" s="111"/>
      <c r="AX2414" s="121"/>
    </row>
    <row r="2415" spans="1:50" s="110" customFormat="1" ht="20" customHeight="1">
      <c r="A2415" s="125" t="s">
        <v>486</v>
      </c>
      <c r="B2415" s="126" t="s">
        <v>57</v>
      </c>
      <c r="C2415" s="127">
        <v>17043</v>
      </c>
      <c r="D2415" s="163">
        <v>112379</v>
      </c>
      <c r="E2415" s="164" t="s">
        <v>857</v>
      </c>
      <c r="F2415" s="164" t="s">
        <v>857</v>
      </c>
      <c r="G2415" s="165">
        <v>2200</v>
      </c>
      <c r="H2415" s="165">
        <v>1</v>
      </c>
      <c r="I2415" s="164" t="s">
        <v>187</v>
      </c>
      <c r="J2415" s="164" t="s">
        <v>198</v>
      </c>
      <c r="K2415" s="164" t="s">
        <v>199</v>
      </c>
      <c r="L2415" s="165">
        <v>5</v>
      </c>
      <c r="M2415" s="165">
        <v>6</v>
      </c>
      <c r="N2415" s="164" t="s">
        <v>189</v>
      </c>
      <c r="O2415" s="165">
        <v>0</v>
      </c>
      <c r="P2415" s="165">
        <v>0</v>
      </c>
      <c r="Q2415" s="165">
        <v>21</v>
      </c>
      <c r="R2415" s="164" t="s">
        <v>200</v>
      </c>
      <c r="S2415" s="164" t="s">
        <v>201</v>
      </c>
      <c r="T2415" s="165">
        <v>462</v>
      </c>
      <c r="U2415" s="164" t="s">
        <v>200</v>
      </c>
      <c r="V2415" s="164" t="s">
        <v>202</v>
      </c>
      <c r="W2415" s="165">
        <v>1</v>
      </c>
      <c r="X2415" s="165">
        <v>4</v>
      </c>
      <c r="Y2415" s="164" t="s">
        <v>203</v>
      </c>
      <c r="Z2415" s="164" t="s">
        <v>195</v>
      </c>
      <c r="AA2415" s="164" t="s">
        <v>196</v>
      </c>
      <c r="AB2415" s="164" t="s">
        <v>187</v>
      </c>
      <c r="AC2415" s="164" t="s">
        <v>187</v>
      </c>
      <c r="AD2415" s="165">
        <v>1</v>
      </c>
      <c r="AE2415" s="164" t="s">
        <v>187</v>
      </c>
      <c r="AF2415" s="165">
        <v>22.965368051949099</v>
      </c>
      <c r="AG2415" s="166">
        <v>89.892964291910104</v>
      </c>
      <c r="AO2415" s="121"/>
      <c r="AT2415" s="111"/>
      <c r="AX2415" s="121"/>
    </row>
    <row r="2416" spans="1:50" s="110" customFormat="1" ht="20" customHeight="1">
      <c r="A2416" s="125" t="s">
        <v>486</v>
      </c>
      <c r="B2416" s="126" t="s">
        <v>57</v>
      </c>
      <c r="C2416" s="127">
        <v>19477</v>
      </c>
      <c r="D2416" s="163">
        <v>100142</v>
      </c>
      <c r="E2416" s="164" t="s">
        <v>221</v>
      </c>
      <c r="F2416" s="164" t="s">
        <v>221</v>
      </c>
      <c r="G2416" s="165">
        <v>2100</v>
      </c>
      <c r="H2416" s="165">
        <v>1</v>
      </c>
      <c r="I2416" s="164" t="s">
        <v>187</v>
      </c>
      <c r="J2416" s="164" t="s">
        <v>198</v>
      </c>
      <c r="K2416" s="164" t="s">
        <v>199</v>
      </c>
      <c r="L2416" s="165">
        <v>5</v>
      </c>
      <c r="M2416" s="165">
        <v>6</v>
      </c>
      <c r="N2416" s="164" t="s">
        <v>189</v>
      </c>
      <c r="O2416" s="165">
        <v>0</v>
      </c>
      <c r="P2416" s="165">
        <v>0</v>
      </c>
      <c r="Q2416" s="165">
        <v>21</v>
      </c>
      <c r="R2416" s="164" t="s">
        <v>200</v>
      </c>
      <c r="S2416" s="164" t="s">
        <v>201</v>
      </c>
      <c r="T2416" s="165">
        <v>462</v>
      </c>
      <c r="U2416" s="164" t="s">
        <v>200</v>
      </c>
      <c r="V2416" s="164" t="s">
        <v>202</v>
      </c>
      <c r="W2416" s="165">
        <v>3</v>
      </c>
      <c r="X2416" s="165">
        <v>4</v>
      </c>
      <c r="Y2416" s="164" t="s">
        <v>203</v>
      </c>
      <c r="Z2416" s="164" t="s">
        <v>195</v>
      </c>
      <c r="AA2416" s="164" t="s">
        <v>196</v>
      </c>
      <c r="AB2416" s="164" t="s">
        <v>187</v>
      </c>
      <c r="AC2416" s="164" t="s">
        <v>187</v>
      </c>
      <c r="AD2416" s="165">
        <v>1</v>
      </c>
      <c r="AE2416" s="164" t="s">
        <v>187</v>
      </c>
      <c r="AF2416" s="165">
        <v>24.3476175702985</v>
      </c>
      <c r="AG2416" s="166">
        <v>90.550626727133704</v>
      </c>
      <c r="AO2416" s="121"/>
      <c r="AT2416" s="111"/>
      <c r="AX2416" s="121"/>
    </row>
    <row r="2417" spans="1:50" s="110" customFormat="1" ht="20" customHeight="1">
      <c r="A2417" s="125" t="s">
        <v>486</v>
      </c>
      <c r="B2417" s="126" t="s">
        <v>57</v>
      </c>
      <c r="C2417" s="127">
        <v>17972</v>
      </c>
      <c r="D2417" s="163">
        <v>113461</v>
      </c>
      <c r="E2417" s="164" t="s">
        <v>1292</v>
      </c>
      <c r="F2417" s="164" t="s">
        <v>1292</v>
      </c>
      <c r="G2417" s="165">
        <v>2100</v>
      </c>
      <c r="H2417" s="165">
        <v>1</v>
      </c>
      <c r="I2417" s="164" t="s">
        <v>187</v>
      </c>
      <c r="J2417" s="164" t="s">
        <v>198</v>
      </c>
      <c r="K2417" s="164" t="s">
        <v>199</v>
      </c>
      <c r="L2417" s="165">
        <v>5</v>
      </c>
      <c r="M2417" s="165">
        <v>6</v>
      </c>
      <c r="N2417" s="164" t="s">
        <v>189</v>
      </c>
      <c r="O2417" s="165">
        <v>0</v>
      </c>
      <c r="P2417" s="165">
        <v>0</v>
      </c>
      <c r="Q2417" s="165">
        <v>21</v>
      </c>
      <c r="R2417" s="164" t="s">
        <v>200</v>
      </c>
      <c r="S2417" s="164" t="s">
        <v>201</v>
      </c>
      <c r="T2417" s="165">
        <v>462</v>
      </c>
      <c r="U2417" s="164" t="s">
        <v>200</v>
      </c>
      <c r="V2417" s="164" t="s">
        <v>202</v>
      </c>
      <c r="W2417" s="165">
        <v>3</v>
      </c>
      <c r="X2417" s="165">
        <v>4</v>
      </c>
      <c r="Y2417" s="164" t="s">
        <v>203</v>
      </c>
      <c r="Z2417" s="164" t="s">
        <v>195</v>
      </c>
      <c r="AA2417" s="164" t="s">
        <v>196</v>
      </c>
      <c r="AB2417" s="164" t="s">
        <v>187</v>
      </c>
      <c r="AC2417" s="164" t="s">
        <v>187</v>
      </c>
      <c r="AD2417" s="165">
        <v>1</v>
      </c>
      <c r="AE2417" s="164" t="s">
        <v>187</v>
      </c>
      <c r="AF2417" s="165">
        <v>22.828328253468701</v>
      </c>
      <c r="AG2417" s="166">
        <v>89.633109674604597</v>
      </c>
      <c r="AO2417" s="121"/>
      <c r="AT2417" s="111"/>
      <c r="AX2417" s="121"/>
    </row>
    <row r="2418" spans="1:50" s="110" customFormat="1" ht="20" customHeight="1">
      <c r="A2418" s="125" t="s">
        <v>486</v>
      </c>
      <c r="B2418" s="126" t="s">
        <v>57</v>
      </c>
      <c r="C2418" s="127">
        <v>18102</v>
      </c>
      <c r="D2418" s="163">
        <v>113605</v>
      </c>
      <c r="E2418" s="164" t="s">
        <v>1372</v>
      </c>
      <c r="F2418" s="164" t="s">
        <v>1372</v>
      </c>
      <c r="G2418" s="165">
        <v>1900</v>
      </c>
      <c r="H2418" s="165">
        <v>1</v>
      </c>
      <c r="I2418" s="164" t="s">
        <v>187</v>
      </c>
      <c r="J2418" s="164" t="s">
        <v>198</v>
      </c>
      <c r="K2418" s="164" t="s">
        <v>199</v>
      </c>
      <c r="L2418" s="165">
        <v>5</v>
      </c>
      <c r="M2418" s="165">
        <v>6</v>
      </c>
      <c r="N2418" s="164" t="s">
        <v>189</v>
      </c>
      <c r="O2418" s="165">
        <v>0</v>
      </c>
      <c r="P2418" s="165">
        <v>0</v>
      </c>
      <c r="Q2418" s="165">
        <v>21</v>
      </c>
      <c r="R2418" s="164" t="s">
        <v>200</v>
      </c>
      <c r="S2418" s="164" t="s">
        <v>201</v>
      </c>
      <c r="T2418" s="165">
        <v>462</v>
      </c>
      <c r="U2418" s="164" t="s">
        <v>200</v>
      </c>
      <c r="V2418" s="164" t="s">
        <v>202</v>
      </c>
      <c r="W2418" s="165">
        <v>3</v>
      </c>
      <c r="X2418" s="165">
        <v>4</v>
      </c>
      <c r="Y2418" s="164" t="s">
        <v>203</v>
      </c>
      <c r="Z2418" s="164" t="s">
        <v>195</v>
      </c>
      <c r="AA2418" s="164" t="s">
        <v>196</v>
      </c>
      <c r="AB2418" s="164" t="s">
        <v>187</v>
      </c>
      <c r="AC2418" s="164" t="s">
        <v>187</v>
      </c>
      <c r="AD2418" s="165">
        <v>1</v>
      </c>
      <c r="AE2418" s="164" t="s">
        <v>187</v>
      </c>
      <c r="AF2418" s="165">
        <v>25.279374438551699</v>
      </c>
      <c r="AG2418" s="166">
        <v>89.316419697501601</v>
      </c>
      <c r="AO2418" s="121"/>
      <c r="AT2418" s="111"/>
      <c r="AX2418" s="121"/>
    </row>
    <row r="2419" spans="1:50" s="110" customFormat="1" ht="20" customHeight="1">
      <c r="A2419" s="125" t="s">
        <v>486</v>
      </c>
      <c r="B2419" s="126" t="s">
        <v>57</v>
      </c>
      <c r="C2419" s="127">
        <v>16333</v>
      </c>
      <c r="D2419" s="163">
        <v>111469</v>
      </c>
      <c r="E2419" s="164" t="s">
        <v>310</v>
      </c>
      <c r="F2419" s="164" t="s">
        <v>310</v>
      </c>
      <c r="G2419" s="165">
        <v>1700</v>
      </c>
      <c r="H2419" s="165">
        <v>1</v>
      </c>
      <c r="I2419" s="164" t="s">
        <v>187</v>
      </c>
      <c r="J2419" s="164" t="s">
        <v>198</v>
      </c>
      <c r="K2419" s="164" t="s">
        <v>199</v>
      </c>
      <c r="L2419" s="165">
        <v>5</v>
      </c>
      <c r="M2419" s="165">
        <v>6</v>
      </c>
      <c r="N2419" s="164" t="s">
        <v>189</v>
      </c>
      <c r="O2419" s="165">
        <v>0</v>
      </c>
      <c r="P2419" s="165">
        <v>0</v>
      </c>
      <c r="Q2419" s="165">
        <v>21</v>
      </c>
      <c r="R2419" s="164" t="s">
        <v>200</v>
      </c>
      <c r="S2419" s="164" t="s">
        <v>201</v>
      </c>
      <c r="T2419" s="165">
        <v>462</v>
      </c>
      <c r="U2419" s="164" t="s">
        <v>200</v>
      </c>
      <c r="V2419" s="164" t="s">
        <v>202</v>
      </c>
      <c r="W2419" s="165">
        <v>4</v>
      </c>
      <c r="X2419" s="165">
        <v>4</v>
      </c>
      <c r="Y2419" s="164" t="s">
        <v>203</v>
      </c>
      <c r="Z2419" s="164" t="s">
        <v>195</v>
      </c>
      <c r="AA2419" s="164" t="s">
        <v>196</v>
      </c>
      <c r="AB2419" s="164" t="s">
        <v>187</v>
      </c>
      <c r="AC2419" s="164" t="s">
        <v>187</v>
      </c>
      <c r="AD2419" s="165">
        <v>1</v>
      </c>
      <c r="AE2419" s="164" t="s">
        <v>187</v>
      </c>
      <c r="AF2419" s="165">
        <v>23.525901292837801</v>
      </c>
      <c r="AG2419" s="166">
        <v>90.059085999867506</v>
      </c>
      <c r="AO2419" s="121"/>
      <c r="AT2419" s="111"/>
      <c r="AX2419" s="121"/>
    </row>
    <row r="2420" spans="1:50" s="110" customFormat="1" ht="20" customHeight="1">
      <c r="A2420" s="125" t="s">
        <v>486</v>
      </c>
      <c r="B2420" s="126" t="s">
        <v>57</v>
      </c>
      <c r="C2420" s="127">
        <v>17023</v>
      </c>
      <c r="D2420" s="163">
        <v>112357</v>
      </c>
      <c r="E2420" s="164" t="s">
        <v>855</v>
      </c>
      <c r="F2420" s="164" t="s">
        <v>855</v>
      </c>
      <c r="G2420" s="165">
        <v>1600</v>
      </c>
      <c r="H2420" s="165">
        <v>1</v>
      </c>
      <c r="I2420" s="164" t="s">
        <v>187</v>
      </c>
      <c r="J2420" s="164" t="s">
        <v>198</v>
      </c>
      <c r="K2420" s="164" t="s">
        <v>199</v>
      </c>
      <c r="L2420" s="165">
        <v>5</v>
      </c>
      <c r="M2420" s="165">
        <v>6</v>
      </c>
      <c r="N2420" s="164" t="s">
        <v>189</v>
      </c>
      <c r="O2420" s="165">
        <v>0</v>
      </c>
      <c r="P2420" s="165">
        <v>0</v>
      </c>
      <c r="Q2420" s="165">
        <v>21</v>
      </c>
      <c r="R2420" s="164" t="s">
        <v>200</v>
      </c>
      <c r="S2420" s="164" t="s">
        <v>201</v>
      </c>
      <c r="T2420" s="165">
        <v>462</v>
      </c>
      <c r="U2420" s="164" t="s">
        <v>200</v>
      </c>
      <c r="V2420" s="164" t="s">
        <v>202</v>
      </c>
      <c r="W2420" s="165">
        <v>1</v>
      </c>
      <c r="X2420" s="165">
        <v>4</v>
      </c>
      <c r="Y2420" s="164" t="s">
        <v>203</v>
      </c>
      <c r="Z2420" s="164" t="s">
        <v>195</v>
      </c>
      <c r="AA2420" s="164" t="s">
        <v>196</v>
      </c>
      <c r="AB2420" s="164" t="s">
        <v>187</v>
      </c>
      <c r="AC2420" s="164" t="s">
        <v>187</v>
      </c>
      <c r="AD2420" s="165">
        <v>1</v>
      </c>
      <c r="AE2420" s="164" t="s">
        <v>187</v>
      </c>
      <c r="AF2420" s="165">
        <v>22.775921312120399</v>
      </c>
      <c r="AG2420" s="166">
        <v>89.773363268649305</v>
      </c>
      <c r="AO2420" s="121"/>
      <c r="AT2420" s="111"/>
      <c r="AX2420" s="121"/>
    </row>
    <row r="2421" spans="1:50" s="110" customFormat="1" ht="20" customHeight="1">
      <c r="A2421" s="125" t="s">
        <v>486</v>
      </c>
      <c r="B2421" s="126" t="s">
        <v>57</v>
      </c>
      <c r="C2421" s="127">
        <v>17630</v>
      </c>
      <c r="D2421" s="163">
        <v>113066</v>
      </c>
      <c r="E2421" s="164" t="s">
        <v>1155</v>
      </c>
      <c r="F2421" s="164" t="s">
        <v>1155</v>
      </c>
      <c r="G2421" s="165">
        <v>1500</v>
      </c>
      <c r="H2421" s="165">
        <v>1</v>
      </c>
      <c r="I2421" s="164" t="s">
        <v>187</v>
      </c>
      <c r="J2421" s="164" t="s">
        <v>198</v>
      </c>
      <c r="K2421" s="164" t="s">
        <v>199</v>
      </c>
      <c r="L2421" s="165">
        <v>5</v>
      </c>
      <c r="M2421" s="165">
        <v>6</v>
      </c>
      <c r="N2421" s="164" t="s">
        <v>189</v>
      </c>
      <c r="O2421" s="165">
        <v>0</v>
      </c>
      <c r="P2421" s="165">
        <v>0</v>
      </c>
      <c r="Q2421" s="165">
        <v>21</v>
      </c>
      <c r="R2421" s="164" t="s">
        <v>200</v>
      </c>
      <c r="S2421" s="164" t="s">
        <v>201</v>
      </c>
      <c r="T2421" s="165">
        <v>462</v>
      </c>
      <c r="U2421" s="164" t="s">
        <v>200</v>
      </c>
      <c r="V2421" s="164" t="s">
        <v>202</v>
      </c>
      <c r="W2421" s="165">
        <v>2</v>
      </c>
      <c r="X2421" s="165">
        <v>4</v>
      </c>
      <c r="Y2421" s="164" t="s">
        <v>203</v>
      </c>
      <c r="Z2421" s="164" t="s">
        <v>195</v>
      </c>
      <c r="AA2421" s="164" t="s">
        <v>196</v>
      </c>
      <c r="AB2421" s="164" t="s">
        <v>187</v>
      </c>
      <c r="AC2421" s="164" t="s">
        <v>187</v>
      </c>
      <c r="AD2421" s="165">
        <v>1</v>
      </c>
      <c r="AE2421" s="164" t="s">
        <v>187</v>
      </c>
      <c r="AF2421" s="165">
        <v>22.7830794469366</v>
      </c>
      <c r="AG2421" s="166">
        <v>89.931332627430095</v>
      </c>
      <c r="AO2421" s="121"/>
      <c r="AT2421" s="111"/>
      <c r="AX2421" s="121"/>
    </row>
    <row r="2422" spans="1:50" s="110" customFormat="1" ht="20" customHeight="1">
      <c r="A2422" s="125" t="s">
        <v>486</v>
      </c>
      <c r="B2422" s="126" t="s">
        <v>57</v>
      </c>
      <c r="C2422" s="127">
        <v>17522</v>
      </c>
      <c r="D2422" s="163">
        <v>112941</v>
      </c>
      <c r="E2422" s="164" t="s">
        <v>659</v>
      </c>
      <c r="F2422" s="164" t="s">
        <v>659</v>
      </c>
      <c r="G2422" s="165">
        <v>1000</v>
      </c>
      <c r="H2422" s="165">
        <v>1</v>
      </c>
      <c r="I2422" s="164" t="s">
        <v>187</v>
      </c>
      <c r="J2422" s="164" t="s">
        <v>198</v>
      </c>
      <c r="K2422" s="164" t="s">
        <v>199</v>
      </c>
      <c r="L2422" s="165">
        <v>5</v>
      </c>
      <c r="M2422" s="165">
        <v>6</v>
      </c>
      <c r="N2422" s="164" t="s">
        <v>189</v>
      </c>
      <c r="O2422" s="165">
        <v>0</v>
      </c>
      <c r="P2422" s="165">
        <v>0</v>
      </c>
      <c r="Q2422" s="165">
        <v>21</v>
      </c>
      <c r="R2422" s="164" t="s">
        <v>200</v>
      </c>
      <c r="S2422" s="164" t="s">
        <v>201</v>
      </c>
      <c r="T2422" s="165">
        <v>462</v>
      </c>
      <c r="U2422" s="164" t="s">
        <v>200</v>
      </c>
      <c r="V2422" s="164" t="s">
        <v>202</v>
      </c>
      <c r="W2422" s="165">
        <v>4</v>
      </c>
      <c r="X2422" s="165">
        <v>4</v>
      </c>
      <c r="Y2422" s="164" t="s">
        <v>203</v>
      </c>
      <c r="Z2422" s="164" t="s">
        <v>195</v>
      </c>
      <c r="AA2422" s="164" t="s">
        <v>196</v>
      </c>
      <c r="AB2422" s="164" t="s">
        <v>187</v>
      </c>
      <c r="AC2422" s="164" t="s">
        <v>187</v>
      </c>
      <c r="AD2422" s="165">
        <v>1</v>
      </c>
      <c r="AE2422" s="164" t="s">
        <v>187</v>
      </c>
      <c r="AF2422" s="165">
        <v>23.343492999999999</v>
      </c>
      <c r="AG2422" s="166">
        <v>92.140089000000003</v>
      </c>
      <c r="AO2422" s="121"/>
      <c r="AT2422" s="111"/>
      <c r="AX2422" s="121"/>
    </row>
    <row r="2423" spans="1:50" s="110" customFormat="1" ht="20" customHeight="1">
      <c r="A2423" s="125" t="s">
        <v>486</v>
      </c>
      <c r="B2423" s="126" t="s">
        <v>57</v>
      </c>
      <c r="C2423" s="127">
        <v>17753</v>
      </c>
      <c r="D2423" s="163">
        <v>113212</v>
      </c>
      <c r="E2423" s="164" t="s">
        <v>1154</v>
      </c>
      <c r="F2423" s="164" t="s">
        <v>1154</v>
      </c>
      <c r="G2423" s="165">
        <v>900</v>
      </c>
      <c r="H2423" s="165">
        <v>1</v>
      </c>
      <c r="I2423" s="164" t="s">
        <v>187</v>
      </c>
      <c r="J2423" s="164" t="s">
        <v>198</v>
      </c>
      <c r="K2423" s="164" t="s">
        <v>199</v>
      </c>
      <c r="L2423" s="165">
        <v>5</v>
      </c>
      <c r="M2423" s="165">
        <v>6</v>
      </c>
      <c r="N2423" s="164" t="s">
        <v>189</v>
      </c>
      <c r="O2423" s="165">
        <v>0</v>
      </c>
      <c r="P2423" s="165">
        <v>0</v>
      </c>
      <c r="Q2423" s="165">
        <v>21</v>
      </c>
      <c r="R2423" s="164" t="s">
        <v>200</v>
      </c>
      <c r="S2423" s="164" t="s">
        <v>201</v>
      </c>
      <c r="T2423" s="165">
        <v>462</v>
      </c>
      <c r="U2423" s="164" t="s">
        <v>200</v>
      </c>
      <c r="V2423" s="164" t="s">
        <v>202</v>
      </c>
      <c r="W2423" s="165">
        <v>2</v>
      </c>
      <c r="X2423" s="165">
        <v>4</v>
      </c>
      <c r="Y2423" s="164" t="s">
        <v>203</v>
      </c>
      <c r="Z2423" s="164" t="s">
        <v>195</v>
      </c>
      <c r="AA2423" s="164" t="s">
        <v>196</v>
      </c>
      <c r="AB2423" s="164" t="s">
        <v>187</v>
      </c>
      <c r="AC2423" s="164" t="s">
        <v>187</v>
      </c>
      <c r="AD2423" s="165">
        <v>1</v>
      </c>
      <c r="AE2423" s="164" t="s">
        <v>187</v>
      </c>
      <c r="AF2423" s="165">
        <v>23.756256389521202</v>
      </c>
      <c r="AG2423" s="166">
        <v>90.130060443934099</v>
      </c>
      <c r="AO2423" s="121"/>
      <c r="AT2423" s="111"/>
      <c r="AX2423" s="121"/>
    </row>
    <row r="2424" spans="1:50" s="110" customFormat="1" ht="20" customHeight="1">
      <c r="A2424" s="125" t="s">
        <v>486</v>
      </c>
      <c r="B2424" s="126" t="s">
        <v>57</v>
      </c>
      <c r="C2424" s="127">
        <v>17945</v>
      </c>
      <c r="D2424" s="163">
        <v>113433</v>
      </c>
      <c r="E2424" s="164" t="s">
        <v>1293</v>
      </c>
      <c r="F2424" s="164" t="s">
        <v>1293</v>
      </c>
      <c r="G2424" s="165">
        <v>900</v>
      </c>
      <c r="H2424" s="165">
        <v>1</v>
      </c>
      <c r="I2424" s="164" t="s">
        <v>187</v>
      </c>
      <c r="J2424" s="164" t="s">
        <v>198</v>
      </c>
      <c r="K2424" s="164" t="s">
        <v>199</v>
      </c>
      <c r="L2424" s="165">
        <v>5</v>
      </c>
      <c r="M2424" s="165">
        <v>6</v>
      </c>
      <c r="N2424" s="164" t="s">
        <v>189</v>
      </c>
      <c r="O2424" s="165">
        <v>0</v>
      </c>
      <c r="P2424" s="165">
        <v>0</v>
      </c>
      <c r="Q2424" s="165">
        <v>21</v>
      </c>
      <c r="R2424" s="164" t="s">
        <v>200</v>
      </c>
      <c r="S2424" s="164" t="s">
        <v>201</v>
      </c>
      <c r="T2424" s="165">
        <v>462</v>
      </c>
      <c r="U2424" s="164" t="s">
        <v>200</v>
      </c>
      <c r="V2424" s="164" t="s">
        <v>202</v>
      </c>
      <c r="W2424" s="165">
        <v>2</v>
      </c>
      <c r="X2424" s="165">
        <v>4</v>
      </c>
      <c r="Y2424" s="164" t="s">
        <v>203</v>
      </c>
      <c r="Z2424" s="164" t="s">
        <v>195</v>
      </c>
      <c r="AA2424" s="164" t="s">
        <v>196</v>
      </c>
      <c r="AB2424" s="164" t="s">
        <v>187</v>
      </c>
      <c r="AC2424" s="164" t="s">
        <v>187</v>
      </c>
      <c r="AD2424" s="165">
        <v>1</v>
      </c>
      <c r="AE2424" s="164" t="s">
        <v>187</v>
      </c>
      <c r="AF2424" s="165">
        <v>22.8872505468455</v>
      </c>
      <c r="AG2424" s="166">
        <v>89.578587222314496</v>
      </c>
      <c r="AO2424" s="121"/>
      <c r="AT2424" s="111"/>
      <c r="AX2424" s="121"/>
    </row>
    <row r="2425" spans="1:50" s="110" customFormat="1" ht="20" customHeight="1">
      <c r="A2425" s="125" t="s">
        <v>486</v>
      </c>
      <c r="B2425" s="126" t="s">
        <v>57</v>
      </c>
      <c r="C2425" s="127">
        <v>16369</v>
      </c>
      <c r="D2425" s="163">
        <v>111511</v>
      </c>
      <c r="E2425" s="164" t="s">
        <v>452</v>
      </c>
      <c r="F2425" s="164" t="s">
        <v>452</v>
      </c>
      <c r="G2425" s="165">
        <v>700</v>
      </c>
      <c r="H2425" s="165">
        <v>1</v>
      </c>
      <c r="I2425" s="164" t="s">
        <v>187</v>
      </c>
      <c r="J2425" s="164" t="s">
        <v>198</v>
      </c>
      <c r="K2425" s="164" t="s">
        <v>199</v>
      </c>
      <c r="L2425" s="165">
        <v>5</v>
      </c>
      <c r="M2425" s="165">
        <v>6</v>
      </c>
      <c r="N2425" s="164" t="s">
        <v>189</v>
      </c>
      <c r="O2425" s="165">
        <v>0</v>
      </c>
      <c r="P2425" s="165">
        <v>0</v>
      </c>
      <c r="Q2425" s="165">
        <v>21</v>
      </c>
      <c r="R2425" s="164" t="s">
        <v>200</v>
      </c>
      <c r="S2425" s="164" t="s">
        <v>201</v>
      </c>
      <c r="T2425" s="165">
        <v>462</v>
      </c>
      <c r="U2425" s="164" t="s">
        <v>200</v>
      </c>
      <c r="V2425" s="164" t="s">
        <v>202</v>
      </c>
      <c r="W2425" s="165">
        <v>3</v>
      </c>
      <c r="X2425" s="165">
        <v>4</v>
      </c>
      <c r="Y2425" s="164" t="s">
        <v>203</v>
      </c>
      <c r="Z2425" s="164" t="s">
        <v>195</v>
      </c>
      <c r="AA2425" s="164" t="s">
        <v>196</v>
      </c>
      <c r="AB2425" s="164" t="s">
        <v>187</v>
      </c>
      <c r="AC2425" s="164" t="s">
        <v>187</v>
      </c>
      <c r="AD2425" s="165">
        <v>1</v>
      </c>
      <c r="AE2425" s="164" t="s">
        <v>187</v>
      </c>
      <c r="AF2425" s="165">
        <v>24.94577</v>
      </c>
      <c r="AG2425" s="166">
        <v>90.325126999999995</v>
      </c>
      <c r="AO2425" s="121"/>
      <c r="AT2425" s="111"/>
      <c r="AX2425" s="121"/>
    </row>
    <row r="2426" spans="1:50" s="110" customFormat="1" ht="20" customHeight="1">
      <c r="A2426" s="125" t="s">
        <v>486</v>
      </c>
      <c r="B2426" s="126" t="s">
        <v>57</v>
      </c>
      <c r="C2426" s="127">
        <v>17868</v>
      </c>
      <c r="D2426" s="163">
        <v>113344</v>
      </c>
      <c r="E2426" s="164" t="s">
        <v>1206</v>
      </c>
      <c r="F2426" s="164" t="s">
        <v>1206</v>
      </c>
      <c r="G2426" s="165">
        <v>700</v>
      </c>
      <c r="H2426" s="165">
        <v>1</v>
      </c>
      <c r="I2426" s="164" t="s">
        <v>187</v>
      </c>
      <c r="J2426" s="164" t="s">
        <v>198</v>
      </c>
      <c r="K2426" s="164" t="s">
        <v>199</v>
      </c>
      <c r="L2426" s="165">
        <v>5</v>
      </c>
      <c r="M2426" s="165">
        <v>6</v>
      </c>
      <c r="N2426" s="164" t="s">
        <v>189</v>
      </c>
      <c r="O2426" s="165">
        <v>0</v>
      </c>
      <c r="P2426" s="165">
        <v>0</v>
      </c>
      <c r="Q2426" s="165">
        <v>21</v>
      </c>
      <c r="R2426" s="164" t="s">
        <v>200</v>
      </c>
      <c r="S2426" s="164" t="s">
        <v>201</v>
      </c>
      <c r="T2426" s="165">
        <v>462</v>
      </c>
      <c r="U2426" s="164" t="s">
        <v>200</v>
      </c>
      <c r="V2426" s="164" t="s">
        <v>202</v>
      </c>
      <c r="W2426" s="165">
        <v>2</v>
      </c>
      <c r="X2426" s="165">
        <v>4</v>
      </c>
      <c r="Y2426" s="164" t="s">
        <v>203</v>
      </c>
      <c r="Z2426" s="164" t="s">
        <v>195</v>
      </c>
      <c r="AA2426" s="164" t="s">
        <v>196</v>
      </c>
      <c r="AB2426" s="164" t="s">
        <v>187</v>
      </c>
      <c r="AC2426" s="164" t="s">
        <v>187</v>
      </c>
      <c r="AD2426" s="165">
        <v>1</v>
      </c>
      <c r="AE2426" s="164" t="s">
        <v>187</v>
      </c>
      <c r="AF2426" s="165">
        <v>23.689098016939901</v>
      </c>
      <c r="AG2426" s="166">
        <v>91.044837206868095</v>
      </c>
      <c r="AO2426" s="121"/>
      <c r="AT2426" s="111"/>
      <c r="AX2426" s="121"/>
    </row>
    <row r="2427" spans="1:50" s="110" customFormat="1" ht="20" customHeight="1">
      <c r="A2427" s="125" t="s">
        <v>486</v>
      </c>
      <c r="B2427" s="126" t="s">
        <v>57</v>
      </c>
      <c r="C2427" s="127">
        <v>16672</v>
      </c>
      <c r="D2427" s="163">
        <v>111888</v>
      </c>
      <c r="E2427" s="164" t="s">
        <v>607</v>
      </c>
      <c r="F2427" s="164" t="s">
        <v>607</v>
      </c>
      <c r="G2427" s="165">
        <v>600</v>
      </c>
      <c r="H2427" s="165">
        <v>1</v>
      </c>
      <c r="I2427" s="164" t="s">
        <v>187</v>
      </c>
      <c r="J2427" s="164" t="s">
        <v>198</v>
      </c>
      <c r="K2427" s="164" t="s">
        <v>199</v>
      </c>
      <c r="L2427" s="165">
        <v>5</v>
      </c>
      <c r="M2427" s="165">
        <v>6</v>
      </c>
      <c r="N2427" s="164" t="s">
        <v>189</v>
      </c>
      <c r="O2427" s="165">
        <v>0</v>
      </c>
      <c r="P2427" s="165">
        <v>0</v>
      </c>
      <c r="Q2427" s="165">
        <v>21</v>
      </c>
      <c r="R2427" s="164" t="s">
        <v>200</v>
      </c>
      <c r="S2427" s="164" t="s">
        <v>201</v>
      </c>
      <c r="T2427" s="165">
        <v>462</v>
      </c>
      <c r="U2427" s="164" t="s">
        <v>200</v>
      </c>
      <c r="V2427" s="164" t="s">
        <v>202</v>
      </c>
      <c r="W2427" s="165">
        <v>1</v>
      </c>
      <c r="X2427" s="165">
        <v>4</v>
      </c>
      <c r="Y2427" s="164" t="s">
        <v>203</v>
      </c>
      <c r="Z2427" s="164" t="s">
        <v>195</v>
      </c>
      <c r="AA2427" s="164" t="s">
        <v>196</v>
      </c>
      <c r="AB2427" s="164" t="s">
        <v>187</v>
      </c>
      <c r="AC2427" s="164" t="s">
        <v>187</v>
      </c>
      <c r="AD2427" s="165">
        <v>1</v>
      </c>
      <c r="AE2427" s="164" t="s">
        <v>187</v>
      </c>
      <c r="AF2427" s="165">
        <v>23.2209357864791</v>
      </c>
      <c r="AG2427" s="166">
        <v>89.830219026024395</v>
      </c>
      <c r="AO2427" s="121"/>
      <c r="AT2427" s="111"/>
      <c r="AX2427" s="121"/>
    </row>
    <row r="2428" spans="1:50" s="110" customFormat="1" ht="20" customHeight="1">
      <c r="A2428" s="125" t="s">
        <v>486</v>
      </c>
      <c r="B2428" s="126" t="s">
        <v>57</v>
      </c>
      <c r="C2428" s="127">
        <v>17523</v>
      </c>
      <c r="D2428" s="163">
        <v>112942</v>
      </c>
      <c r="E2428" s="164" t="s">
        <v>668</v>
      </c>
      <c r="F2428" s="164" t="s">
        <v>668</v>
      </c>
      <c r="G2428" s="165">
        <v>600</v>
      </c>
      <c r="H2428" s="165">
        <v>1</v>
      </c>
      <c r="I2428" s="164" t="s">
        <v>187</v>
      </c>
      <c r="J2428" s="164" t="s">
        <v>198</v>
      </c>
      <c r="K2428" s="164" t="s">
        <v>199</v>
      </c>
      <c r="L2428" s="165">
        <v>5</v>
      </c>
      <c r="M2428" s="165">
        <v>6</v>
      </c>
      <c r="N2428" s="164" t="s">
        <v>189</v>
      </c>
      <c r="O2428" s="165">
        <v>0</v>
      </c>
      <c r="P2428" s="165">
        <v>0</v>
      </c>
      <c r="Q2428" s="165">
        <v>21</v>
      </c>
      <c r="R2428" s="164" t="s">
        <v>200</v>
      </c>
      <c r="S2428" s="164" t="s">
        <v>201</v>
      </c>
      <c r="T2428" s="165">
        <v>462</v>
      </c>
      <c r="U2428" s="164" t="s">
        <v>200</v>
      </c>
      <c r="V2428" s="164" t="s">
        <v>202</v>
      </c>
      <c r="W2428" s="165">
        <v>2</v>
      </c>
      <c r="X2428" s="165">
        <v>4</v>
      </c>
      <c r="Y2428" s="164" t="s">
        <v>203</v>
      </c>
      <c r="Z2428" s="164" t="s">
        <v>195</v>
      </c>
      <c r="AA2428" s="164" t="s">
        <v>196</v>
      </c>
      <c r="AB2428" s="164" t="s">
        <v>187</v>
      </c>
      <c r="AC2428" s="164" t="s">
        <v>187</v>
      </c>
      <c r="AD2428" s="165">
        <v>1</v>
      </c>
      <c r="AE2428" s="164" t="s">
        <v>187</v>
      </c>
      <c r="AF2428" s="165">
        <v>22.6900847646335</v>
      </c>
      <c r="AG2428" s="166">
        <v>92.140994501566894</v>
      </c>
      <c r="AO2428" s="121"/>
      <c r="AT2428" s="111"/>
      <c r="AX2428" s="121"/>
    </row>
    <row r="2429" spans="1:50" s="110" customFormat="1" ht="20" customHeight="1">
      <c r="A2429" s="125" t="s">
        <v>486</v>
      </c>
      <c r="B2429" s="126" t="s">
        <v>57</v>
      </c>
      <c r="C2429" s="127">
        <v>16917</v>
      </c>
      <c r="D2429" s="163">
        <v>112215</v>
      </c>
      <c r="E2429" s="164" t="s">
        <v>730</v>
      </c>
      <c r="F2429" s="164" t="s">
        <v>730</v>
      </c>
      <c r="G2429" s="165">
        <v>600</v>
      </c>
      <c r="H2429" s="165">
        <v>1</v>
      </c>
      <c r="I2429" s="164" t="s">
        <v>187</v>
      </c>
      <c r="J2429" s="164" t="s">
        <v>198</v>
      </c>
      <c r="K2429" s="164" t="s">
        <v>199</v>
      </c>
      <c r="L2429" s="165">
        <v>5</v>
      </c>
      <c r="M2429" s="165">
        <v>6</v>
      </c>
      <c r="N2429" s="164" t="s">
        <v>189</v>
      </c>
      <c r="O2429" s="165">
        <v>0</v>
      </c>
      <c r="P2429" s="165">
        <v>0</v>
      </c>
      <c r="Q2429" s="165">
        <v>21</v>
      </c>
      <c r="R2429" s="164" t="s">
        <v>200</v>
      </c>
      <c r="S2429" s="164" t="s">
        <v>201</v>
      </c>
      <c r="T2429" s="165">
        <v>462</v>
      </c>
      <c r="U2429" s="164" t="s">
        <v>200</v>
      </c>
      <c r="V2429" s="164" t="s">
        <v>202</v>
      </c>
      <c r="W2429" s="165">
        <v>1</v>
      </c>
      <c r="X2429" s="165">
        <v>4</v>
      </c>
      <c r="Y2429" s="164" t="s">
        <v>203</v>
      </c>
      <c r="Z2429" s="164" t="s">
        <v>195</v>
      </c>
      <c r="AA2429" s="164" t="s">
        <v>196</v>
      </c>
      <c r="AB2429" s="164" t="s">
        <v>187</v>
      </c>
      <c r="AC2429" s="164" t="s">
        <v>187</v>
      </c>
      <c r="AD2429" s="165">
        <v>1</v>
      </c>
      <c r="AE2429" s="164" t="s">
        <v>187</v>
      </c>
      <c r="AF2429" s="165">
        <v>22.433523188320301</v>
      </c>
      <c r="AG2429" s="166">
        <v>89.641645765949804</v>
      </c>
      <c r="AO2429" s="121"/>
      <c r="AT2429" s="111"/>
      <c r="AX2429" s="121"/>
    </row>
    <row r="2430" spans="1:50" s="110" customFormat="1" ht="20" customHeight="1">
      <c r="A2430" s="125" t="s">
        <v>486</v>
      </c>
      <c r="B2430" s="126" t="s">
        <v>57</v>
      </c>
      <c r="C2430" s="127">
        <v>17621</v>
      </c>
      <c r="D2430" s="163">
        <v>113056</v>
      </c>
      <c r="E2430" s="164" t="s">
        <v>1131</v>
      </c>
      <c r="F2430" s="164" t="s">
        <v>1131</v>
      </c>
      <c r="G2430" s="165">
        <v>600</v>
      </c>
      <c r="H2430" s="165">
        <v>1</v>
      </c>
      <c r="I2430" s="164" t="s">
        <v>187</v>
      </c>
      <c r="J2430" s="164" t="s">
        <v>198</v>
      </c>
      <c r="K2430" s="164" t="s">
        <v>199</v>
      </c>
      <c r="L2430" s="165">
        <v>5</v>
      </c>
      <c r="M2430" s="165">
        <v>6</v>
      </c>
      <c r="N2430" s="164" t="s">
        <v>189</v>
      </c>
      <c r="O2430" s="165">
        <v>0</v>
      </c>
      <c r="P2430" s="165">
        <v>0</v>
      </c>
      <c r="Q2430" s="165">
        <v>21</v>
      </c>
      <c r="R2430" s="164" t="s">
        <v>200</v>
      </c>
      <c r="S2430" s="164" t="s">
        <v>201</v>
      </c>
      <c r="T2430" s="165">
        <v>462</v>
      </c>
      <c r="U2430" s="164" t="s">
        <v>200</v>
      </c>
      <c r="V2430" s="164" t="s">
        <v>202</v>
      </c>
      <c r="W2430" s="165">
        <v>2</v>
      </c>
      <c r="X2430" s="165">
        <v>4</v>
      </c>
      <c r="Y2430" s="164" t="s">
        <v>203</v>
      </c>
      <c r="Z2430" s="164" t="s">
        <v>195</v>
      </c>
      <c r="AA2430" s="164" t="s">
        <v>196</v>
      </c>
      <c r="AB2430" s="164" t="s">
        <v>187</v>
      </c>
      <c r="AC2430" s="164" t="s">
        <v>187</v>
      </c>
      <c r="AD2430" s="165">
        <v>1</v>
      </c>
      <c r="AE2430" s="164" t="s">
        <v>187</v>
      </c>
      <c r="AF2430" s="165">
        <v>25.6656266808032</v>
      </c>
      <c r="AG2430" s="166">
        <v>89.094011376251999</v>
      </c>
      <c r="AO2430" s="121"/>
      <c r="AT2430" s="111"/>
      <c r="AX2430" s="121"/>
    </row>
    <row r="2431" spans="1:50" s="110" customFormat="1" ht="20" customHeight="1">
      <c r="A2431" s="125" t="s">
        <v>486</v>
      </c>
      <c r="B2431" s="126" t="s">
        <v>57</v>
      </c>
      <c r="C2431" s="127">
        <v>17706</v>
      </c>
      <c r="D2431" s="163">
        <v>113154</v>
      </c>
      <c r="E2431" s="164" t="s">
        <v>1143</v>
      </c>
      <c r="F2431" s="164" t="s">
        <v>1143</v>
      </c>
      <c r="G2431" s="165">
        <v>600</v>
      </c>
      <c r="H2431" s="165">
        <v>1</v>
      </c>
      <c r="I2431" s="164" t="s">
        <v>187</v>
      </c>
      <c r="J2431" s="164" t="s">
        <v>198</v>
      </c>
      <c r="K2431" s="164" t="s">
        <v>199</v>
      </c>
      <c r="L2431" s="165">
        <v>5</v>
      </c>
      <c r="M2431" s="165">
        <v>6</v>
      </c>
      <c r="N2431" s="164" t="s">
        <v>189</v>
      </c>
      <c r="O2431" s="165">
        <v>0</v>
      </c>
      <c r="P2431" s="165">
        <v>0</v>
      </c>
      <c r="Q2431" s="165">
        <v>21</v>
      </c>
      <c r="R2431" s="164" t="s">
        <v>200</v>
      </c>
      <c r="S2431" s="164" t="s">
        <v>201</v>
      </c>
      <c r="T2431" s="165">
        <v>462</v>
      </c>
      <c r="U2431" s="164" t="s">
        <v>200</v>
      </c>
      <c r="V2431" s="164" t="s">
        <v>202</v>
      </c>
      <c r="W2431" s="165">
        <v>1</v>
      </c>
      <c r="X2431" s="165">
        <v>4</v>
      </c>
      <c r="Y2431" s="164" t="s">
        <v>203</v>
      </c>
      <c r="Z2431" s="164" t="s">
        <v>195</v>
      </c>
      <c r="AA2431" s="164" t="s">
        <v>196</v>
      </c>
      <c r="AB2431" s="164" t="s">
        <v>187</v>
      </c>
      <c r="AC2431" s="164" t="s">
        <v>187</v>
      </c>
      <c r="AD2431" s="165">
        <v>1</v>
      </c>
      <c r="AE2431" s="164" t="s">
        <v>187</v>
      </c>
      <c r="AF2431" s="165">
        <v>23.126465265847798</v>
      </c>
      <c r="AG2431" s="166">
        <v>90.057141421003607</v>
      </c>
      <c r="AO2431" s="121"/>
      <c r="AT2431" s="111"/>
      <c r="AX2431" s="121"/>
    </row>
    <row r="2432" spans="1:50" s="110" customFormat="1" ht="20" customHeight="1">
      <c r="A2432" s="125" t="s">
        <v>486</v>
      </c>
      <c r="B2432" s="126" t="s">
        <v>57</v>
      </c>
      <c r="C2432" s="127">
        <v>16196</v>
      </c>
      <c r="D2432" s="163">
        <v>111304</v>
      </c>
      <c r="E2432" s="164" t="s">
        <v>238</v>
      </c>
      <c r="F2432" s="164" t="s">
        <v>238</v>
      </c>
      <c r="G2432" s="165">
        <v>500</v>
      </c>
      <c r="H2432" s="165">
        <v>1</v>
      </c>
      <c r="I2432" s="164" t="s">
        <v>187</v>
      </c>
      <c r="J2432" s="164" t="s">
        <v>198</v>
      </c>
      <c r="K2432" s="164" t="s">
        <v>199</v>
      </c>
      <c r="L2432" s="165">
        <v>5</v>
      </c>
      <c r="M2432" s="165">
        <v>6</v>
      </c>
      <c r="N2432" s="164" t="s">
        <v>189</v>
      </c>
      <c r="O2432" s="165">
        <v>0</v>
      </c>
      <c r="P2432" s="165">
        <v>0</v>
      </c>
      <c r="Q2432" s="165">
        <v>21</v>
      </c>
      <c r="R2432" s="164" t="s">
        <v>200</v>
      </c>
      <c r="S2432" s="164" t="s">
        <v>201</v>
      </c>
      <c r="T2432" s="165">
        <v>462</v>
      </c>
      <c r="U2432" s="164" t="s">
        <v>200</v>
      </c>
      <c r="V2432" s="164" t="s">
        <v>202</v>
      </c>
      <c r="W2432" s="165">
        <v>1</v>
      </c>
      <c r="X2432" s="165">
        <v>4</v>
      </c>
      <c r="Y2432" s="164" t="s">
        <v>203</v>
      </c>
      <c r="Z2432" s="164" t="s">
        <v>195</v>
      </c>
      <c r="AA2432" s="164" t="s">
        <v>196</v>
      </c>
      <c r="AB2432" s="164" t="s">
        <v>187</v>
      </c>
      <c r="AC2432" s="164" t="s">
        <v>187</v>
      </c>
      <c r="AD2432" s="165">
        <v>1</v>
      </c>
      <c r="AE2432" s="164" t="s">
        <v>187</v>
      </c>
      <c r="AF2432" s="165">
        <v>22.682632999999999</v>
      </c>
      <c r="AG2432" s="166">
        <v>90.094444999999993</v>
      </c>
      <c r="AO2432" s="121"/>
      <c r="AT2432" s="111"/>
      <c r="AX2432" s="121"/>
    </row>
    <row r="2433" spans="1:50" s="110" customFormat="1" ht="20" customHeight="1">
      <c r="A2433" s="125" t="s">
        <v>486</v>
      </c>
      <c r="B2433" s="126" t="s">
        <v>57</v>
      </c>
      <c r="C2433" s="127">
        <v>17477</v>
      </c>
      <c r="D2433" s="163">
        <v>112887</v>
      </c>
      <c r="E2433" s="164" t="s">
        <v>326</v>
      </c>
      <c r="F2433" s="164" t="s">
        <v>326</v>
      </c>
      <c r="G2433" s="165">
        <v>500</v>
      </c>
      <c r="H2433" s="165">
        <v>1</v>
      </c>
      <c r="I2433" s="164" t="s">
        <v>187</v>
      </c>
      <c r="J2433" s="164" t="s">
        <v>198</v>
      </c>
      <c r="K2433" s="164" t="s">
        <v>199</v>
      </c>
      <c r="L2433" s="165">
        <v>5</v>
      </c>
      <c r="M2433" s="165">
        <v>6</v>
      </c>
      <c r="N2433" s="164" t="s">
        <v>189</v>
      </c>
      <c r="O2433" s="165">
        <v>0</v>
      </c>
      <c r="P2433" s="165">
        <v>0</v>
      </c>
      <c r="Q2433" s="165">
        <v>21</v>
      </c>
      <c r="R2433" s="164" t="s">
        <v>200</v>
      </c>
      <c r="S2433" s="164" t="s">
        <v>201</v>
      </c>
      <c r="T2433" s="165">
        <v>462</v>
      </c>
      <c r="U2433" s="164" t="s">
        <v>200</v>
      </c>
      <c r="V2433" s="164" t="s">
        <v>202</v>
      </c>
      <c r="W2433" s="165">
        <v>1</v>
      </c>
      <c r="X2433" s="165">
        <v>4</v>
      </c>
      <c r="Y2433" s="164" t="s">
        <v>203</v>
      </c>
      <c r="Z2433" s="164" t="s">
        <v>195</v>
      </c>
      <c r="AA2433" s="164" t="s">
        <v>196</v>
      </c>
      <c r="AB2433" s="164" t="s">
        <v>187</v>
      </c>
      <c r="AC2433" s="164" t="s">
        <v>187</v>
      </c>
      <c r="AD2433" s="165">
        <v>1</v>
      </c>
      <c r="AE2433" s="164" t="s">
        <v>187</v>
      </c>
      <c r="AF2433" s="165">
        <v>22.788057966103</v>
      </c>
      <c r="AG2433" s="166">
        <v>89.651264648709002</v>
      </c>
      <c r="AO2433" s="121"/>
      <c r="AT2433" s="111"/>
      <c r="AX2433" s="121"/>
    </row>
    <row r="2434" spans="1:50" s="110" customFormat="1" ht="20" customHeight="1">
      <c r="A2434" s="125" t="s">
        <v>486</v>
      </c>
      <c r="B2434" s="126" t="s">
        <v>57</v>
      </c>
      <c r="C2434" s="127">
        <v>17468</v>
      </c>
      <c r="D2434" s="163">
        <v>112876</v>
      </c>
      <c r="E2434" s="164" t="s">
        <v>1116</v>
      </c>
      <c r="F2434" s="164" t="s">
        <v>1116</v>
      </c>
      <c r="G2434" s="165">
        <v>500</v>
      </c>
      <c r="H2434" s="165">
        <v>1</v>
      </c>
      <c r="I2434" s="164" t="s">
        <v>187</v>
      </c>
      <c r="J2434" s="164" t="s">
        <v>198</v>
      </c>
      <c r="K2434" s="164" t="s">
        <v>199</v>
      </c>
      <c r="L2434" s="165">
        <v>5</v>
      </c>
      <c r="M2434" s="165">
        <v>6</v>
      </c>
      <c r="N2434" s="164" t="s">
        <v>189</v>
      </c>
      <c r="O2434" s="165">
        <v>0</v>
      </c>
      <c r="P2434" s="165">
        <v>0</v>
      </c>
      <c r="Q2434" s="165">
        <v>21</v>
      </c>
      <c r="R2434" s="164" t="s">
        <v>200</v>
      </c>
      <c r="S2434" s="164" t="s">
        <v>201</v>
      </c>
      <c r="T2434" s="165">
        <v>462</v>
      </c>
      <c r="U2434" s="164" t="s">
        <v>200</v>
      </c>
      <c r="V2434" s="164" t="s">
        <v>202</v>
      </c>
      <c r="W2434" s="165">
        <v>1</v>
      </c>
      <c r="X2434" s="165">
        <v>4</v>
      </c>
      <c r="Y2434" s="164" t="s">
        <v>203</v>
      </c>
      <c r="Z2434" s="164" t="s">
        <v>195</v>
      </c>
      <c r="AA2434" s="164" t="s">
        <v>196</v>
      </c>
      <c r="AB2434" s="164" t="s">
        <v>187</v>
      </c>
      <c r="AC2434" s="164" t="s">
        <v>187</v>
      </c>
      <c r="AD2434" s="165">
        <v>1</v>
      </c>
      <c r="AE2434" s="164" t="s">
        <v>187</v>
      </c>
      <c r="AF2434" s="165">
        <v>22.757207536895699</v>
      </c>
      <c r="AG2434" s="166">
        <v>89.692628596351597</v>
      </c>
      <c r="AO2434" s="121"/>
      <c r="AT2434" s="111"/>
      <c r="AX2434" s="121"/>
    </row>
    <row r="2435" spans="1:50" s="110" customFormat="1" ht="20" customHeight="1">
      <c r="A2435" s="125" t="s">
        <v>486</v>
      </c>
      <c r="B2435" s="126" t="s">
        <v>57</v>
      </c>
      <c r="C2435" s="127">
        <v>17689</v>
      </c>
      <c r="D2435" s="163">
        <v>113134</v>
      </c>
      <c r="E2435" s="164" t="s">
        <v>1422</v>
      </c>
      <c r="F2435" s="164" t="s">
        <v>1422</v>
      </c>
      <c r="G2435" s="165">
        <v>500</v>
      </c>
      <c r="H2435" s="165">
        <v>1</v>
      </c>
      <c r="I2435" s="164" t="s">
        <v>187</v>
      </c>
      <c r="J2435" s="164" t="s">
        <v>198</v>
      </c>
      <c r="K2435" s="164" t="s">
        <v>199</v>
      </c>
      <c r="L2435" s="165">
        <v>5</v>
      </c>
      <c r="M2435" s="165">
        <v>6</v>
      </c>
      <c r="N2435" s="164" t="s">
        <v>189</v>
      </c>
      <c r="O2435" s="165">
        <v>0</v>
      </c>
      <c r="P2435" s="165">
        <v>0</v>
      </c>
      <c r="Q2435" s="165">
        <v>21</v>
      </c>
      <c r="R2435" s="164" t="s">
        <v>200</v>
      </c>
      <c r="S2435" s="164" t="s">
        <v>201</v>
      </c>
      <c r="T2435" s="165">
        <v>462</v>
      </c>
      <c r="U2435" s="164" t="s">
        <v>200</v>
      </c>
      <c r="V2435" s="164" t="s">
        <v>202</v>
      </c>
      <c r="W2435" s="165">
        <v>2</v>
      </c>
      <c r="X2435" s="165">
        <v>4</v>
      </c>
      <c r="Y2435" s="164" t="s">
        <v>203</v>
      </c>
      <c r="Z2435" s="164" t="s">
        <v>195</v>
      </c>
      <c r="AA2435" s="164" t="s">
        <v>196</v>
      </c>
      <c r="AB2435" s="164" t="s">
        <v>187</v>
      </c>
      <c r="AC2435" s="164" t="s">
        <v>187</v>
      </c>
      <c r="AD2435" s="165">
        <v>1</v>
      </c>
      <c r="AE2435" s="164" t="s">
        <v>187</v>
      </c>
      <c r="AF2435" s="165">
        <v>22.981178834390899</v>
      </c>
      <c r="AG2435" s="166">
        <v>90.353103734229094</v>
      </c>
      <c r="AO2435" s="121"/>
      <c r="AT2435" s="111"/>
      <c r="AX2435" s="121"/>
    </row>
    <row r="2436" spans="1:50" s="110" customFormat="1" ht="20" customHeight="1">
      <c r="A2436" s="125" t="s">
        <v>486</v>
      </c>
      <c r="B2436" s="126" t="s">
        <v>57</v>
      </c>
      <c r="C2436" s="127">
        <v>17628</v>
      </c>
      <c r="D2436" s="163">
        <v>113063</v>
      </c>
      <c r="E2436" s="164" t="s">
        <v>1149</v>
      </c>
      <c r="F2436" s="164" t="s">
        <v>1149</v>
      </c>
      <c r="G2436" s="165">
        <v>400</v>
      </c>
      <c r="H2436" s="165">
        <v>1</v>
      </c>
      <c r="I2436" s="164" t="s">
        <v>187</v>
      </c>
      <c r="J2436" s="164" t="s">
        <v>198</v>
      </c>
      <c r="K2436" s="164" t="s">
        <v>199</v>
      </c>
      <c r="L2436" s="165">
        <v>5</v>
      </c>
      <c r="M2436" s="165">
        <v>6</v>
      </c>
      <c r="N2436" s="164" t="s">
        <v>189</v>
      </c>
      <c r="O2436" s="165">
        <v>0</v>
      </c>
      <c r="P2436" s="165">
        <v>0</v>
      </c>
      <c r="Q2436" s="165">
        <v>21</v>
      </c>
      <c r="R2436" s="164" t="s">
        <v>200</v>
      </c>
      <c r="S2436" s="164" t="s">
        <v>201</v>
      </c>
      <c r="T2436" s="165">
        <v>462</v>
      </c>
      <c r="U2436" s="164" t="s">
        <v>200</v>
      </c>
      <c r="V2436" s="164" t="s">
        <v>202</v>
      </c>
      <c r="W2436" s="165">
        <v>1</v>
      </c>
      <c r="X2436" s="165">
        <v>4</v>
      </c>
      <c r="Y2436" s="164" t="s">
        <v>203</v>
      </c>
      <c r="Z2436" s="164" t="s">
        <v>195</v>
      </c>
      <c r="AA2436" s="164" t="s">
        <v>196</v>
      </c>
      <c r="AB2436" s="164" t="s">
        <v>187</v>
      </c>
      <c r="AC2436" s="164" t="s">
        <v>187</v>
      </c>
      <c r="AD2436" s="165">
        <v>1</v>
      </c>
      <c r="AE2436" s="164" t="s">
        <v>187</v>
      </c>
      <c r="AF2436" s="165">
        <v>24.842987424355801</v>
      </c>
      <c r="AG2436" s="166">
        <v>90.693447012310003</v>
      </c>
      <c r="AO2436" s="121"/>
      <c r="AT2436" s="111"/>
      <c r="AX2436" s="121"/>
    </row>
    <row r="2437" spans="1:50" s="110" customFormat="1" ht="20" customHeight="1">
      <c r="A2437" s="125" t="s">
        <v>486</v>
      </c>
      <c r="B2437" s="126" t="s">
        <v>57</v>
      </c>
      <c r="C2437" s="127">
        <v>20662</v>
      </c>
      <c r="D2437" s="163">
        <v>117067</v>
      </c>
      <c r="E2437" s="164" t="s">
        <v>596</v>
      </c>
      <c r="F2437" s="164" t="s">
        <v>596</v>
      </c>
      <c r="G2437" s="165">
        <v>300</v>
      </c>
      <c r="H2437" s="165">
        <v>1</v>
      </c>
      <c r="I2437" s="164" t="s">
        <v>187</v>
      </c>
      <c r="J2437" s="164" t="s">
        <v>198</v>
      </c>
      <c r="K2437" s="164" t="s">
        <v>199</v>
      </c>
      <c r="L2437" s="165">
        <v>5</v>
      </c>
      <c r="M2437" s="165">
        <v>6</v>
      </c>
      <c r="N2437" s="164" t="s">
        <v>189</v>
      </c>
      <c r="O2437" s="165">
        <v>0</v>
      </c>
      <c r="P2437" s="165">
        <v>0</v>
      </c>
      <c r="Q2437" s="165">
        <v>21</v>
      </c>
      <c r="R2437" s="164" t="s">
        <v>200</v>
      </c>
      <c r="S2437" s="164" t="s">
        <v>201</v>
      </c>
      <c r="T2437" s="165">
        <v>462</v>
      </c>
      <c r="U2437" s="164" t="s">
        <v>200</v>
      </c>
      <c r="V2437" s="164" t="s">
        <v>202</v>
      </c>
      <c r="W2437" s="165">
        <v>2</v>
      </c>
      <c r="X2437" s="165">
        <v>4</v>
      </c>
      <c r="Y2437" s="164" t="s">
        <v>203</v>
      </c>
      <c r="Z2437" s="164" t="s">
        <v>195</v>
      </c>
      <c r="AA2437" s="164" t="s">
        <v>196</v>
      </c>
      <c r="AB2437" s="164" t="s">
        <v>187</v>
      </c>
      <c r="AC2437" s="164" t="s">
        <v>187</v>
      </c>
      <c r="AD2437" s="165">
        <v>1</v>
      </c>
      <c r="AE2437" s="164" t="s">
        <v>187</v>
      </c>
      <c r="AF2437" s="165">
        <v>23.795660000000002</v>
      </c>
      <c r="AG2437" s="166">
        <v>90.263570000000001</v>
      </c>
      <c r="AO2437" s="121"/>
      <c r="AT2437" s="111"/>
      <c r="AX2437" s="121"/>
    </row>
    <row r="2438" spans="1:50" s="110" customFormat="1" ht="20" customHeight="1">
      <c r="A2438" s="125" t="s">
        <v>486</v>
      </c>
      <c r="B2438" s="126" t="s">
        <v>57</v>
      </c>
      <c r="C2438" s="127">
        <v>16981</v>
      </c>
      <c r="D2438" s="163">
        <v>112292</v>
      </c>
      <c r="E2438" s="164" t="s">
        <v>758</v>
      </c>
      <c r="F2438" s="164" t="s">
        <v>758</v>
      </c>
      <c r="G2438" s="165">
        <v>300</v>
      </c>
      <c r="H2438" s="165">
        <v>1</v>
      </c>
      <c r="I2438" s="164" t="s">
        <v>187</v>
      </c>
      <c r="J2438" s="164" t="s">
        <v>198</v>
      </c>
      <c r="K2438" s="164" t="s">
        <v>199</v>
      </c>
      <c r="L2438" s="165">
        <v>5</v>
      </c>
      <c r="M2438" s="165">
        <v>6</v>
      </c>
      <c r="N2438" s="164" t="s">
        <v>189</v>
      </c>
      <c r="O2438" s="165">
        <v>0</v>
      </c>
      <c r="P2438" s="165">
        <v>0</v>
      </c>
      <c r="Q2438" s="165">
        <v>21</v>
      </c>
      <c r="R2438" s="164" t="s">
        <v>200</v>
      </c>
      <c r="S2438" s="164" t="s">
        <v>201</v>
      </c>
      <c r="T2438" s="165">
        <v>462</v>
      </c>
      <c r="U2438" s="164" t="s">
        <v>200</v>
      </c>
      <c r="V2438" s="164" t="s">
        <v>202</v>
      </c>
      <c r="W2438" s="165">
        <v>1</v>
      </c>
      <c r="X2438" s="165">
        <v>4</v>
      </c>
      <c r="Y2438" s="164" t="s">
        <v>203</v>
      </c>
      <c r="Z2438" s="164" t="s">
        <v>195</v>
      </c>
      <c r="AA2438" s="164" t="s">
        <v>196</v>
      </c>
      <c r="AB2438" s="164" t="s">
        <v>187</v>
      </c>
      <c r="AC2438" s="164" t="s">
        <v>187</v>
      </c>
      <c r="AD2438" s="165">
        <v>1</v>
      </c>
      <c r="AE2438" s="164" t="s">
        <v>187</v>
      </c>
      <c r="AF2438" s="165">
        <v>22.646666612554899</v>
      </c>
      <c r="AG2438" s="166">
        <v>89.773621720854393</v>
      </c>
      <c r="AO2438" s="121"/>
      <c r="AT2438" s="111"/>
      <c r="AX2438" s="121"/>
    </row>
    <row r="2439" spans="1:50" s="110" customFormat="1" ht="20" customHeight="1">
      <c r="A2439" s="125" t="s">
        <v>486</v>
      </c>
      <c r="B2439" s="126" t="s">
        <v>57</v>
      </c>
      <c r="C2439" s="127">
        <v>17009</v>
      </c>
      <c r="D2439" s="163">
        <v>112334</v>
      </c>
      <c r="E2439" s="164" t="s">
        <v>851</v>
      </c>
      <c r="F2439" s="164" t="s">
        <v>851</v>
      </c>
      <c r="G2439" s="165">
        <v>300</v>
      </c>
      <c r="H2439" s="165">
        <v>1</v>
      </c>
      <c r="I2439" s="164" t="s">
        <v>187</v>
      </c>
      <c r="J2439" s="164" t="s">
        <v>198</v>
      </c>
      <c r="K2439" s="164" t="s">
        <v>199</v>
      </c>
      <c r="L2439" s="165">
        <v>5</v>
      </c>
      <c r="M2439" s="165">
        <v>6</v>
      </c>
      <c r="N2439" s="164" t="s">
        <v>189</v>
      </c>
      <c r="O2439" s="165">
        <v>0</v>
      </c>
      <c r="P2439" s="165">
        <v>0</v>
      </c>
      <c r="Q2439" s="165">
        <v>21</v>
      </c>
      <c r="R2439" s="164" t="s">
        <v>200</v>
      </c>
      <c r="S2439" s="164" t="s">
        <v>201</v>
      </c>
      <c r="T2439" s="165">
        <v>462</v>
      </c>
      <c r="U2439" s="164" t="s">
        <v>200</v>
      </c>
      <c r="V2439" s="164" t="s">
        <v>202</v>
      </c>
      <c r="W2439" s="165">
        <v>1</v>
      </c>
      <c r="X2439" s="165">
        <v>4</v>
      </c>
      <c r="Y2439" s="164" t="s">
        <v>203</v>
      </c>
      <c r="Z2439" s="164" t="s">
        <v>195</v>
      </c>
      <c r="AA2439" s="164" t="s">
        <v>196</v>
      </c>
      <c r="AB2439" s="164" t="s">
        <v>187</v>
      </c>
      <c r="AC2439" s="164" t="s">
        <v>187</v>
      </c>
      <c r="AD2439" s="165">
        <v>1</v>
      </c>
      <c r="AE2439" s="164" t="s">
        <v>187</v>
      </c>
      <c r="AF2439" s="165">
        <v>23.1277738070821</v>
      </c>
      <c r="AG2439" s="166">
        <v>90.135651147787598</v>
      </c>
      <c r="AO2439" s="121"/>
      <c r="AT2439" s="111"/>
      <c r="AX2439" s="121"/>
    </row>
    <row r="2440" spans="1:50" s="110" customFormat="1" ht="20" customHeight="1">
      <c r="A2440" s="125" t="s">
        <v>486</v>
      </c>
      <c r="B2440" s="126" t="s">
        <v>57</v>
      </c>
      <c r="C2440" s="127">
        <v>17404</v>
      </c>
      <c r="D2440" s="163">
        <v>112804</v>
      </c>
      <c r="E2440" s="164" t="s">
        <v>1040</v>
      </c>
      <c r="F2440" s="164" t="s">
        <v>1040</v>
      </c>
      <c r="G2440" s="165">
        <v>300</v>
      </c>
      <c r="H2440" s="165">
        <v>1</v>
      </c>
      <c r="I2440" s="164" t="s">
        <v>187</v>
      </c>
      <c r="J2440" s="164" t="s">
        <v>1041</v>
      </c>
      <c r="K2440" s="164" t="s">
        <v>1042</v>
      </c>
      <c r="L2440" s="165">
        <v>5</v>
      </c>
      <c r="M2440" s="165">
        <v>6</v>
      </c>
      <c r="N2440" s="164" t="s">
        <v>189</v>
      </c>
      <c r="O2440" s="165">
        <v>0</v>
      </c>
      <c r="P2440" s="165">
        <v>0</v>
      </c>
      <c r="Q2440" s="165">
        <v>21</v>
      </c>
      <c r="R2440" s="164" t="s">
        <v>200</v>
      </c>
      <c r="S2440" s="164" t="s">
        <v>201</v>
      </c>
      <c r="T2440" s="165">
        <v>462</v>
      </c>
      <c r="U2440" s="164" t="s">
        <v>200</v>
      </c>
      <c r="V2440" s="164" t="s">
        <v>202</v>
      </c>
      <c r="W2440" s="165">
        <v>1</v>
      </c>
      <c r="X2440" s="165">
        <v>4</v>
      </c>
      <c r="Y2440" s="164" t="s">
        <v>203</v>
      </c>
      <c r="Z2440" s="164" t="s">
        <v>195</v>
      </c>
      <c r="AA2440" s="164" t="s">
        <v>196</v>
      </c>
      <c r="AB2440" s="164" t="s">
        <v>187</v>
      </c>
      <c r="AC2440" s="164" t="s">
        <v>187</v>
      </c>
      <c r="AD2440" s="165">
        <v>1</v>
      </c>
      <c r="AE2440" s="164" t="s">
        <v>187</v>
      </c>
      <c r="AF2440" s="165">
        <v>22.5973811111249</v>
      </c>
      <c r="AG2440" s="166">
        <v>89.754749628290298</v>
      </c>
      <c r="AO2440" s="121"/>
      <c r="AT2440" s="111"/>
      <c r="AX2440" s="121"/>
    </row>
    <row r="2441" spans="1:50" s="110" customFormat="1" ht="20" customHeight="1">
      <c r="A2441" s="125" t="s">
        <v>486</v>
      </c>
      <c r="B2441" s="126" t="s">
        <v>57</v>
      </c>
      <c r="C2441" s="127">
        <v>17682</v>
      </c>
      <c r="D2441" s="163">
        <v>113127</v>
      </c>
      <c r="E2441" s="164" t="s">
        <v>1384</v>
      </c>
      <c r="F2441" s="164" t="s">
        <v>1384</v>
      </c>
      <c r="G2441" s="165">
        <v>300</v>
      </c>
      <c r="H2441" s="165">
        <v>1</v>
      </c>
      <c r="I2441" s="164" t="s">
        <v>187</v>
      </c>
      <c r="J2441" s="164" t="s">
        <v>198</v>
      </c>
      <c r="K2441" s="164" t="s">
        <v>199</v>
      </c>
      <c r="L2441" s="165">
        <v>5</v>
      </c>
      <c r="M2441" s="165">
        <v>6</v>
      </c>
      <c r="N2441" s="164" t="s">
        <v>189</v>
      </c>
      <c r="O2441" s="165">
        <v>0</v>
      </c>
      <c r="P2441" s="165">
        <v>0</v>
      </c>
      <c r="Q2441" s="165">
        <v>21</v>
      </c>
      <c r="R2441" s="164" t="s">
        <v>200</v>
      </c>
      <c r="S2441" s="164" t="s">
        <v>201</v>
      </c>
      <c r="T2441" s="165">
        <v>462</v>
      </c>
      <c r="U2441" s="164" t="s">
        <v>200</v>
      </c>
      <c r="V2441" s="164" t="s">
        <v>202</v>
      </c>
      <c r="W2441" s="165">
        <v>1</v>
      </c>
      <c r="X2441" s="165">
        <v>4</v>
      </c>
      <c r="Y2441" s="164" t="s">
        <v>203</v>
      </c>
      <c r="Z2441" s="164" t="s">
        <v>195</v>
      </c>
      <c r="AA2441" s="164" t="s">
        <v>196</v>
      </c>
      <c r="AB2441" s="164" t="s">
        <v>187</v>
      </c>
      <c r="AC2441" s="164" t="s">
        <v>187</v>
      </c>
      <c r="AD2441" s="165">
        <v>1</v>
      </c>
      <c r="AE2441" s="164" t="s">
        <v>187</v>
      </c>
      <c r="AF2441" s="165">
        <v>24.048317142385699</v>
      </c>
      <c r="AG2441" s="166">
        <v>90.703685035496406</v>
      </c>
      <c r="AO2441" s="121"/>
      <c r="AT2441" s="111"/>
      <c r="AX2441" s="121"/>
    </row>
    <row r="2442" spans="1:50" s="110" customFormat="1" ht="20" customHeight="1">
      <c r="A2442" s="125" t="s">
        <v>486</v>
      </c>
      <c r="B2442" s="126" t="s">
        <v>57</v>
      </c>
      <c r="C2442" s="127">
        <v>21347</v>
      </c>
      <c r="D2442" s="163">
        <v>118173</v>
      </c>
      <c r="E2442" s="164" t="s">
        <v>1090</v>
      </c>
      <c r="F2442" s="164" t="s">
        <v>1090</v>
      </c>
      <c r="G2442" s="165">
        <v>200</v>
      </c>
      <c r="H2442" s="165">
        <v>1</v>
      </c>
      <c r="I2442" s="164" t="s">
        <v>187</v>
      </c>
      <c r="J2442" s="164" t="s">
        <v>198</v>
      </c>
      <c r="K2442" s="164" t="s">
        <v>199</v>
      </c>
      <c r="L2442" s="165">
        <v>5</v>
      </c>
      <c r="M2442" s="165">
        <v>6</v>
      </c>
      <c r="N2442" s="164" t="s">
        <v>189</v>
      </c>
      <c r="O2442" s="165">
        <v>0</v>
      </c>
      <c r="P2442" s="165">
        <v>0</v>
      </c>
      <c r="Q2442" s="165">
        <v>21</v>
      </c>
      <c r="R2442" s="164" t="s">
        <v>200</v>
      </c>
      <c r="S2442" s="164" t="s">
        <v>201</v>
      </c>
      <c r="T2442" s="165">
        <v>462</v>
      </c>
      <c r="U2442" s="164" t="s">
        <v>200</v>
      </c>
      <c r="V2442" s="164" t="s">
        <v>202</v>
      </c>
      <c r="W2442" s="165">
        <v>2</v>
      </c>
      <c r="X2442" s="165">
        <v>4</v>
      </c>
      <c r="Y2442" s="164" t="s">
        <v>203</v>
      </c>
      <c r="Z2442" s="164" t="s">
        <v>195</v>
      </c>
      <c r="AA2442" s="164" t="s">
        <v>196</v>
      </c>
      <c r="AB2442" s="164" t="s">
        <v>187</v>
      </c>
      <c r="AC2442" s="164" t="s">
        <v>187</v>
      </c>
      <c r="AD2442" s="165">
        <v>1</v>
      </c>
      <c r="AE2442" s="164" t="s">
        <v>187</v>
      </c>
      <c r="AF2442" s="165">
        <v>24.822310000000002</v>
      </c>
      <c r="AG2442" s="166">
        <v>89.381889999999999</v>
      </c>
      <c r="AO2442" s="121"/>
      <c r="AT2442" s="111"/>
      <c r="AX2442" s="121"/>
    </row>
    <row r="2443" spans="1:50" s="110" customFormat="1" ht="20" customHeight="1">
      <c r="A2443" s="125" t="s">
        <v>486</v>
      </c>
      <c r="B2443" s="126" t="s">
        <v>57</v>
      </c>
      <c r="C2443" s="127">
        <v>16303</v>
      </c>
      <c r="D2443" s="163">
        <v>111430</v>
      </c>
      <c r="E2443" s="164" t="s">
        <v>337</v>
      </c>
      <c r="F2443" s="164" t="s">
        <v>337</v>
      </c>
      <c r="G2443" s="165">
        <v>100</v>
      </c>
      <c r="H2443" s="165">
        <v>1</v>
      </c>
      <c r="I2443" s="164" t="s">
        <v>187</v>
      </c>
      <c r="J2443" s="164" t="s">
        <v>198</v>
      </c>
      <c r="K2443" s="164" t="s">
        <v>199</v>
      </c>
      <c r="L2443" s="165">
        <v>5</v>
      </c>
      <c r="M2443" s="165">
        <v>6</v>
      </c>
      <c r="N2443" s="164" t="s">
        <v>189</v>
      </c>
      <c r="O2443" s="165">
        <v>0</v>
      </c>
      <c r="P2443" s="165">
        <v>0</v>
      </c>
      <c r="Q2443" s="165">
        <v>21</v>
      </c>
      <c r="R2443" s="164" t="s">
        <v>200</v>
      </c>
      <c r="S2443" s="164" t="s">
        <v>201</v>
      </c>
      <c r="T2443" s="165">
        <v>462</v>
      </c>
      <c r="U2443" s="164" t="s">
        <v>200</v>
      </c>
      <c r="V2443" s="164" t="s">
        <v>202</v>
      </c>
      <c r="W2443" s="165">
        <v>2</v>
      </c>
      <c r="X2443" s="165">
        <v>4</v>
      </c>
      <c r="Y2443" s="164" t="s">
        <v>203</v>
      </c>
      <c r="Z2443" s="164" t="s">
        <v>195</v>
      </c>
      <c r="AA2443" s="164" t="s">
        <v>196</v>
      </c>
      <c r="AB2443" s="164" t="s">
        <v>187</v>
      </c>
      <c r="AC2443" s="164" t="s">
        <v>187</v>
      </c>
      <c r="AD2443" s="165">
        <v>1</v>
      </c>
      <c r="AE2443" s="164" t="s">
        <v>187</v>
      </c>
      <c r="AF2443" s="165">
        <v>22.498581234968601</v>
      </c>
      <c r="AG2443" s="166">
        <v>89.733714448427094</v>
      </c>
      <c r="AO2443" s="121"/>
      <c r="AT2443" s="111"/>
      <c r="AX2443" s="121"/>
    </row>
    <row r="2444" spans="1:50" s="110" customFormat="1" ht="20" customHeight="1">
      <c r="A2444" s="125" t="s">
        <v>486</v>
      </c>
      <c r="B2444" s="126" t="s">
        <v>57</v>
      </c>
      <c r="C2444" s="127">
        <v>17497</v>
      </c>
      <c r="D2444" s="163">
        <v>112912</v>
      </c>
      <c r="E2444" s="164" t="s">
        <v>559</v>
      </c>
      <c r="F2444" s="164" t="s">
        <v>559</v>
      </c>
      <c r="G2444" s="165">
        <v>100</v>
      </c>
      <c r="H2444" s="165">
        <v>1</v>
      </c>
      <c r="I2444" s="164" t="s">
        <v>187</v>
      </c>
      <c r="J2444" s="164" t="s">
        <v>198</v>
      </c>
      <c r="K2444" s="164" t="s">
        <v>199</v>
      </c>
      <c r="L2444" s="165">
        <v>5</v>
      </c>
      <c r="M2444" s="165">
        <v>6</v>
      </c>
      <c r="N2444" s="164" t="s">
        <v>189</v>
      </c>
      <c r="O2444" s="165">
        <v>0</v>
      </c>
      <c r="P2444" s="165">
        <v>0</v>
      </c>
      <c r="Q2444" s="165">
        <v>21</v>
      </c>
      <c r="R2444" s="164" t="s">
        <v>200</v>
      </c>
      <c r="S2444" s="164" t="s">
        <v>201</v>
      </c>
      <c r="T2444" s="165">
        <v>462</v>
      </c>
      <c r="U2444" s="164" t="s">
        <v>200</v>
      </c>
      <c r="V2444" s="164" t="s">
        <v>202</v>
      </c>
      <c r="W2444" s="165">
        <v>1</v>
      </c>
      <c r="X2444" s="165">
        <v>4</v>
      </c>
      <c r="Y2444" s="164" t="s">
        <v>203</v>
      </c>
      <c r="Z2444" s="164" t="s">
        <v>195</v>
      </c>
      <c r="AA2444" s="164" t="s">
        <v>196</v>
      </c>
      <c r="AB2444" s="164" t="s">
        <v>187</v>
      </c>
      <c r="AC2444" s="164" t="s">
        <v>187</v>
      </c>
      <c r="AD2444" s="165">
        <v>1</v>
      </c>
      <c r="AE2444" s="164" t="s">
        <v>187</v>
      </c>
      <c r="AF2444" s="165">
        <v>23.217705235450101</v>
      </c>
      <c r="AG2444" s="166">
        <v>89.249314111846601</v>
      </c>
      <c r="AO2444" s="121"/>
      <c r="AT2444" s="111"/>
      <c r="AX2444" s="121"/>
    </row>
    <row r="2445" spans="1:50" s="110" customFormat="1" ht="20" customHeight="1">
      <c r="A2445" s="125" t="s">
        <v>486</v>
      </c>
      <c r="B2445" s="126" t="s">
        <v>57</v>
      </c>
      <c r="C2445" s="127">
        <v>16723</v>
      </c>
      <c r="D2445" s="163">
        <v>111963</v>
      </c>
      <c r="E2445" s="164" t="s">
        <v>658</v>
      </c>
      <c r="F2445" s="164" t="s">
        <v>658</v>
      </c>
      <c r="G2445" s="165">
        <v>100</v>
      </c>
      <c r="H2445" s="165">
        <v>1</v>
      </c>
      <c r="I2445" s="164" t="s">
        <v>187</v>
      </c>
      <c r="J2445" s="164" t="s">
        <v>198</v>
      </c>
      <c r="K2445" s="164" t="s">
        <v>199</v>
      </c>
      <c r="L2445" s="165">
        <v>5</v>
      </c>
      <c r="M2445" s="165">
        <v>6</v>
      </c>
      <c r="N2445" s="164" t="s">
        <v>189</v>
      </c>
      <c r="O2445" s="165">
        <v>0</v>
      </c>
      <c r="P2445" s="165">
        <v>0</v>
      </c>
      <c r="Q2445" s="165">
        <v>21</v>
      </c>
      <c r="R2445" s="164" t="s">
        <v>200</v>
      </c>
      <c r="S2445" s="164" t="s">
        <v>201</v>
      </c>
      <c r="T2445" s="165">
        <v>462</v>
      </c>
      <c r="U2445" s="164" t="s">
        <v>200</v>
      </c>
      <c r="V2445" s="164" t="s">
        <v>202</v>
      </c>
      <c r="W2445" s="165">
        <v>1</v>
      </c>
      <c r="X2445" s="165">
        <v>4</v>
      </c>
      <c r="Y2445" s="164" t="s">
        <v>203</v>
      </c>
      <c r="Z2445" s="164" t="s">
        <v>195</v>
      </c>
      <c r="AA2445" s="164" t="s">
        <v>196</v>
      </c>
      <c r="AB2445" s="164" t="s">
        <v>187</v>
      </c>
      <c r="AC2445" s="164" t="s">
        <v>187</v>
      </c>
      <c r="AD2445" s="165">
        <v>1</v>
      </c>
      <c r="AE2445" s="164" t="s">
        <v>187</v>
      </c>
      <c r="AF2445" s="165">
        <v>22.9493067579699</v>
      </c>
      <c r="AG2445" s="166">
        <v>89.653572360484105</v>
      </c>
      <c r="AO2445" s="121"/>
      <c r="AT2445" s="111"/>
      <c r="AX2445" s="121"/>
    </row>
    <row r="2446" spans="1:50" s="110" customFormat="1" ht="20" customHeight="1">
      <c r="A2446" s="125" t="s">
        <v>486</v>
      </c>
      <c r="B2446" s="126" t="s">
        <v>57</v>
      </c>
      <c r="C2446" s="127">
        <v>17752</v>
      </c>
      <c r="D2446" s="163">
        <v>113211</v>
      </c>
      <c r="E2446" s="164" t="s">
        <v>1153</v>
      </c>
      <c r="F2446" s="164" t="s">
        <v>1153</v>
      </c>
      <c r="G2446" s="165">
        <v>100</v>
      </c>
      <c r="H2446" s="165">
        <v>1</v>
      </c>
      <c r="I2446" s="164" t="s">
        <v>187</v>
      </c>
      <c r="J2446" s="164" t="s">
        <v>198</v>
      </c>
      <c r="K2446" s="164" t="s">
        <v>199</v>
      </c>
      <c r="L2446" s="165">
        <v>5</v>
      </c>
      <c r="M2446" s="165">
        <v>6</v>
      </c>
      <c r="N2446" s="164" t="s">
        <v>189</v>
      </c>
      <c r="O2446" s="165">
        <v>0</v>
      </c>
      <c r="P2446" s="165">
        <v>0</v>
      </c>
      <c r="Q2446" s="165">
        <v>21</v>
      </c>
      <c r="R2446" s="164" t="s">
        <v>200</v>
      </c>
      <c r="S2446" s="164" t="s">
        <v>201</v>
      </c>
      <c r="T2446" s="165">
        <v>462</v>
      </c>
      <c r="U2446" s="164" t="s">
        <v>200</v>
      </c>
      <c r="V2446" s="164" t="s">
        <v>202</v>
      </c>
      <c r="W2446" s="165">
        <v>2</v>
      </c>
      <c r="X2446" s="165">
        <v>4</v>
      </c>
      <c r="Y2446" s="164" t="s">
        <v>203</v>
      </c>
      <c r="Z2446" s="164" t="s">
        <v>195</v>
      </c>
      <c r="AA2446" s="164" t="s">
        <v>196</v>
      </c>
      <c r="AB2446" s="164" t="s">
        <v>187</v>
      </c>
      <c r="AC2446" s="164" t="s">
        <v>187</v>
      </c>
      <c r="AD2446" s="165">
        <v>1</v>
      </c>
      <c r="AE2446" s="164" t="s">
        <v>187</v>
      </c>
      <c r="AF2446" s="165">
        <v>24.317158577221502</v>
      </c>
      <c r="AG2446" s="166">
        <v>90.556512505427307</v>
      </c>
      <c r="AO2446" s="121"/>
      <c r="AT2446" s="111"/>
      <c r="AX2446" s="121"/>
    </row>
    <row r="2447" spans="1:50" s="110" customFormat="1" ht="20" customHeight="1">
      <c r="A2447" s="125" t="s">
        <v>185</v>
      </c>
      <c r="B2447" s="126" t="s">
        <v>59</v>
      </c>
      <c r="C2447" s="127">
        <v>11359</v>
      </c>
      <c r="D2447" s="163">
        <v>102170</v>
      </c>
      <c r="E2447" s="164" t="s">
        <v>1304</v>
      </c>
      <c r="F2447" s="164" t="s">
        <v>1304</v>
      </c>
      <c r="G2447" s="165">
        <v>1000</v>
      </c>
      <c r="H2447" s="165">
        <v>1</v>
      </c>
      <c r="I2447" s="164" t="s">
        <v>187</v>
      </c>
      <c r="J2447" s="164" t="s">
        <v>1305</v>
      </c>
      <c r="K2447" s="164" t="s">
        <v>1304</v>
      </c>
      <c r="L2447" s="165">
        <v>3</v>
      </c>
      <c r="M2447" s="165">
        <v>6</v>
      </c>
      <c r="N2447" s="164" t="s">
        <v>189</v>
      </c>
      <c r="O2447" s="165">
        <v>0</v>
      </c>
      <c r="P2447" s="165">
        <v>0</v>
      </c>
      <c r="Q2447" s="165">
        <v>21</v>
      </c>
      <c r="R2447" s="164" t="s">
        <v>200</v>
      </c>
      <c r="S2447" s="164" t="s">
        <v>201</v>
      </c>
      <c r="T2447" s="165">
        <v>462</v>
      </c>
      <c r="U2447" s="164" t="s">
        <v>200</v>
      </c>
      <c r="V2447" s="164" t="s">
        <v>202</v>
      </c>
      <c r="W2447" s="165">
        <v>8</v>
      </c>
      <c r="X2447" s="165">
        <v>2</v>
      </c>
      <c r="Y2447" s="164" t="s">
        <v>194</v>
      </c>
      <c r="Z2447" s="164" t="s">
        <v>195</v>
      </c>
      <c r="AA2447" s="164" t="s">
        <v>196</v>
      </c>
      <c r="AB2447" s="164" t="s">
        <v>187</v>
      </c>
      <c r="AC2447" s="164" t="s">
        <v>209</v>
      </c>
      <c r="AD2447" s="165">
        <v>1</v>
      </c>
      <c r="AE2447" s="164" t="s">
        <v>187</v>
      </c>
      <c r="AF2447" s="165">
        <v>5.55</v>
      </c>
      <c r="AG2447" s="166">
        <v>95.3</v>
      </c>
      <c r="AO2447" s="121"/>
      <c r="AT2447" s="111"/>
      <c r="AX2447" s="121"/>
    </row>
    <row r="2448" spans="1:50" s="110" customFormat="1" ht="20" customHeight="1">
      <c r="A2448" s="125" t="s">
        <v>237</v>
      </c>
      <c r="B2448" s="126" t="s">
        <v>60</v>
      </c>
      <c r="C2448" s="127">
        <v>11359</v>
      </c>
      <c r="D2448" s="163">
        <v>102170</v>
      </c>
      <c r="E2448" s="164" t="s">
        <v>1304</v>
      </c>
      <c r="F2448" s="164" t="s">
        <v>1304</v>
      </c>
      <c r="G2448" s="165">
        <v>89000</v>
      </c>
      <c r="H2448" s="165">
        <v>1</v>
      </c>
      <c r="I2448" s="164" t="s">
        <v>187</v>
      </c>
      <c r="J2448" s="164" t="s">
        <v>1305</v>
      </c>
      <c r="K2448" s="164" t="s">
        <v>1304</v>
      </c>
      <c r="L2448" s="165">
        <v>3</v>
      </c>
      <c r="M2448" s="165">
        <v>6</v>
      </c>
      <c r="N2448" s="164" t="s">
        <v>189</v>
      </c>
      <c r="O2448" s="165">
        <v>0</v>
      </c>
      <c r="P2448" s="165">
        <v>0</v>
      </c>
      <c r="Q2448" s="165">
        <v>21</v>
      </c>
      <c r="R2448" s="164" t="s">
        <v>200</v>
      </c>
      <c r="S2448" s="164" t="s">
        <v>201</v>
      </c>
      <c r="T2448" s="165">
        <v>462</v>
      </c>
      <c r="U2448" s="164" t="s">
        <v>200</v>
      </c>
      <c r="V2448" s="164" t="s">
        <v>202</v>
      </c>
      <c r="W2448" s="165">
        <v>8</v>
      </c>
      <c r="X2448" s="165">
        <v>2</v>
      </c>
      <c r="Y2448" s="164" t="s">
        <v>194</v>
      </c>
      <c r="Z2448" s="164" t="s">
        <v>195</v>
      </c>
      <c r="AA2448" s="164" t="s">
        <v>196</v>
      </c>
      <c r="AB2448" s="164" t="s">
        <v>187</v>
      </c>
      <c r="AC2448" s="164" t="s">
        <v>209</v>
      </c>
      <c r="AD2448" s="165">
        <v>2</v>
      </c>
      <c r="AE2448" s="164" t="s">
        <v>187</v>
      </c>
      <c r="AF2448" s="165">
        <v>3.1621199999999998</v>
      </c>
      <c r="AG2448" s="166">
        <v>101.69817999999999</v>
      </c>
      <c r="AO2448" s="121"/>
      <c r="AT2448" s="111"/>
      <c r="AX2448" s="121"/>
    </row>
    <row r="2449" spans="1:50" s="110" customFormat="1" ht="20" customHeight="1">
      <c r="A2449" s="125" t="s">
        <v>237</v>
      </c>
      <c r="B2449" s="126" t="s">
        <v>60</v>
      </c>
      <c r="C2449" s="127">
        <v>10790</v>
      </c>
      <c r="D2449" s="163">
        <v>101254</v>
      </c>
      <c r="E2449" s="164" t="s">
        <v>1387</v>
      </c>
      <c r="F2449" s="164" t="s">
        <v>1387</v>
      </c>
      <c r="G2449" s="165">
        <v>81000</v>
      </c>
      <c r="H2449" s="165">
        <v>1</v>
      </c>
      <c r="I2449" s="164" t="s">
        <v>187</v>
      </c>
      <c r="J2449" s="164" t="s">
        <v>198</v>
      </c>
      <c r="K2449" s="164" t="s">
        <v>199</v>
      </c>
      <c r="L2449" s="165">
        <v>5</v>
      </c>
      <c r="M2449" s="165">
        <v>6</v>
      </c>
      <c r="N2449" s="164" t="s">
        <v>189</v>
      </c>
      <c r="O2449" s="165">
        <v>0</v>
      </c>
      <c r="P2449" s="165">
        <v>0</v>
      </c>
      <c r="Q2449" s="165">
        <v>21</v>
      </c>
      <c r="R2449" s="164" t="s">
        <v>200</v>
      </c>
      <c r="S2449" s="164" t="s">
        <v>201</v>
      </c>
      <c r="T2449" s="165">
        <v>462</v>
      </c>
      <c r="U2449" s="164" t="s">
        <v>200</v>
      </c>
      <c r="V2449" s="164" t="s">
        <v>202</v>
      </c>
      <c r="W2449" s="165">
        <v>21</v>
      </c>
      <c r="X2449" s="165">
        <v>2</v>
      </c>
      <c r="Y2449" s="164" t="s">
        <v>194</v>
      </c>
      <c r="Z2449" s="164" t="s">
        <v>195</v>
      </c>
      <c r="AA2449" s="164" t="s">
        <v>196</v>
      </c>
      <c r="AB2449" s="164" t="s">
        <v>187</v>
      </c>
      <c r="AC2449" s="164" t="s">
        <v>209</v>
      </c>
      <c r="AD2449" s="165">
        <v>2</v>
      </c>
      <c r="AE2449" s="164" t="s">
        <v>187</v>
      </c>
      <c r="AF2449" s="165">
        <v>3.0328085034096799</v>
      </c>
      <c r="AG2449" s="166">
        <v>101.440661530405</v>
      </c>
      <c r="AO2449" s="121"/>
      <c r="AT2449" s="111"/>
      <c r="AX2449" s="121"/>
    </row>
    <row r="2450" spans="1:50" s="110" customFormat="1" ht="20" customHeight="1">
      <c r="A2450" s="125" t="s">
        <v>1620</v>
      </c>
      <c r="B2450" s="126" t="s">
        <v>61</v>
      </c>
      <c r="C2450" s="127">
        <v>11359</v>
      </c>
      <c r="D2450" s="163">
        <v>102170</v>
      </c>
      <c r="E2450" s="164" t="s">
        <v>1304</v>
      </c>
      <c r="F2450" s="164" t="s">
        <v>1304</v>
      </c>
      <c r="G2450" s="165">
        <v>473000</v>
      </c>
      <c r="H2450" s="165">
        <v>1</v>
      </c>
      <c r="I2450" s="164" t="s">
        <v>187</v>
      </c>
      <c r="J2450" s="164" t="s">
        <v>1305</v>
      </c>
      <c r="K2450" s="164" t="s">
        <v>1304</v>
      </c>
      <c r="L2450" s="165">
        <v>3</v>
      </c>
      <c r="M2450" s="165">
        <v>6</v>
      </c>
      <c r="N2450" s="164" t="s">
        <v>189</v>
      </c>
      <c r="O2450" s="165">
        <v>0</v>
      </c>
      <c r="P2450" s="165">
        <v>0</v>
      </c>
      <c r="Q2450" s="165">
        <v>21</v>
      </c>
      <c r="R2450" s="164" t="s">
        <v>200</v>
      </c>
      <c r="S2450" s="164" t="s">
        <v>201</v>
      </c>
      <c r="T2450" s="165">
        <v>462</v>
      </c>
      <c r="U2450" s="164" t="s">
        <v>200</v>
      </c>
      <c r="V2450" s="164" t="s">
        <v>202</v>
      </c>
      <c r="W2450" s="165">
        <v>8</v>
      </c>
      <c r="X2450" s="165">
        <v>2</v>
      </c>
      <c r="Y2450" s="164" t="s">
        <v>194</v>
      </c>
      <c r="Z2450" s="164" t="s">
        <v>195</v>
      </c>
      <c r="AA2450" s="164" t="s">
        <v>196</v>
      </c>
      <c r="AB2450" s="164" t="s">
        <v>187</v>
      </c>
      <c r="AC2450" s="164" t="s">
        <v>187</v>
      </c>
      <c r="AD2450" s="165">
        <v>9</v>
      </c>
      <c r="AE2450" s="164" t="s">
        <v>187</v>
      </c>
      <c r="AF2450" s="165">
        <v>20.235790000000001</v>
      </c>
      <c r="AG2450" s="166">
        <v>92.861530000000002</v>
      </c>
      <c r="AO2450" s="121"/>
      <c r="AT2450" s="111"/>
      <c r="AX2450" s="121"/>
    </row>
    <row r="2451" spans="1:50" s="110" customFormat="1" ht="20" customHeight="1">
      <c r="A2451" s="125" t="s">
        <v>1620</v>
      </c>
      <c r="B2451" s="126" t="s">
        <v>61</v>
      </c>
      <c r="C2451" s="127">
        <v>10790</v>
      </c>
      <c r="D2451" s="163">
        <v>101254</v>
      </c>
      <c r="E2451" s="164" t="s">
        <v>1387</v>
      </c>
      <c r="F2451" s="164" t="s">
        <v>1387</v>
      </c>
      <c r="G2451" s="165">
        <v>280000</v>
      </c>
      <c r="H2451" s="165">
        <v>1</v>
      </c>
      <c r="I2451" s="164" t="s">
        <v>187</v>
      </c>
      <c r="J2451" s="164" t="s">
        <v>198</v>
      </c>
      <c r="K2451" s="164" t="s">
        <v>199</v>
      </c>
      <c r="L2451" s="165">
        <v>5</v>
      </c>
      <c r="M2451" s="165">
        <v>6</v>
      </c>
      <c r="N2451" s="164" t="s">
        <v>189</v>
      </c>
      <c r="O2451" s="165">
        <v>0.4</v>
      </c>
      <c r="P2451" s="165">
        <v>0.13</v>
      </c>
      <c r="Q2451" s="165">
        <v>21</v>
      </c>
      <c r="R2451" s="164" t="s">
        <v>200</v>
      </c>
      <c r="S2451" s="164" t="s">
        <v>201</v>
      </c>
      <c r="T2451" s="165">
        <v>462</v>
      </c>
      <c r="U2451" s="164" t="s">
        <v>200</v>
      </c>
      <c r="V2451" s="164" t="s">
        <v>202</v>
      </c>
      <c r="W2451" s="165">
        <v>21</v>
      </c>
      <c r="X2451" s="165">
        <v>2</v>
      </c>
      <c r="Y2451" s="164" t="s">
        <v>194</v>
      </c>
      <c r="Z2451" s="164" t="s">
        <v>195</v>
      </c>
      <c r="AA2451" s="164" t="s">
        <v>196</v>
      </c>
      <c r="AB2451" s="164" t="s">
        <v>187</v>
      </c>
      <c r="AC2451" s="164" t="s">
        <v>209</v>
      </c>
      <c r="AD2451" s="165">
        <v>6</v>
      </c>
      <c r="AE2451" s="164" t="s">
        <v>209</v>
      </c>
      <c r="AF2451" s="165">
        <v>20.135176972339401</v>
      </c>
      <c r="AG2451" s="166">
        <v>92.891180593909297</v>
      </c>
      <c r="AO2451" s="121"/>
      <c r="AT2451" s="111"/>
      <c r="AX2451" s="121"/>
    </row>
    <row r="2452" spans="1:50" s="110" customFormat="1" ht="20" customHeight="1">
      <c r="A2452" s="125" t="s">
        <v>1620</v>
      </c>
      <c r="B2452" s="126" t="s">
        <v>61</v>
      </c>
      <c r="C2452" s="127">
        <v>21644</v>
      </c>
      <c r="D2452" s="163">
        <v>118424</v>
      </c>
      <c r="E2452" s="164" t="s">
        <v>3195</v>
      </c>
      <c r="F2452" s="164" t="s">
        <v>3195</v>
      </c>
      <c r="G2452" s="165">
        <v>5000</v>
      </c>
      <c r="H2452" s="165">
        <v>1</v>
      </c>
      <c r="I2452" s="164" t="s">
        <v>187</v>
      </c>
      <c r="J2452" s="164" t="s">
        <v>1966</v>
      </c>
      <c r="K2452" s="164" t="s">
        <v>1967</v>
      </c>
      <c r="L2452" s="165">
        <v>3</v>
      </c>
      <c r="M2452" s="165">
        <v>6</v>
      </c>
      <c r="N2452" s="164" t="s">
        <v>189</v>
      </c>
      <c r="O2452" s="165">
        <v>0</v>
      </c>
      <c r="P2452" s="165">
        <v>0</v>
      </c>
      <c r="Q2452" s="165">
        <v>21</v>
      </c>
      <c r="R2452" s="164" t="s">
        <v>200</v>
      </c>
      <c r="S2452" s="164" t="s">
        <v>201</v>
      </c>
      <c r="T2452" s="165">
        <v>462</v>
      </c>
      <c r="U2452" s="164" t="s">
        <v>200</v>
      </c>
      <c r="V2452" s="164" t="s">
        <v>202</v>
      </c>
      <c r="W2452" s="165">
        <v>1</v>
      </c>
      <c r="X2452" s="165">
        <v>2</v>
      </c>
      <c r="Y2452" s="164" t="s">
        <v>194</v>
      </c>
      <c r="Z2452" s="164" t="s">
        <v>195</v>
      </c>
      <c r="AA2452" s="164" t="s">
        <v>196</v>
      </c>
      <c r="AB2452" s="164" t="s">
        <v>187</v>
      </c>
      <c r="AC2452" s="164" t="s">
        <v>187</v>
      </c>
      <c r="AD2452" s="165">
        <v>1</v>
      </c>
      <c r="AE2452" s="164" t="s">
        <v>187</v>
      </c>
      <c r="AF2452" s="165">
        <v>20.100000000000001</v>
      </c>
      <c r="AG2452" s="166">
        <v>92.9</v>
      </c>
      <c r="AO2452" s="121"/>
      <c r="AT2452" s="111"/>
      <c r="AX2452" s="121"/>
    </row>
    <row r="2453" spans="1:50" s="110" customFormat="1" ht="20" customHeight="1">
      <c r="A2453" s="125" t="s">
        <v>231</v>
      </c>
      <c r="B2453" s="126" t="s">
        <v>66</v>
      </c>
      <c r="C2453" s="127">
        <v>16264</v>
      </c>
      <c r="D2453" s="163">
        <v>111389</v>
      </c>
      <c r="E2453" s="164" t="s">
        <v>302</v>
      </c>
      <c r="F2453" s="164" t="s">
        <v>302</v>
      </c>
      <c r="G2453" s="165">
        <v>5316000</v>
      </c>
      <c r="H2453" s="165">
        <v>1</v>
      </c>
      <c r="I2453" s="164" t="s">
        <v>187</v>
      </c>
      <c r="J2453" s="164" t="s">
        <v>222</v>
      </c>
      <c r="K2453" s="164" t="s">
        <v>223</v>
      </c>
      <c r="L2453" s="165">
        <v>4</v>
      </c>
      <c r="M2453" s="165">
        <v>6</v>
      </c>
      <c r="N2453" s="164" t="s">
        <v>189</v>
      </c>
      <c r="O2453" s="165">
        <v>0</v>
      </c>
      <c r="P2453" s="165">
        <v>0</v>
      </c>
      <c r="Q2453" s="165">
        <v>21</v>
      </c>
      <c r="R2453" s="164" t="s">
        <v>200</v>
      </c>
      <c r="S2453" s="164" t="s">
        <v>201</v>
      </c>
      <c r="T2453" s="165">
        <v>462</v>
      </c>
      <c r="U2453" s="164" t="s">
        <v>200</v>
      </c>
      <c r="V2453" s="164" t="s">
        <v>202</v>
      </c>
      <c r="W2453" s="165">
        <v>2</v>
      </c>
      <c r="X2453" s="165">
        <v>4</v>
      </c>
      <c r="Y2453" s="164" t="s">
        <v>203</v>
      </c>
      <c r="Z2453" s="164" t="s">
        <v>195</v>
      </c>
      <c r="AA2453" s="164" t="s">
        <v>196</v>
      </c>
      <c r="AB2453" s="164" t="s">
        <v>187</v>
      </c>
      <c r="AC2453" s="164" t="s">
        <v>187</v>
      </c>
      <c r="AD2453" s="165">
        <v>106</v>
      </c>
      <c r="AE2453" s="164" t="s">
        <v>187</v>
      </c>
      <c r="AF2453" s="165">
        <v>33.5729491786811</v>
      </c>
      <c r="AG2453" s="166">
        <v>72.369161377204904</v>
      </c>
      <c r="AO2453" s="121"/>
      <c r="AT2453" s="111"/>
      <c r="AX2453" s="121"/>
    </row>
    <row r="2454" spans="1:50" s="110" customFormat="1" ht="20" customHeight="1">
      <c r="A2454" s="125" t="s">
        <v>231</v>
      </c>
      <c r="B2454" s="126" t="s">
        <v>66</v>
      </c>
      <c r="C2454" s="127">
        <v>17549</v>
      </c>
      <c r="D2454" s="163">
        <v>112971</v>
      </c>
      <c r="E2454" s="164" t="s">
        <v>717</v>
      </c>
      <c r="F2454" s="164" t="s">
        <v>717</v>
      </c>
      <c r="G2454" s="165">
        <v>4953000</v>
      </c>
      <c r="H2454" s="165">
        <v>1</v>
      </c>
      <c r="I2454" s="164" t="s">
        <v>187</v>
      </c>
      <c r="J2454" s="164" t="s">
        <v>222</v>
      </c>
      <c r="K2454" s="164" t="s">
        <v>223</v>
      </c>
      <c r="L2454" s="165">
        <v>4</v>
      </c>
      <c r="M2454" s="165">
        <v>6</v>
      </c>
      <c r="N2454" s="164" t="s">
        <v>189</v>
      </c>
      <c r="O2454" s="165">
        <v>0</v>
      </c>
      <c r="P2454" s="165">
        <v>0</v>
      </c>
      <c r="Q2454" s="165">
        <v>21</v>
      </c>
      <c r="R2454" s="164" t="s">
        <v>200</v>
      </c>
      <c r="S2454" s="164" t="s">
        <v>201</v>
      </c>
      <c r="T2454" s="165">
        <v>462</v>
      </c>
      <c r="U2454" s="164" t="s">
        <v>200</v>
      </c>
      <c r="V2454" s="164" t="s">
        <v>202</v>
      </c>
      <c r="W2454" s="165">
        <v>3</v>
      </c>
      <c r="X2454" s="165">
        <v>4</v>
      </c>
      <c r="Y2454" s="164" t="s">
        <v>203</v>
      </c>
      <c r="Z2454" s="164" t="s">
        <v>195</v>
      </c>
      <c r="AA2454" s="164" t="s">
        <v>196</v>
      </c>
      <c r="AB2454" s="164" t="s">
        <v>187</v>
      </c>
      <c r="AC2454" s="164" t="s">
        <v>187</v>
      </c>
      <c r="AD2454" s="165">
        <v>99</v>
      </c>
      <c r="AE2454" s="164" t="s">
        <v>187</v>
      </c>
      <c r="AF2454" s="165">
        <v>31.5402413331433</v>
      </c>
      <c r="AG2454" s="166">
        <v>73.474908197484595</v>
      </c>
      <c r="AO2454" s="121"/>
      <c r="AT2454" s="111"/>
      <c r="AX2454" s="121"/>
    </row>
    <row r="2455" spans="1:50" s="110" customFormat="1" ht="20" customHeight="1">
      <c r="A2455" s="125" t="s">
        <v>231</v>
      </c>
      <c r="B2455" s="126" t="s">
        <v>66</v>
      </c>
      <c r="C2455" s="127">
        <v>17597</v>
      </c>
      <c r="D2455" s="163">
        <v>113028</v>
      </c>
      <c r="E2455" s="164" t="s">
        <v>960</v>
      </c>
      <c r="F2455" s="164" t="s">
        <v>960</v>
      </c>
      <c r="G2455" s="165">
        <v>3695000</v>
      </c>
      <c r="H2455" s="165">
        <v>1</v>
      </c>
      <c r="I2455" s="164" t="s">
        <v>187</v>
      </c>
      <c r="J2455" s="164" t="s">
        <v>222</v>
      </c>
      <c r="K2455" s="164" t="s">
        <v>223</v>
      </c>
      <c r="L2455" s="165">
        <v>4</v>
      </c>
      <c r="M2455" s="165">
        <v>6</v>
      </c>
      <c r="N2455" s="164" t="s">
        <v>189</v>
      </c>
      <c r="O2455" s="165">
        <v>0</v>
      </c>
      <c r="P2455" s="165">
        <v>0</v>
      </c>
      <c r="Q2455" s="165">
        <v>21</v>
      </c>
      <c r="R2455" s="164" t="s">
        <v>200</v>
      </c>
      <c r="S2455" s="164" t="s">
        <v>201</v>
      </c>
      <c r="T2455" s="165">
        <v>462</v>
      </c>
      <c r="U2455" s="164" t="s">
        <v>200</v>
      </c>
      <c r="V2455" s="164" t="s">
        <v>202</v>
      </c>
      <c r="W2455" s="165">
        <v>2</v>
      </c>
      <c r="X2455" s="165">
        <v>4</v>
      </c>
      <c r="Y2455" s="164" t="s">
        <v>203</v>
      </c>
      <c r="Z2455" s="164" t="s">
        <v>195</v>
      </c>
      <c r="AA2455" s="164" t="s">
        <v>196</v>
      </c>
      <c r="AB2455" s="164" t="s">
        <v>187</v>
      </c>
      <c r="AC2455" s="164" t="s">
        <v>187</v>
      </c>
      <c r="AD2455" s="165">
        <v>74</v>
      </c>
      <c r="AE2455" s="164" t="s">
        <v>187</v>
      </c>
      <c r="AF2455" s="165">
        <v>31.382258081793001</v>
      </c>
      <c r="AG2455" s="166">
        <v>74.381809138767494</v>
      </c>
      <c r="AO2455" s="121"/>
      <c r="AT2455" s="111"/>
      <c r="AX2455" s="121"/>
    </row>
    <row r="2456" spans="1:50" s="110" customFormat="1" ht="20" customHeight="1">
      <c r="A2456" s="125" t="s">
        <v>231</v>
      </c>
      <c r="B2456" s="126" t="s">
        <v>66</v>
      </c>
      <c r="C2456" s="127">
        <v>17625</v>
      </c>
      <c r="D2456" s="163">
        <v>113060</v>
      </c>
      <c r="E2456" s="164" t="s">
        <v>1133</v>
      </c>
      <c r="F2456" s="164" t="s">
        <v>1133</v>
      </c>
      <c r="G2456" s="165">
        <v>3494000</v>
      </c>
      <c r="H2456" s="165">
        <v>1</v>
      </c>
      <c r="I2456" s="164" t="s">
        <v>187</v>
      </c>
      <c r="J2456" s="164" t="s">
        <v>222</v>
      </c>
      <c r="K2456" s="164" t="s">
        <v>223</v>
      </c>
      <c r="L2456" s="165">
        <v>4</v>
      </c>
      <c r="M2456" s="165">
        <v>6</v>
      </c>
      <c r="N2456" s="164" t="s">
        <v>189</v>
      </c>
      <c r="O2456" s="165">
        <v>0</v>
      </c>
      <c r="P2456" s="165">
        <v>0</v>
      </c>
      <c r="Q2456" s="165">
        <v>21</v>
      </c>
      <c r="R2456" s="164" t="s">
        <v>200</v>
      </c>
      <c r="S2456" s="164" t="s">
        <v>201</v>
      </c>
      <c r="T2456" s="165">
        <v>462</v>
      </c>
      <c r="U2456" s="164" t="s">
        <v>200</v>
      </c>
      <c r="V2456" s="164" t="s">
        <v>202</v>
      </c>
      <c r="W2456" s="165">
        <v>3</v>
      </c>
      <c r="X2456" s="165">
        <v>4</v>
      </c>
      <c r="Y2456" s="164" t="s">
        <v>203</v>
      </c>
      <c r="Z2456" s="164" t="s">
        <v>195</v>
      </c>
      <c r="AA2456" s="164" t="s">
        <v>196</v>
      </c>
      <c r="AB2456" s="164" t="s">
        <v>187</v>
      </c>
      <c r="AC2456" s="164" t="s">
        <v>187</v>
      </c>
      <c r="AD2456" s="165">
        <v>70</v>
      </c>
      <c r="AE2456" s="164" t="s">
        <v>187</v>
      </c>
      <c r="AF2456" s="165">
        <v>31.378301659848798</v>
      </c>
      <c r="AG2456" s="166">
        <v>74.374731451178604</v>
      </c>
      <c r="AO2456" s="121"/>
      <c r="AT2456" s="111"/>
      <c r="AX2456" s="121"/>
    </row>
    <row r="2457" spans="1:50" s="110" customFormat="1" ht="20" customHeight="1">
      <c r="A2457" s="125" t="s">
        <v>231</v>
      </c>
      <c r="B2457" s="126" t="s">
        <v>66</v>
      </c>
      <c r="C2457" s="127">
        <v>17695</v>
      </c>
      <c r="D2457" s="163">
        <v>113141</v>
      </c>
      <c r="E2457" s="164" t="s">
        <v>1425</v>
      </c>
      <c r="F2457" s="164" t="s">
        <v>1425</v>
      </c>
      <c r="G2457" s="165">
        <v>2953000</v>
      </c>
      <c r="H2457" s="165">
        <v>1</v>
      </c>
      <c r="I2457" s="164" t="s">
        <v>187</v>
      </c>
      <c r="J2457" s="164" t="s">
        <v>222</v>
      </c>
      <c r="K2457" s="164" t="s">
        <v>223</v>
      </c>
      <c r="L2457" s="165">
        <v>4</v>
      </c>
      <c r="M2457" s="165">
        <v>6</v>
      </c>
      <c r="N2457" s="164" t="s">
        <v>189</v>
      </c>
      <c r="O2457" s="165">
        <v>0</v>
      </c>
      <c r="P2457" s="165">
        <v>0</v>
      </c>
      <c r="Q2457" s="165">
        <v>21</v>
      </c>
      <c r="R2457" s="164" t="s">
        <v>200</v>
      </c>
      <c r="S2457" s="164" t="s">
        <v>201</v>
      </c>
      <c r="T2457" s="165">
        <v>462</v>
      </c>
      <c r="U2457" s="164" t="s">
        <v>200</v>
      </c>
      <c r="V2457" s="164" t="s">
        <v>202</v>
      </c>
      <c r="W2457" s="165">
        <v>2</v>
      </c>
      <c r="X2457" s="165">
        <v>4</v>
      </c>
      <c r="Y2457" s="164" t="s">
        <v>203</v>
      </c>
      <c r="Z2457" s="164" t="s">
        <v>195</v>
      </c>
      <c r="AA2457" s="164" t="s">
        <v>196</v>
      </c>
      <c r="AB2457" s="164" t="s">
        <v>187</v>
      </c>
      <c r="AC2457" s="164" t="s">
        <v>187</v>
      </c>
      <c r="AD2457" s="165">
        <v>59</v>
      </c>
      <c r="AE2457" s="164" t="s">
        <v>187</v>
      </c>
      <c r="AF2457" s="165">
        <v>31.375740313282702</v>
      </c>
      <c r="AG2457" s="166">
        <v>74.382187848396597</v>
      </c>
      <c r="AO2457" s="121"/>
      <c r="AT2457" s="111"/>
      <c r="AX2457" s="121"/>
    </row>
    <row r="2458" spans="1:50" s="110" customFormat="1" ht="20" customHeight="1">
      <c r="A2458" s="125" t="s">
        <v>231</v>
      </c>
      <c r="B2458" s="126" t="s">
        <v>66</v>
      </c>
      <c r="C2458" s="127">
        <v>17692</v>
      </c>
      <c r="D2458" s="163">
        <v>113137</v>
      </c>
      <c r="E2458" s="164" t="s">
        <v>1432</v>
      </c>
      <c r="F2458" s="164" t="s">
        <v>1432</v>
      </c>
      <c r="G2458" s="165">
        <v>2845000</v>
      </c>
      <c r="H2458" s="165">
        <v>1</v>
      </c>
      <c r="I2458" s="164" t="s">
        <v>187</v>
      </c>
      <c r="J2458" s="164" t="s">
        <v>222</v>
      </c>
      <c r="K2458" s="164" t="s">
        <v>223</v>
      </c>
      <c r="L2458" s="165">
        <v>4</v>
      </c>
      <c r="M2458" s="165">
        <v>6</v>
      </c>
      <c r="N2458" s="164" t="s">
        <v>189</v>
      </c>
      <c r="O2458" s="165">
        <v>0</v>
      </c>
      <c r="P2458" s="165">
        <v>0</v>
      </c>
      <c r="Q2458" s="165">
        <v>21</v>
      </c>
      <c r="R2458" s="164" t="s">
        <v>200</v>
      </c>
      <c r="S2458" s="164" t="s">
        <v>201</v>
      </c>
      <c r="T2458" s="165">
        <v>462</v>
      </c>
      <c r="U2458" s="164" t="s">
        <v>200</v>
      </c>
      <c r="V2458" s="164" t="s">
        <v>202</v>
      </c>
      <c r="W2458" s="165">
        <v>3</v>
      </c>
      <c r="X2458" s="165">
        <v>4</v>
      </c>
      <c r="Y2458" s="164" t="s">
        <v>203</v>
      </c>
      <c r="Z2458" s="164" t="s">
        <v>195</v>
      </c>
      <c r="AA2458" s="164" t="s">
        <v>196</v>
      </c>
      <c r="AB2458" s="164" t="s">
        <v>187</v>
      </c>
      <c r="AC2458" s="164" t="s">
        <v>187</v>
      </c>
      <c r="AD2458" s="165">
        <v>57</v>
      </c>
      <c r="AE2458" s="164" t="s">
        <v>187</v>
      </c>
      <c r="AF2458" s="165">
        <v>31.379767989185002</v>
      </c>
      <c r="AG2458" s="166">
        <v>74.383758169549395</v>
      </c>
      <c r="AO2458" s="121"/>
      <c r="AT2458" s="111"/>
      <c r="AX2458" s="121"/>
    </row>
    <row r="2459" spans="1:50" s="110" customFormat="1" ht="20" customHeight="1">
      <c r="A2459" s="125" t="s">
        <v>231</v>
      </c>
      <c r="B2459" s="126" t="s">
        <v>66</v>
      </c>
      <c r="C2459" s="127">
        <v>17714</v>
      </c>
      <c r="D2459" s="163">
        <v>113164</v>
      </c>
      <c r="E2459" s="164" t="s">
        <v>1150</v>
      </c>
      <c r="F2459" s="164" t="s">
        <v>1150</v>
      </c>
      <c r="G2459" s="165">
        <v>2579000</v>
      </c>
      <c r="H2459" s="165">
        <v>1</v>
      </c>
      <c r="I2459" s="164" t="s">
        <v>187</v>
      </c>
      <c r="J2459" s="164" t="s">
        <v>222</v>
      </c>
      <c r="K2459" s="164" t="s">
        <v>223</v>
      </c>
      <c r="L2459" s="165">
        <v>4</v>
      </c>
      <c r="M2459" s="165">
        <v>6</v>
      </c>
      <c r="N2459" s="164" t="s">
        <v>189</v>
      </c>
      <c r="O2459" s="165">
        <v>0</v>
      </c>
      <c r="P2459" s="165">
        <v>0</v>
      </c>
      <c r="Q2459" s="165">
        <v>21</v>
      </c>
      <c r="R2459" s="164" t="s">
        <v>200</v>
      </c>
      <c r="S2459" s="164" t="s">
        <v>201</v>
      </c>
      <c r="T2459" s="165">
        <v>462</v>
      </c>
      <c r="U2459" s="164" t="s">
        <v>200</v>
      </c>
      <c r="V2459" s="164" t="s">
        <v>202</v>
      </c>
      <c r="W2459" s="165">
        <v>3</v>
      </c>
      <c r="X2459" s="165">
        <v>4</v>
      </c>
      <c r="Y2459" s="164" t="s">
        <v>203</v>
      </c>
      <c r="Z2459" s="164" t="s">
        <v>195</v>
      </c>
      <c r="AA2459" s="164" t="s">
        <v>196</v>
      </c>
      <c r="AB2459" s="164" t="s">
        <v>187</v>
      </c>
      <c r="AC2459" s="164" t="s">
        <v>187</v>
      </c>
      <c r="AD2459" s="165">
        <v>52</v>
      </c>
      <c r="AE2459" s="164" t="s">
        <v>187</v>
      </c>
      <c r="AF2459" s="165">
        <v>32.190283044858397</v>
      </c>
      <c r="AG2459" s="166">
        <v>72.822223211355606</v>
      </c>
      <c r="AO2459" s="121"/>
      <c r="AT2459" s="111"/>
      <c r="AX2459" s="121"/>
    </row>
    <row r="2460" spans="1:50" s="110" customFormat="1" ht="20" customHeight="1">
      <c r="A2460" s="125" t="s">
        <v>231</v>
      </c>
      <c r="B2460" s="126" t="s">
        <v>66</v>
      </c>
      <c r="C2460" s="127">
        <v>17618</v>
      </c>
      <c r="D2460" s="163">
        <v>113052</v>
      </c>
      <c r="E2460" s="164" t="s">
        <v>1035</v>
      </c>
      <c r="F2460" s="164" t="s">
        <v>1035</v>
      </c>
      <c r="G2460" s="165">
        <v>2578000</v>
      </c>
      <c r="H2460" s="165">
        <v>1</v>
      </c>
      <c r="I2460" s="164" t="s">
        <v>187</v>
      </c>
      <c r="J2460" s="164" t="s">
        <v>222</v>
      </c>
      <c r="K2460" s="164" t="s">
        <v>223</v>
      </c>
      <c r="L2460" s="165">
        <v>4</v>
      </c>
      <c r="M2460" s="165">
        <v>6</v>
      </c>
      <c r="N2460" s="164" t="s">
        <v>189</v>
      </c>
      <c r="O2460" s="165">
        <v>0</v>
      </c>
      <c r="P2460" s="165">
        <v>0</v>
      </c>
      <c r="Q2460" s="165">
        <v>21</v>
      </c>
      <c r="R2460" s="164" t="s">
        <v>200</v>
      </c>
      <c r="S2460" s="164" t="s">
        <v>201</v>
      </c>
      <c r="T2460" s="165">
        <v>462</v>
      </c>
      <c r="U2460" s="164" t="s">
        <v>200</v>
      </c>
      <c r="V2460" s="164" t="s">
        <v>202</v>
      </c>
      <c r="W2460" s="165">
        <v>2</v>
      </c>
      <c r="X2460" s="165">
        <v>4</v>
      </c>
      <c r="Y2460" s="164" t="s">
        <v>203</v>
      </c>
      <c r="Z2460" s="164" t="s">
        <v>195</v>
      </c>
      <c r="AA2460" s="164" t="s">
        <v>196</v>
      </c>
      <c r="AB2460" s="164" t="s">
        <v>187</v>
      </c>
      <c r="AC2460" s="164" t="s">
        <v>187</v>
      </c>
      <c r="AD2460" s="165">
        <v>52</v>
      </c>
      <c r="AE2460" s="164" t="s">
        <v>187</v>
      </c>
      <c r="AF2460" s="165">
        <v>31.3810529437932</v>
      </c>
      <c r="AG2460" s="166">
        <v>74.377713935442003</v>
      </c>
      <c r="AO2460" s="121"/>
      <c r="AT2460" s="111"/>
      <c r="AX2460" s="121"/>
    </row>
    <row r="2461" spans="1:50" s="110" customFormat="1" ht="20" customHeight="1">
      <c r="A2461" s="125" t="s">
        <v>231</v>
      </c>
      <c r="B2461" s="126" t="s">
        <v>66</v>
      </c>
      <c r="C2461" s="127">
        <v>18164</v>
      </c>
      <c r="D2461" s="163">
        <v>113676</v>
      </c>
      <c r="E2461" s="164" t="s">
        <v>1381</v>
      </c>
      <c r="F2461" s="164" t="s">
        <v>1381</v>
      </c>
      <c r="G2461" s="165">
        <v>2321000</v>
      </c>
      <c r="H2461" s="165">
        <v>1</v>
      </c>
      <c r="I2461" s="164" t="s">
        <v>187</v>
      </c>
      <c r="J2461" s="164" t="s">
        <v>219</v>
      </c>
      <c r="K2461" s="164" t="s">
        <v>220</v>
      </c>
      <c r="L2461" s="165">
        <v>5</v>
      </c>
      <c r="M2461" s="165">
        <v>6</v>
      </c>
      <c r="N2461" s="164" t="s">
        <v>189</v>
      </c>
      <c r="O2461" s="165">
        <v>0</v>
      </c>
      <c r="P2461" s="165">
        <v>0</v>
      </c>
      <c r="Q2461" s="165">
        <v>21</v>
      </c>
      <c r="R2461" s="164" t="s">
        <v>200</v>
      </c>
      <c r="S2461" s="164" t="s">
        <v>201</v>
      </c>
      <c r="T2461" s="165">
        <v>462</v>
      </c>
      <c r="U2461" s="164" t="s">
        <v>200</v>
      </c>
      <c r="V2461" s="164" t="s">
        <v>202</v>
      </c>
      <c r="W2461" s="165">
        <v>2</v>
      </c>
      <c r="X2461" s="165">
        <v>4</v>
      </c>
      <c r="Y2461" s="164" t="s">
        <v>203</v>
      </c>
      <c r="Z2461" s="164" t="s">
        <v>195</v>
      </c>
      <c r="AA2461" s="164" t="s">
        <v>196</v>
      </c>
      <c r="AB2461" s="164" t="s">
        <v>187</v>
      </c>
      <c r="AC2461" s="164" t="s">
        <v>187</v>
      </c>
      <c r="AD2461" s="165">
        <v>46</v>
      </c>
      <c r="AE2461" s="164" t="s">
        <v>187</v>
      </c>
      <c r="AF2461" s="165">
        <v>25.4923007861806</v>
      </c>
      <c r="AG2461" s="166">
        <v>68.507765533055306</v>
      </c>
      <c r="AO2461" s="121"/>
      <c r="AT2461" s="111"/>
      <c r="AX2461" s="121"/>
    </row>
    <row r="2462" spans="1:50" s="110" customFormat="1" ht="20" customHeight="1">
      <c r="A2462" s="125" t="s">
        <v>231</v>
      </c>
      <c r="B2462" s="126" t="s">
        <v>66</v>
      </c>
      <c r="C2462" s="127">
        <v>19655</v>
      </c>
      <c r="D2462" s="163">
        <v>112187</v>
      </c>
      <c r="E2462" s="164" t="s">
        <v>722</v>
      </c>
      <c r="F2462" s="164" t="s">
        <v>722</v>
      </c>
      <c r="G2462" s="165">
        <v>2147000</v>
      </c>
      <c r="H2462" s="165">
        <v>1</v>
      </c>
      <c r="I2462" s="164" t="s">
        <v>187</v>
      </c>
      <c r="J2462" s="164" t="s">
        <v>222</v>
      </c>
      <c r="K2462" s="164" t="s">
        <v>223</v>
      </c>
      <c r="L2462" s="165">
        <v>4</v>
      </c>
      <c r="M2462" s="165">
        <v>6</v>
      </c>
      <c r="N2462" s="164" t="s">
        <v>189</v>
      </c>
      <c r="O2462" s="165">
        <v>0</v>
      </c>
      <c r="P2462" s="165">
        <v>0</v>
      </c>
      <c r="Q2462" s="165">
        <v>21</v>
      </c>
      <c r="R2462" s="164" t="s">
        <v>200</v>
      </c>
      <c r="S2462" s="164" t="s">
        <v>201</v>
      </c>
      <c r="T2462" s="165">
        <v>462</v>
      </c>
      <c r="U2462" s="164" t="s">
        <v>200</v>
      </c>
      <c r="V2462" s="164" t="s">
        <v>202</v>
      </c>
      <c r="W2462" s="165">
        <v>5</v>
      </c>
      <c r="X2462" s="165">
        <v>4</v>
      </c>
      <c r="Y2462" s="164" t="s">
        <v>203</v>
      </c>
      <c r="Z2462" s="164" t="s">
        <v>195</v>
      </c>
      <c r="AA2462" s="164" t="s">
        <v>196</v>
      </c>
      <c r="AB2462" s="164" t="s">
        <v>187</v>
      </c>
      <c r="AC2462" s="164" t="s">
        <v>187</v>
      </c>
      <c r="AD2462" s="165">
        <v>43</v>
      </c>
      <c r="AE2462" s="164" t="s">
        <v>187</v>
      </c>
      <c r="AF2462" s="165">
        <v>31.360997328591498</v>
      </c>
      <c r="AG2462" s="166">
        <v>73.249830992205702</v>
      </c>
      <c r="AO2462" s="121"/>
      <c r="AT2462" s="111"/>
      <c r="AX2462" s="121"/>
    </row>
    <row r="2463" spans="1:50" s="110" customFormat="1" ht="20" customHeight="1">
      <c r="A2463" s="125" t="s">
        <v>231</v>
      </c>
      <c r="B2463" s="126" t="s">
        <v>66</v>
      </c>
      <c r="C2463" s="127">
        <v>17609</v>
      </c>
      <c r="D2463" s="163">
        <v>113040</v>
      </c>
      <c r="E2463" s="164" t="s">
        <v>1009</v>
      </c>
      <c r="F2463" s="164" t="s">
        <v>1009</v>
      </c>
      <c r="G2463" s="165">
        <v>2061000</v>
      </c>
      <c r="H2463" s="165">
        <v>1</v>
      </c>
      <c r="I2463" s="164" t="s">
        <v>187</v>
      </c>
      <c r="J2463" s="164" t="s">
        <v>222</v>
      </c>
      <c r="K2463" s="164" t="s">
        <v>223</v>
      </c>
      <c r="L2463" s="165">
        <v>4</v>
      </c>
      <c r="M2463" s="165">
        <v>6</v>
      </c>
      <c r="N2463" s="164" t="s">
        <v>189</v>
      </c>
      <c r="O2463" s="165">
        <v>0</v>
      </c>
      <c r="P2463" s="165">
        <v>0</v>
      </c>
      <c r="Q2463" s="165">
        <v>21</v>
      </c>
      <c r="R2463" s="164" t="s">
        <v>200</v>
      </c>
      <c r="S2463" s="164" t="s">
        <v>201</v>
      </c>
      <c r="T2463" s="165">
        <v>462</v>
      </c>
      <c r="U2463" s="164" t="s">
        <v>200</v>
      </c>
      <c r="V2463" s="164" t="s">
        <v>202</v>
      </c>
      <c r="W2463" s="165">
        <v>4</v>
      </c>
      <c r="X2463" s="165">
        <v>4</v>
      </c>
      <c r="Y2463" s="164" t="s">
        <v>203</v>
      </c>
      <c r="Z2463" s="164" t="s">
        <v>195</v>
      </c>
      <c r="AA2463" s="164" t="s">
        <v>196</v>
      </c>
      <c r="AB2463" s="164" t="s">
        <v>187</v>
      </c>
      <c r="AC2463" s="164" t="s">
        <v>187</v>
      </c>
      <c r="AD2463" s="165">
        <v>41</v>
      </c>
      <c r="AE2463" s="164" t="s">
        <v>187</v>
      </c>
      <c r="AF2463" s="165">
        <v>31.376841567108201</v>
      </c>
      <c r="AG2463" s="166">
        <v>74.377009497985895</v>
      </c>
      <c r="AO2463" s="121"/>
      <c r="AT2463" s="111"/>
      <c r="AX2463" s="121"/>
    </row>
    <row r="2464" spans="1:50" s="110" customFormat="1" ht="20" customHeight="1">
      <c r="A2464" s="125" t="s">
        <v>231</v>
      </c>
      <c r="B2464" s="126" t="s">
        <v>66</v>
      </c>
      <c r="C2464" s="127">
        <v>17622</v>
      </c>
      <c r="D2464" s="163">
        <v>113057</v>
      </c>
      <c r="E2464" s="164" t="s">
        <v>1130</v>
      </c>
      <c r="F2464" s="164" t="s">
        <v>1130</v>
      </c>
      <c r="G2464" s="165">
        <v>1951000</v>
      </c>
      <c r="H2464" s="165">
        <v>1</v>
      </c>
      <c r="I2464" s="164" t="s">
        <v>187</v>
      </c>
      <c r="J2464" s="164" t="s">
        <v>222</v>
      </c>
      <c r="K2464" s="164" t="s">
        <v>223</v>
      </c>
      <c r="L2464" s="165">
        <v>4</v>
      </c>
      <c r="M2464" s="165">
        <v>6</v>
      </c>
      <c r="N2464" s="164" t="s">
        <v>189</v>
      </c>
      <c r="O2464" s="165">
        <v>0</v>
      </c>
      <c r="P2464" s="165">
        <v>0</v>
      </c>
      <c r="Q2464" s="165">
        <v>21</v>
      </c>
      <c r="R2464" s="164" t="s">
        <v>200</v>
      </c>
      <c r="S2464" s="164" t="s">
        <v>201</v>
      </c>
      <c r="T2464" s="165">
        <v>462</v>
      </c>
      <c r="U2464" s="164" t="s">
        <v>200</v>
      </c>
      <c r="V2464" s="164" t="s">
        <v>202</v>
      </c>
      <c r="W2464" s="165">
        <v>2</v>
      </c>
      <c r="X2464" s="165">
        <v>4</v>
      </c>
      <c r="Y2464" s="164" t="s">
        <v>203</v>
      </c>
      <c r="Z2464" s="164" t="s">
        <v>195</v>
      </c>
      <c r="AA2464" s="164" t="s">
        <v>196</v>
      </c>
      <c r="AB2464" s="164" t="s">
        <v>187</v>
      </c>
      <c r="AC2464" s="164" t="s">
        <v>187</v>
      </c>
      <c r="AD2464" s="165">
        <v>39</v>
      </c>
      <c r="AE2464" s="164" t="s">
        <v>187</v>
      </c>
      <c r="AF2464" s="165">
        <v>31.3536940455127</v>
      </c>
      <c r="AG2464" s="166">
        <v>73.248326409981104</v>
      </c>
      <c r="AO2464" s="121"/>
      <c r="AT2464" s="111"/>
      <c r="AX2464" s="121"/>
    </row>
    <row r="2465" spans="1:50" s="110" customFormat="1" ht="20" customHeight="1">
      <c r="A2465" s="125" t="s">
        <v>231</v>
      </c>
      <c r="B2465" s="126" t="s">
        <v>66</v>
      </c>
      <c r="C2465" s="127">
        <v>13761</v>
      </c>
      <c r="D2465" s="163">
        <v>106706</v>
      </c>
      <c r="E2465" s="164" t="s">
        <v>1134</v>
      </c>
      <c r="F2465" s="164" t="s">
        <v>1134</v>
      </c>
      <c r="G2465" s="165">
        <v>1265000</v>
      </c>
      <c r="H2465" s="165">
        <v>1</v>
      </c>
      <c r="I2465" s="164" t="s">
        <v>187</v>
      </c>
      <c r="J2465" s="164" t="s">
        <v>216</v>
      </c>
      <c r="K2465" s="164" t="s">
        <v>217</v>
      </c>
      <c r="L2465" s="165">
        <v>5</v>
      </c>
      <c r="M2465" s="165">
        <v>6</v>
      </c>
      <c r="N2465" s="164" t="s">
        <v>189</v>
      </c>
      <c r="O2465" s="165">
        <v>0</v>
      </c>
      <c r="P2465" s="165">
        <v>0</v>
      </c>
      <c r="Q2465" s="165">
        <v>21</v>
      </c>
      <c r="R2465" s="164" t="s">
        <v>200</v>
      </c>
      <c r="S2465" s="164" t="s">
        <v>201</v>
      </c>
      <c r="T2465" s="165">
        <v>462</v>
      </c>
      <c r="U2465" s="164" t="s">
        <v>200</v>
      </c>
      <c r="V2465" s="164" t="s">
        <v>202</v>
      </c>
      <c r="W2465" s="165">
        <v>6</v>
      </c>
      <c r="X2465" s="165">
        <v>4</v>
      </c>
      <c r="Y2465" s="164" t="s">
        <v>203</v>
      </c>
      <c r="Z2465" s="164" t="s">
        <v>195</v>
      </c>
      <c r="AA2465" s="164" t="s">
        <v>196</v>
      </c>
      <c r="AB2465" s="164" t="s">
        <v>187</v>
      </c>
      <c r="AC2465" s="164" t="s">
        <v>187</v>
      </c>
      <c r="AD2465" s="165">
        <v>25</v>
      </c>
      <c r="AE2465" s="164" t="s">
        <v>187</v>
      </c>
      <c r="AF2465" s="165">
        <v>33.434819225143599</v>
      </c>
      <c r="AG2465" s="166">
        <v>73.225420968964201</v>
      </c>
      <c r="AO2465" s="121"/>
      <c r="AT2465" s="111"/>
      <c r="AX2465" s="121"/>
    </row>
    <row r="2466" spans="1:50" s="110" customFormat="1" ht="20" customHeight="1">
      <c r="A2466" s="125" t="s">
        <v>231</v>
      </c>
      <c r="B2466" s="126" t="s">
        <v>66</v>
      </c>
      <c r="C2466" s="127">
        <v>12558</v>
      </c>
      <c r="D2466" s="163">
        <v>104709</v>
      </c>
      <c r="E2466" s="164" t="s">
        <v>895</v>
      </c>
      <c r="F2466" s="164" t="s">
        <v>895</v>
      </c>
      <c r="G2466" s="165">
        <v>1235000</v>
      </c>
      <c r="H2466" s="165">
        <v>1</v>
      </c>
      <c r="I2466" s="164" t="s">
        <v>187</v>
      </c>
      <c r="J2466" s="164" t="s">
        <v>896</v>
      </c>
      <c r="K2466" s="164" t="s">
        <v>897</v>
      </c>
      <c r="L2466" s="165">
        <v>5</v>
      </c>
      <c r="M2466" s="165">
        <v>6</v>
      </c>
      <c r="N2466" s="164" t="s">
        <v>189</v>
      </c>
      <c r="O2466" s="165">
        <v>0</v>
      </c>
      <c r="P2466" s="165">
        <v>0</v>
      </c>
      <c r="Q2466" s="165">
        <v>21</v>
      </c>
      <c r="R2466" s="164" t="s">
        <v>200</v>
      </c>
      <c r="S2466" s="164" t="s">
        <v>201</v>
      </c>
      <c r="T2466" s="165">
        <v>462</v>
      </c>
      <c r="U2466" s="164" t="s">
        <v>200</v>
      </c>
      <c r="V2466" s="164" t="s">
        <v>202</v>
      </c>
      <c r="W2466" s="165">
        <v>2</v>
      </c>
      <c r="X2466" s="165">
        <v>4</v>
      </c>
      <c r="Y2466" s="164" t="s">
        <v>203</v>
      </c>
      <c r="Z2466" s="164" t="s">
        <v>195</v>
      </c>
      <c r="AA2466" s="164" t="s">
        <v>196</v>
      </c>
      <c r="AB2466" s="164" t="s">
        <v>187</v>
      </c>
      <c r="AC2466" s="164" t="s">
        <v>187</v>
      </c>
      <c r="AD2466" s="165">
        <v>25</v>
      </c>
      <c r="AE2466" s="164" t="s">
        <v>187</v>
      </c>
      <c r="AF2466" s="165">
        <v>34.112544999652002</v>
      </c>
      <c r="AG2466" s="166">
        <v>73.294926000034806</v>
      </c>
      <c r="AO2466" s="121"/>
      <c r="AT2466" s="111"/>
      <c r="AX2466" s="121"/>
    </row>
    <row r="2467" spans="1:50" s="110" customFormat="1" ht="20" customHeight="1">
      <c r="A2467" s="125" t="s">
        <v>231</v>
      </c>
      <c r="B2467" s="126" t="s">
        <v>66</v>
      </c>
      <c r="C2467" s="127">
        <v>17519</v>
      </c>
      <c r="D2467" s="163">
        <v>112937</v>
      </c>
      <c r="E2467" s="164" t="s">
        <v>643</v>
      </c>
      <c r="F2467" s="164" t="s">
        <v>643</v>
      </c>
      <c r="G2467" s="165">
        <v>1201000</v>
      </c>
      <c r="H2467" s="165">
        <v>1</v>
      </c>
      <c r="I2467" s="164" t="s">
        <v>187</v>
      </c>
      <c r="J2467" s="164" t="s">
        <v>222</v>
      </c>
      <c r="K2467" s="164" t="s">
        <v>223</v>
      </c>
      <c r="L2467" s="165">
        <v>4</v>
      </c>
      <c r="M2467" s="165">
        <v>6</v>
      </c>
      <c r="N2467" s="164" t="s">
        <v>189</v>
      </c>
      <c r="O2467" s="165">
        <v>0</v>
      </c>
      <c r="P2467" s="165">
        <v>0</v>
      </c>
      <c r="Q2467" s="165">
        <v>21</v>
      </c>
      <c r="R2467" s="164" t="s">
        <v>200</v>
      </c>
      <c r="S2467" s="164" t="s">
        <v>201</v>
      </c>
      <c r="T2467" s="165">
        <v>462</v>
      </c>
      <c r="U2467" s="164" t="s">
        <v>200</v>
      </c>
      <c r="V2467" s="164" t="s">
        <v>202</v>
      </c>
      <c r="W2467" s="165">
        <v>4</v>
      </c>
      <c r="X2467" s="165">
        <v>4</v>
      </c>
      <c r="Y2467" s="164" t="s">
        <v>203</v>
      </c>
      <c r="Z2467" s="164" t="s">
        <v>195</v>
      </c>
      <c r="AA2467" s="164" t="s">
        <v>196</v>
      </c>
      <c r="AB2467" s="164" t="s">
        <v>187</v>
      </c>
      <c r="AC2467" s="164" t="s">
        <v>187</v>
      </c>
      <c r="AD2467" s="165">
        <v>24</v>
      </c>
      <c r="AE2467" s="164" t="s">
        <v>187</v>
      </c>
      <c r="AF2467" s="165">
        <v>30.0793510747041</v>
      </c>
      <c r="AG2467" s="166">
        <v>71.455982711659701</v>
      </c>
      <c r="AO2467" s="121"/>
      <c r="AT2467" s="111"/>
      <c r="AX2467" s="121"/>
    </row>
    <row r="2468" spans="1:50" s="110" customFormat="1" ht="20" customHeight="1">
      <c r="A2468" s="125" t="s">
        <v>231</v>
      </c>
      <c r="B2468" s="126" t="s">
        <v>66</v>
      </c>
      <c r="C2468" s="127">
        <v>17586</v>
      </c>
      <c r="D2468" s="163">
        <v>113015</v>
      </c>
      <c r="E2468" s="164" t="s">
        <v>922</v>
      </c>
      <c r="F2468" s="164" t="s">
        <v>922</v>
      </c>
      <c r="G2468" s="165">
        <v>1116000</v>
      </c>
      <c r="H2468" s="165">
        <v>1</v>
      </c>
      <c r="I2468" s="164" t="s">
        <v>187</v>
      </c>
      <c r="J2468" s="164" t="s">
        <v>222</v>
      </c>
      <c r="K2468" s="164" t="s">
        <v>223</v>
      </c>
      <c r="L2468" s="165">
        <v>4</v>
      </c>
      <c r="M2468" s="165">
        <v>6</v>
      </c>
      <c r="N2468" s="164" t="s">
        <v>189</v>
      </c>
      <c r="O2468" s="165">
        <v>0</v>
      </c>
      <c r="P2468" s="165">
        <v>0</v>
      </c>
      <c r="Q2468" s="165">
        <v>21</v>
      </c>
      <c r="R2468" s="164" t="s">
        <v>200</v>
      </c>
      <c r="S2468" s="164" t="s">
        <v>201</v>
      </c>
      <c r="T2468" s="165">
        <v>462</v>
      </c>
      <c r="U2468" s="164" t="s">
        <v>200</v>
      </c>
      <c r="V2468" s="164" t="s">
        <v>202</v>
      </c>
      <c r="W2468" s="165">
        <v>2</v>
      </c>
      <c r="X2468" s="165">
        <v>4</v>
      </c>
      <c r="Y2468" s="164" t="s">
        <v>203</v>
      </c>
      <c r="Z2468" s="164" t="s">
        <v>195</v>
      </c>
      <c r="AA2468" s="164" t="s">
        <v>196</v>
      </c>
      <c r="AB2468" s="164" t="s">
        <v>187</v>
      </c>
      <c r="AC2468" s="164" t="s">
        <v>187</v>
      </c>
      <c r="AD2468" s="165">
        <v>22</v>
      </c>
      <c r="AE2468" s="164" t="s">
        <v>187</v>
      </c>
      <c r="AF2468" s="165">
        <v>33.577213802042401</v>
      </c>
      <c r="AG2468" s="166">
        <v>72.373927508544597</v>
      </c>
      <c r="AO2468" s="121"/>
      <c r="AT2468" s="111"/>
      <c r="AX2468" s="121"/>
    </row>
    <row r="2469" spans="1:50" s="110" customFormat="1" ht="20" customHeight="1">
      <c r="A2469" s="125" t="s">
        <v>231</v>
      </c>
      <c r="B2469" s="126" t="s">
        <v>66</v>
      </c>
      <c r="C2469" s="127">
        <v>17919</v>
      </c>
      <c r="D2469" s="163">
        <v>113401</v>
      </c>
      <c r="E2469" s="164" t="s">
        <v>1212</v>
      </c>
      <c r="F2469" s="164" t="s">
        <v>1212</v>
      </c>
      <c r="G2469" s="165">
        <v>1087000</v>
      </c>
      <c r="H2469" s="165">
        <v>1</v>
      </c>
      <c r="I2469" s="164" t="s">
        <v>187</v>
      </c>
      <c r="J2469" s="164" t="s">
        <v>222</v>
      </c>
      <c r="K2469" s="164" t="s">
        <v>223</v>
      </c>
      <c r="L2469" s="165">
        <v>4</v>
      </c>
      <c r="M2469" s="165">
        <v>6</v>
      </c>
      <c r="N2469" s="164" t="s">
        <v>189</v>
      </c>
      <c r="O2469" s="165">
        <v>0</v>
      </c>
      <c r="P2469" s="165">
        <v>0</v>
      </c>
      <c r="Q2469" s="165">
        <v>21</v>
      </c>
      <c r="R2469" s="164" t="s">
        <v>200</v>
      </c>
      <c r="S2469" s="164" t="s">
        <v>201</v>
      </c>
      <c r="T2469" s="165">
        <v>462</v>
      </c>
      <c r="U2469" s="164" t="s">
        <v>200</v>
      </c>
      <c r="V2469" s="164" t="s">
        <v>202</v>
      </c>
      <c r="W2469" s="165">
        <v>4</v>
      </c>
      <c r="X2469" s="165">
        <v>4</v>
      </c>
      <c r="Y2469" s="164" t="s">
        <v>203</v>
      </c>
      <c r="Z2469" s="164" t="s">
        <v>195</v>
      </c>
      <c r="AA2469" s="164" t="s">
        <v>196</v>
      </c>
      <c r="AB2469" s="164" t="s">
        <v>187</v>
      </c>
      <c r="AC2469" s="164" t="s">
        <v>187</v>
      </c>
      <c r="AD2469" s="165">
        <v>22</v>
      </c>
      <c r="AE2469" s="164" t="s">
        <v>187</v>
      </c>
      <c r="AF2469" s="165">
        <v>31.352371945496799</v>
      </c>
      <c r="AG2469" s="166">
        <v>73.249995771944896</v>
      </c>
      <c r="AO2469" s="121"/>
      <c r="AT2469" s="111"/>
      <c r="AX2469" s="121"/>
    </row>
    <row r="2470" spans="1:50" s="110" customFormat="1" ht="20" customHeight="1">
      <c r="A2470" s="125" t="s">
        <v>231</v>
      </c>
      <c r="B2470" s="126" t="s">
        <v>66</v>
      </c>
      <c r="C2470" s="127">
        <v>17620</v>
      </c>
      <c r="D2470" s="163">
        <v>113054</v>
      </c>
      <c r="E2470" s="164" t="s">
        <v>1127</v>
      </c>
      <c r="F2470" s="164" t="s">
        <v>1127</v>
      </c>
      <c r="G2470" s="165">
        <v>929000</v>
      </c>
      <c r="H2470" s="165">
        <v>1</v>
      </c>
      <c r="I2470" s="164" t="s">
        <v>187</v>
      </c>
      <c r="J2470" s="164" t="s">
        <v>222</v>
      </c>
      <c r="K2470" s="164" t="s">
        <v>223</v>
      </c>
      <c r="L2470" s="165">
        <v>4</v>
      </c>
      <c r="M2470" s="165">
        <v>6</v>
      </c>
      <c r="N2470" s="164" t="s">
        <v>189</v>
      </c>
      <c r="O2470" s="165">
        <v>0</v>
      </c>
      <c r="P2470" s="165">
        <v>0</v>
      </c>
      <c r="Q2470" s="165">
        <v>21</v>
      </c>
      <c r="R2470" s="164" t="s">
        <v>200</v>
      </c>
      <c r="S2470" s="164" t="s">
        <v>201</v>
      </c>
      <c r="T2470" s="165">
        <v>462</v>
      </c>
      <c r="U2470" s="164" t="s">
        <v>200</v>
      </c>
      <c r="V2470" s="164" t="s">
        <v>202</v>
      </c>
      <c r="W2470" s="165">
        <v>2</v>
      </c>
      <c r="X2470" s="165">
        <v>4</v>
      </c>
      <c r="Y2470" s="164" t="s">
        <v>203</v>
      </c>
      <c r="Z2470" s="164" t="s">
        <v>195</v>
      </c>
      <c r="AA2470" s="164" t="s">
        <v>196</v>
      </c>
      <c r="AB2470" s="164" t="s">
        <v>187</v>
      </c>
      <c r="AC2470" s="164" t="s">
        <v>187</v>
      </c>
      <c r="AD2470" s="165">
        <v>19</v>
      </c>
      <c r="AE2470" s="164" t="s">
        <v>187</v>
      </c>
      <c r="AF2470" s="165">
        <v>24.911427290751998</v>
      </c>
      <c r="AG2470" s="166">
        <v>67.073002286491302</v>
      </c>
      <c r="AO2470" s="121"/>
      <c r="AT2470" s="111"/>
      <c r="AX2470" s="121"/>
    </row>
    <row r="2471" spans="1:50" s="110" customFormat="1" ht="20" customHeight="1">
      <c r="A2471" s="125" t="s">
        <v>231</v>
      </c>
      <c r="B2471" s="126" t="s">
        <v>66</v>
      </c>
      <c r="C2471" s="127">
        <v>17581</v>
      </c>
      <c r="D2471" s="163">
        <v>113008</v>
      </c>
      <c r="E2471" s="164" t="s">
        <v>886</v>
      </c>
      <c r="F2471" s="164" t="s">
        <v>886</v>
      </c>
      <c r="G2471" s="165">
        <v>906000</v>
      </c>
      <c r="H2471" s="165">
        <v>1</v>
      </c>
      <c r="I2471" s="164" t="s">
        <v>187</v>
      </c>
      <c r="J2471" s="164" t="s">
        <v>222</v>
      </c>
      <c r="K2471" s="164" t="s">
        <v>223</v>
      </c>
      <c r="L2471" s="165">
        <v>4</v>
      </c>
      <c r="M2471" s="165">
        <v>6</v>
      </c>
      <c r="N2471" s="164" t="s">
        <v>189</v>
      </c>
      <c r="O2471" s="165">
        <v>0</v>
      </c>
      <c r="P2471" s="165">
        <v>0</v>
      </c>
      <c r="Q2471" s="165">
        <v>21</v>
      </c>
      <c r="R2471" s="164" t="s">
        <v>200</v>
      </c>
      <c r="S2471" s="164" t="s">
        <v>201</v>
      </c>
      <c r="T2471" s="165">
        <v>462</v>
      </c>
      <c r="U2471" s="164" t="s">
        <v>200</v>
      </c>
      <c r="V2471" s="164" t="s">
        <v>202</v>
      </c>
      <c r="W2471" s="165">
        <v>2</v>
      </c>
      <c r="X2471" s="165">
        <v>4</v>
      </c>
      <c r="Y2471" s="164" t="s">
        <v>203</v>
      </c>
      <c r="Z2471" s="164" t="s">
        <v>195</v>
      </c>
      <c r="AA2471" s="164" t="s">
        <v>196</v>
      </c>
      <c r="AB2471" s="164" t="s">
        <v>187</v>
      </c>
      <c r="AC2471" s="164" t="s">
        <v>187</v>
      </c>
      <c r="AD2471" s="165">
        <v>18</v>
      </c>
      <c r="AE2471" s="164" t="s">
        <v>187</v>
      </c>
      <c r="AF2471" s="165">
        <v>31.375066568363401</v>
      </c>
      <c r="AG2471" s="166">
        <v>74.382391372873499</v>
      </c>
      <c r="AO2471" s="121"/>
      <c r="AT2471" s="111"/>
      <c r="AX2471" s="121"/>
    </row>
    <row r="2472" spans="1:50" s="110" customFormat="1" ht="20" customHeight="1">
      <c r="A2472" s="125" t="s">
        <v>231</v>
      </c>
      <c r="B2472" s="126" t="s">
        <v>66</v>
      </c>
      <c r="C2472" s="127">
        <v>17177</v>
      </c>
      <c r="D2472" s="163">
        <v>112531</v>
      </c>
      <c r="E2472" s="164" t="s">
        <v>924</v>
      </c>
      <c r="F2472" s="164" t="s">
        <v>924</v>
      </c>
      <c r="G2472" s="165">
        <v>885000</v>
      </c>
      <c r="H2472" s="165">
        <v>1</v>
      </c>
      <c r="I2472" s="164" t="s">
        <v>187</v>
      </c>
      <c r="J2472" s="164" t="s">
        <v>222</v>
      </c>
      <c r="K2472" s="164" t="s">
        <v>223</v>
      </c>
      <c r="L2472" s="165">
        <v>4</v>
      </c>
      <c r="M2472" s="165">
        <v>6</v>
      </c>
      <c r="N2472" s="164" t="s">
        <v>189</v>
      </c>
      <c r="O2472" s="165">
        <v>0</v>
      </c>
      <c r="P2472" s="165">
        <v>0</v>
      </c>
      <c r="Q2472" s="165">
        <v>21</v>
      </c>
      <c r="R2472" s="164" t="s">
        <v>200</v>
      </c>
      <c r="S2472" s="164" t="s">
        <v>201</v>
      </c>
      <c r="T2472" s="165">
        <v>462</v>
      </c>
      <c r="U2472" s="164" t="s">
        <v>200</v>
      </c>
      <c r="V2472" s="164" t="s">
        <v>202</v>
      </c>
      <c r="W2472" s="165">
        <v>2</v>
      </c>
      <c r="X2472" s="165">
        <v>4</v>
      </c>
      <c r="Y2472" s="164" t="s">
        <v>203</v>
      </c>
      <c r="Z2472" s="164" t="s">
        <v>195</v>
      </c>
      <c r="AA2472" s="164" t="s">
        <v>196</v>
      </c>
      <c r="AB2472" s="164" t="s">
        <v>187</v>
      </c>
      <c r="AC2472" s="164" t="s">
        <v>187</v>
      </c>
      <c r="AD2472" s="165">
        <v>18</v>
      </c>
      <c r="AE2472" s="164" t="s">
        <v>187</v>
      </c>
      <c r="AF2472" s="165">
        <v>31.381814278844701</v>
      </c>
      <c r="AG2472" s="166">
        <v>74.374245216034794</v>
      </c>
      <c r="AO2472" s="121"/>
      <c r="AT2472" s="111"/>
      <c r="AX2472" s="121"/>
    </row>
    <row r="2473" spans="1:50" s="110" customFormat="1" ht="20" customHeight="1">
      <c r="A2473" s="125" t="s">
        <v>231</v>
      </c>
      <c r="B2473" s="126" t="s">
        <v>66</v>
      </c>
      <c r="C2473" s="127">
        <v>17572</v>
      </c>
      <c r="D2473" s="163">
        <v>112999</v>
      </c>
      <c r="E2473" s="164" t="s">
        <v>852</v>
      </c>
      <c r="F2473" s="164" t="s">
        <v>852</v>
      </c>
      <c r="G2473" s="165">
        <v>765000</v>
      </c>
      <c r="H2473" s="165">
        <v>1</v>
      </c>
      <c r="I2473" s="164" t="s">
        <v>187</v>
      </c>
      <c r="J2473" s="164" t="s">
        <v>222</v>
      </c>
      <c r="K2473" s="164" t="s">
        <v>223</v>
      </c>
      <c r="L2473" s="165">
        <v>4</v>
      </c>
      <c r="M2473" s="165">
        <v>6</v>
      </c>
      <c r="N2473" s="164" t="s">
        <v>189</v>
      </c>
      <c r="O2473" s="165">
        <v>0</v>
      </c>
      <c r="P2473" s="165">
        <v>0</v>
      </c>
      <c r="Q2473" s="165">
        <v>21</v>
      </c>
      <c r="R2473" s="164" t="s">
        <v>200</v>
      </c>
      <c r="S2473" s="164" t="s">
        <v>201</v>
      </c>
      <c r="T2473" s="165">
        <v>462</v>
      </c>
      <c r="U2473" s="164" t="s">
        <v>200</v>
      </c>
      <c r="V2473" s="164" t="s">
        <v>202</v>
      </c>
      <c r="W2473" s="165">
        <v>2</v>
      </c>
      <c r="X2473" s="165">
        <v>4</v>
      </c>
      <c r="Y2473" s="164" t="s">
        <v>203</v>
      </c>
      <c r="Z2473" s="164" t="s">
        <v>195</v>
      </c>
      <c r="AA2473" s="164" t="s">
        <v>196</v>
      </c>
      <c r="AB2473" s="164" t="s">
        <v>187</v>
      </c>
      <c r="AC2473" s="164" t="s">
        <v>187</v>
      </c>
      <c r="AD2473" s="165">
        <v>15</v>
      </c>
      <c r="AE2473" s="164" t="s">
        <v>187</v>
      </c>
      <c r="AF2473" s="165">
        <v>31.382324297171198</v>
      </c>
      <c r="AG2473" s="166">
        <v>74.381765185756706</v>
      </c>
      <c r="AO2473" s="121"/>
      <c r="AT2473" s="111"/>
      <c r="AX2473" s="121"/>
    </row>
    <row r="2474" spans="1:50" s="110" customFormat="1" ht="20" customHeight="1">
      <c r="A2474" s="125" t="s">
        <v>231</v>
      </c>
      <c r="B2474" s="126" t="s">
        <v>66</v>
      </c>
      <c r="C2474" s="127">
        <v>19428</v>
      </c>
      <c r="D2474" s="163">
        <v>115843</v>
      </c>
      <c r="E2474" s="164" t="s">
        <v>838</v>
      </c>
      <c r="F2474" s="164" t="s">
        <v>838</v>
      </c>
      <c r="G2474" s="165">
        <v>720000</v>
      </c>
      <c r="H2474" s="165">
        <v>1</v>
      </c>
      <c r="I2474" s="164" t="s">
        <v>187</v>
      </c>
      <c r="J2474" s="164" t="s">
        <v>501</v>
      </c>
      <c r="K2474" s="164" t="s">
        <v>502</v>
      </c>
      <c r="L2474" s="165">
        <v>3</v>
      </c>
      <c r="M2474" s="165">
        <v>6</v>
      </c>
      <c r="N2474" s="164" t="s">
        <v>189</v>
      </c>
      <c r="O2474" s="165">
        <v>0</v>
      </c>
      <c r="P2474" s="165">
        <v>0</v>
      </c>
      <c r="Q2474" s="165">
        <v>21</v>
      </c>
      <c r="R2474" s="164" t="s">
        <v>200</v>
      </c>
      <c r="S2474" s="164" t="s">
        <v>201</v>
      </c>
      <c r="T2474" s="165">
        <v>462</v>
      </c>
      <c r="U2474" s="164" t="s">
        <v>200</v>
      </c>
      <c r="V2474" s="164" t="s">
        <v>202</v>
      </c>
      <c r="W2474" s="165">
        <v>1</v>
      </c>
      <c r="X2474" s="165">
        <v>4</v>
      </c>
      <c r="Y2474" s="164" t="s">
        <v>203</v>
      </c>
      <c r="Z2474" s="164" t="s">
        <v>195</v>
      </c>
      <c r="AA2474" s="164" t="s">
        <v>196</v>
      </c>
      <c r="AB2474" s="164" t="s">
        <v>187</v>
      </c>
      <c r="AC2474" s="164" t="s">
        <v>187</v>
      </c>
      <c r="AD2474" s="165">
        <v>14</v>
      </c>
      <c r="AE2474" s="164" t="s">
        <v>187</v>
      </c>
      <c r="AF2474" s="165">
        <v>28.285060881300002</v>
      </c>
      <c r="AG2474" s="166">
        <v>68.106999530799996</v>
      </c>
      <c r="AO2474" s="121"/>
      <c r="AT2474" s="111"/>
      <c r="AX2474" s="121"/>
    </row>
    <row r="2475" spans="1:50" s="110" customFormat="1" ht="20" customHeight="1">
      <c r="A2475" s="125" t="s">
        <v>231</v>
      </c>
      <c r="B2475" s="126" t="s">
        <v>66</v>
      </c>
      <c r="C2475" s="127">
        <v>16717</v>
      </c>
      <c r="D2475" s="163">
        <v>111954</v>
      </c>
      <c r="E2475" s="164" t="s">
        <v>649</v>
      </c>
      <c r="F2475" s="164" t="s">
        <v>649</v>
      </c>
      <c r="G2475" s="165">
        <v>702000</v>
      </c>
      <c r="H2475" s="165">
        <v>1</v>
      </c>
      <c r="I2475" s="164" t="s">
        <v>187</v>
      </c>
      <c r="J2475" s="164" t="s">
        <v>650</v>
      </c>
      <c r="K2475" s="164" t="s">
        <v>651</v>
      </c>
      <c r="L2475" s="165">
        <v>3</v>
      </c>
      <c r="M2475" s="165">
        <v>6</v>
      </c>
      <c r="N2475" s="164" t="s">
        <v>189</v>
      </c>
      <c r="O2475" s="165">
        <v>0</v>
      </c>
      <c r="P2475" s="165">
        <v>0</v>
      </c>
      <c r="Q2475" s="165">
        <v>21</v>
      </c>
      <c r="R2475" s="164" t="s">
        <v>200</v>
      </c>
      <c r="S2475" s="164" t="s">
        <v>201</v>
      </c>
      <c r="T2475" s="165">
        <v>462</v>
      </c>
      <c r="U2475" s="164" t="s">
        <v>200</v>
      </c>
      <c r="V2475" s="164" t="s">
        <v>202</v>
      </c>
      <c r="W2475" s="165">
        <v>2</v>
      </c>
      <c r="X2475" s="165">
        <v>4</v>
      </c>
      <c r="Y2475" s="164" t="s">
        <v>203</v>
      </c>
      <c r="Z2475" s="164" t="s">
        <v>195</v>
      </c>
      <c r="AA2475" s="164" t="s">
        <v>196</v>
      </c>
      <c r="AB2475" s="164" t="s">
        <v>187</v>
      </c>
      <c r="AC2475" s="164" t="s">
        <v>187</v>
      </c>
      <c r="AD2475" s="165">
        <v>14</v>
      </c>
      <c r="AE2475" s="164" t="s">
        <v>187</v>
      </c>
      <c r="AF2475" s="165">
        <v>33.427528479049698</v>
      </c>
      <c r="AG2475" s="166">
        <v>73.227438650020204</v>
      </c>
      <c r="AO2475" s="121"/>
      <c r="AT2475" s="111"/>
      <c r="AX2475" s="121"/>
    </row>
    <row r="2476" spans="1:50" s="110" customFormat="1" ht="20" customHeight="1">
      <c r="A2476" s="125" t="s">
        <v>231</v>
      </c>
      <c r="B2476" s="126" t="s">
        <v>66</v>
      </c>
      <c r="C2476" s="127">
        <v>19466</v>
      </c>
      <c r="D2476" s="163">
        <v>115611</v>
      </c>
      <c r="E2476" s="164" t="s">
        <v>1421</v>
      </c>
      <c r="F2476" s="164" t="s">
        <v>1421</v>
      </c>
      <c r="G2476" s="165">
        <v>690000</v>
      </c>
      <c r="H2476" s="165">
        <v>1</v>
      </c>
      <c r="I2476" s="164" t="s">
        <v>187</v>
      </c>
      <c r="J2476" s="164" t="s">
        <v>650</v>
      </c>
      <c r="K2476" s="164" t="s">
        <v>651</v>
      </c>
      <c r="L2476" s="165">
        <v>3</v>
      </c>
      <c r="M2476" s="165">
        <v>6</v>
      </c>
      <c r="N2476" s="164" t="s">
        <v>189</v>
      </c>
      <c r="O2476" s="165">
        <v>0</v>
      </c>
      <c r="P2476" s="165">
        <v>0</v>
      </c>
      <c r="Q2476" s="165">
        <v>21</v>
      </c>
      <c r="R2476" s="164" t="s">
        <v>200</v>
      </c>
      <c r="S2476" s="164" t="s">
        <v>201</v>
      </c>
      <c r="T2476" s="165">
        <v>462</v>
      </c>
      <c r="U2476" s="164" t="s">
        <v>200</v>
      </c>
      <c r="V2476" s="164" t="s">
        <v>202</v>
      </c>
      <c r="W2476" s="165">
        <v>1</v>
      </c>
      <c r="X2476" s="165">
        <v>4</v>
      </c>
      <c r="Y2476" s="164" t="s">
        <v>203</v>
      </c>
      <c r="Z2476" s="164" t="s">
        <v>195</v>
      </c>
      <c r="AA2476" s="164" t="s">
        <v>196</v>
      </c>
      <c r="AB2476" s="164" t="s">
        <v>187</v>
      </c>
      <c r="AC2476" s="164" t="s">
        <v>187</v>
      </c>
      <c r="AD2476" s="165">
        <v>14</v>
      </c>
      <c r="AE2476" s="164" t="s">
        <v>187</v>
      </c>
      <c r="AF2476" s="165">
        <v>34.671901179674798</v>
      </c>
      <c r="AG2476" s="166">
        <v>73.366304057412904</v>
      </c>
      <c r="AO2476" s="121"/>
      <c r="AT2476" s="111"/>
      <c r="AX2476" s="121"/>
    </row>
    <row r="2477" spans="1:50" s="110" customFormat="1" ht="20" customHeight="1">
      <c r="A2477" s="125" t="s">
        <v>231</v>
      </c>
      <c r="B2477" s="126" t="s">
        <v>66</v>
      </c>
      <c r="C2477" s="127">
        <v>18136</v>
      </c>
      <c r="D2477" s="163">
        <v>113643</v>
      </c>
      <c r="E2477" s="164" t="s">
        <v>1380</v>
      </c>
      <c r="F2477" s="164" t="s">
        <v>1380</v>
      </c>
      <c r="G2477" s="165">
        <v>577000</v>
      </c>
      <c r="H2477" s="165">
        <v>1</v>
      </c>
      <c r="I2477" s="164" t="s">
        <v>187</v>
      </c>
      <c r="J2477" s="164" t="s">
        <v>219</v>
      </c>
      <c r="K2477" s="164" t="s">
        <v>220</v>
      </c>
      <c r="L2477" s="165">
        <v>5</v>
      </c>
      <c r="M2477" s="165">
        <v>6</v>
      </c>
      <c r="N2477" s="164" t="s">
        <v>189</v>
      </c>
      <c r="O2477" s="165">
        <v>0</v>
      </c>
      <c r="P2477" s="165">
        <v>0</v>
      </c>
      <c r="Q2477" s="165">
        <v>21</v>
      </c>
      <c r="R2477" s="164" t="s">
        <v>200</v>
      </c>
      <c r="S2477" s="164" t="s">
        <v>201</v>
      </c>
      <c r="T2477" s="165">
        <v>462</v>
      </c>
      <c r="U2477" s="164" t="s">
        <v>200</v>
      </c>
      <c r="V2477" s="164" t="s">
        <v>202</v>
      </c>
      <c r="W2477" s="165">
        <v>2</v>
      </c>
      <c r="X2477" s="165">
        <v>4</v>
      </c>
      <c r="Y2477" s="164" t="s">
        <v>203</v>
      </c>
      <c r="Z2477" s="164" t="s">
        <v>195</v>
      </c>
      <c r="AA2477" s="164" t="s">
        <v>196</v>
      </c>
      <c r="AB2477" s="164" t="s">
        <v>187</v>
      </c>
      <c r="AC2477" s="164" t="s">
        <v>187</v>
      </c>
      <c r="AD2477" s="165">
        <v>12</v>
      </c>
      <c r="AE2477" s="164" t="s">
        <v>187</v>
      </c>
      <c r="AF2477" s="165">
        <v>27.606086761900698</v>
      </c>
      <c r="AG2477" s="166">
        <v>67.805103556093101</v>
      </c>
      <c r="AO2477" s="121"/>
      <c r="AT2477" s="111"/>
      <c r="AX2477" s="121"/>
    </row>
    <row r="2478" spans="1:50" s="110" customFormat="1" ht="20" customHeight="1">
      <c r="A2478" s="125" t="s">
        <v>231</v>
      </c>
      <c r="B2478" s="126" t="s">
        <v>66</v>
      </c>
      <c r="C2478" s="127">
        <v>17485</v>
      </c>
      <c r="D2478" s="163">
        <v>112898</v>
      </c>
      <c r="E2478" s="164" t="s">
        <v>425</v>
      </c>
      <c r="F2478" s="164" t="s">
        <v>425</v>
      </c>
      <c r="G2478" s="165">
        <v>569000</v>
      </c>
      <c r="H2478" s="165">
        <v>1</v>
      </c>
      <c r="I2478" s="164" t="s">
        <v>187</v>
      </c>
      <c r="J2478" s="164" t="s">
        <v>222</v>
      </c>
      <c r="K2478" s="164" t="s">
        <v>223</v>
      </c>
      <c r="L2478" s="165">
        <v>4</v>
      </c>
      <c r="M2478" s="165">
        <v>6</v>
      </c>
      <c r="N2478" s="164" t="s">
        <v>189</v>
      </c>
      <c r="O2478" s="165">
        <v>0</v>
      </c>
      <c r="P2478" s="165">
        <v>0</v>
      </c>
      <c r="Q2478" s="165">
        <v>21</v>
      </c>
      <c r="R2478" s="164" t="s">
        <v>200</v>
      </c>
      <c r="S2478" s="164" t="s">
        <v>201</v>
      </c>
      <c r="T2478" s="165">
        <v>462</v>
      </c>
      <c r="U2478" s="164" t="s">
        <v>200</v>
      </c>
      <c r="V2478" s="164" t="s">
        <v>202</v>
      </c>
      <c r="W2478" s="165">
        <v>2</v>
      </c>
      <c r="X2478" s="165">
        <v>4</v>
      </c>
      <c r="Y2478" s="164" t="s">
        <v>203</v>
      </c>
      <c r="Z2478" s="164" t="s">
        <v>195</v>
      </c>
      <c r="AA2478" s="164" t="s">
        <v>196</v>
      </c>
      <c r="AB2478" s="164" t="s">
        <v>187</v>
      </c>
      <c r="AC2478" s="164" t="s">
        <v>187</v>
      </c>
      <c r="AD2478" s="165">
        <v>11</v>
      </c>
      <c r="AE2478" s="164" t="s">
        <v>187</v>
      </c>
      <c r="AF2478" s="165">
        <v>32.404550221373398</v>
      </c>
      <c r="AG2478" s="166">
        <v>74.637597956642296</v>
      </c>
      <c r="AO2478" s="121"/>
      <c r="AT2478" s="111"/>
      <c r="AX2478" s="121"/>
    </row>
    <row r="2479" spans="1:50" s="110" customFormat="1" ht="20" customHeight="1">
      <c r="A2479" s="125" t="s">
        <v>231</v>
      </c>
      <c r="B2479" s="126" t="s">
        <v>66</v>
      </c>
      <c r="C2479" s="127">
        <v>17503</v>
      </c>
      <c r="D2479" s="163">
        <v>112919</v>
      </c>
      <c r="E2479" s="164" t="s">
        <v>581</v>
      </c>
      <c r="F2479" s="164" t="s">
        <v>581</v>
      </c>
      <c r="G2479" s="165">
        <v>470000</v>
      </c>
      <c r="H2479" s="165">
        <v>1</v>
      </c>
      <c r="I2479" s="164" t="s">
        <v>187</v>
      </c>
      <c r="J2479" s="164" t="s">
        <v>222</v>
      </c>
      <c r="K2479" s="164" t="s">
        <v>223</v>
      </c>
      <c r="L2479" s="165">
        <v>4</v>
      </c>
      <c r="M2479" s="165">
        <v>6</v>
      </c>
      <c r="N2479" s="164" t="s">
        <v>189</v>
      </c>
      <c r="O2479" s="165">
        <v>0</v>
      </c>
      <c r="P2479" s="165">
        <v>0</v>
      </c>
      <c r="Q2479" s="165">
        <v>21</v>
      </c>
      <c r="R2479" s="164" t="s">
        <v>200</v>
      </c>
      <c r="S2479" s="164" t="s">
        <v>201</v>
      </c>
      <c r="T2479" s="165">
        <v>462</v>
      </c>
      <c r="U2479" s="164" t="s">
        <v>200</v>
      </c>
      <c r="V2479" s="164" t="s">
        <v>202</v>
      </c>
      <c r="W2479" s="165">
        <v>2</v>
      </c>
      <c r="X2479" s="165">
        <v>4</v>
      </c>
      <c r="Y2479" s="164" t="s">
        <v>203</v>
      </c>
      <c r="Z2479" s="164" t="s">
        <v>195</v>
      </c>
      <c r="AA2479" s="164" t="s">
        <v>196</v>
      </c>
      <c r="AB2479" s="164" t="s">
        <v>187</v>
      </c>
      <c r="AC2479" s="164" t="s">
        <v>187</v>
      </c>
      <c r="AD2479" s="165">
        <v>9</v>
      </c>
      <c r="AE2479" s="164" t="s">
        <v>187</v>
      </c>
      <c r="AF2479" s="165">
        <v>31.376880088384901</v>
      </c>
      <c r="AG2479" s="166">
        <v>74.380165352890202</v>
      </c>
      <c r="AO2479" s="121"/>
      <c r="AT2479" s="111"/>
      <c r="AX2479" s="121"/>
    </row>
    <row r="2480" spans="1:50" s="110" customFormat="1" ht="20" customHeight="1">
      <c r="A2480" s="125" t="s">
        <v>231</v>
      </c>
      <c r="B2480" s="126" t="s">
        <v>66</v>
      </c>
      <c r="C2480" s="127">
        <v>17624</v>
      </c>
      <c r="D2480" s="163">
        <v>113059</v>
      </c>
      <c r="E2480" s="164" t="s">
        <v>1088</v>
      </c>
      <c r="F2480" s="164" t="s">
        <v>1088</v>
      </c>
      <c r="G2480" s="165">
        <v>422000</v>
      </c>
      <c r="H2480" s="165">
        <v>1</v>
      </c>
      <c r="I2480" s="164" t="s">
        <v>187</v>
      </c>
      <c r="J2480" s="164" t="s">
        <v>222</v>
      </c>
      <c r="K2480" s="164" t="s">
        <v>223</v>
      </c>
      <c r="L2480" s="165">
        <v>4</v>
      </c>
      <c r="M2480" s="165">
        <v>6</v>
      </c>
      <c r="N2480" s="164" t="s">
        <v>189</v>
      </c>
      <c r="O2480" s="165">
        <v>0</v>
      </c>
      <c r="P2480" s="165">
        <v>0</v>
      </c>
      <c r="Q2480" s="165">
        <v>21</v>
      </c>
      <c r="R2480" s="164" t="s">
        <v>200</v>
      </c>
      <c r="S2480" s="164" t="s">
        <v>201</v>
      </c>
      <c r="T2480" s="165">
        <v>462</v>
      </c>
      <c r="U2480" s="164" t="s">
        <v>200</v>
      </c>
      <c r="V2480" s="164" t="s">
        <v>202</v>
      </c>
      <c r="W2480" s="165">
        <v>3</v>
      </c>
      <c r="X2480" s="165">
        <v>4</v>
      </c>
      <c r="Y2480" s="164" t="s">
        <v>203</v>
      </c>
      <c r="Z2480" s="164" t="s">
        <v>195</v>
      </c>
      <c r="AA2480" s="164" t="s">
        <v>196</v>
      </c>
      <c r="AB2480" s="164" t="s">
        <v>187</v>
      </c>
      <c r="AC2480" s="164" t="s">
        <v>187</v>
      </c>
      <c r="AD2480" s="165">
        <v>8</v>
      </c>
      <c r="AE2480" s="164" t="s">
        <v>187</v>
      </c>
      <c r="AF2480" s="165">
        <v>30.076830182477099</v>
      </c>
      <c r="AG2480" s="166">
        <v>71.015592308083697</v>
      </c>
      <c r="AO2480" s="121"/>
      <c r="AT2480" s="111"/>
      <c r="AX2480" s="121"/>
    </row>
    <row r="2481" spans="1:50" s="110" customFormat="1" ht="20" customHeight="1">
      <c r="A2481" s="125" t="s">
        <v>231</v>
      </c>
      <c r="B2481" s="126" t="s">
        <v>66</v>
      </c>
      <c r="C2481" s="127">
        <v>17513</v>
      </c>
      <c r="D2481" s="163">
        <v>112930</v>
      </c>
      <c r="E2481" s="164" t="s">
        <v>613</v>
      </c>
      <c r="F2481" s="164" t="s">
        <v>613</v>
      </c>
      <c r="G2481" s="165">
        <v>405000</v>
      </c>
      <c r="H2481" s="165">
        <v>1</v>
      </c>
      <c r="I2481" s="164" t="s">
        <v>187</v>
      </c>
      <c r="J2481" s="164" t="s">
        <v>222</v>
      </c>
      <c r="K2481" s="164" t="s">
        <v>223</v>
      </c>
      <c r="L2481" s="165">
        <v>4</v>
      </c>
      <c r="M2481" s="165">
        <v>6</v>
      </c>
      <c r="N2481" s="164" t="s">
        <v>189</v>
      </c>
      <c r="O2481" s="165">
        <v>0</v>
      </c>
      <c r="P2481" s="165">
        <v>0</v>
      </c>
      <c r="Q2481" s="165">
        <v>21</v>
      </c>
      <c r="R2481" s="164" t="s">
        <v>200</v>
      </c>
      <c r="S2481" s="164" t="s">
        <v>201</v>
      </c>
      <c r="T2481" s="165">
        <v>462</v>
      </c>
      <c r="U2481" s="164" t="s">
        <v>200</v>
      </c>
      <c r="V2481" s="164" t="s">
        <v>202</v>
      </c>
      <c r="W2481" s="165">
        <v>4</v>
      </c>
      <c r="X2481" s="165">
        <v>4</v>
      </c>
      <c r="Y2481" s="164" t="s">
        <v>203</v>
      </c>
      <c r="Z2481" s="164" t="s">
        <v>195</v>
      </c>
      <c r="AA2481" s="164" t="s">
        <v>196</v>
      </c>
      <c r="AB2481" s="164" t="s">
        <v>187</v>
      </c>
      <c r="AC2481" s="164" t="s">
        <v>187</v>
      </c>
      <c r="AD2481" s="165">
        <v>8</v>
      </c>
      <c r="AE2481" s="164" t="s">
        <v>187</v>
      </c>
      <c r="AF2481" s="165">
        <v>33.426819267612998</v>
      </c>
      <c r="AG2481" s="166">
        <v>73.222106686520107</v>
      </c>
      <c r="AO2481" s="121"/>
      <c r="AT2481" s="111"/>
      <c r="AX2481" s="121"/>
    </row>
    <row r="2482" spans="1:50" s="110" customFormat="1" ht="20" customHeight="1">
      <c r="A2482" s="125" t="s">
        <v>231</v>
      </c>
      <c r="B2482" s="126" t="s">
        <v>66</v>
      </c>
      <c r="C2482" s="127">
        <v>19462</v>
      </c>
      <c r="D2482" s="163">
        <v>115605</v>
      </c>
      <c r="E2482" s="164" t="s">
        <v>1379</v>
      </c>
      <c r="F2482" s="164" t="s">
        <v>1379</v>
      </c>
      <c r="G2482" s="165">
        <v>393000</v>
      </c>
      <c r="H2482" s="165">
        <v>1</v>
      </c>
      <c r="I2482" s="164" t="s">
        <v>187</v>
      </c>
      <c r="J2482" s="164" t="s">
        <v>219</v>
      </c>
      <c r="K2482" s="164" t="s">
        <v>220</v>
      </c>
      <c r="L2482" s="165">
        <v>5</v>
      </c>
      <c r="M2482" s="165">
        <v>6</v>
      </c>
      <c r="N2482" s="164" t="s">
        <v>189</v>
      </c>
      <c r="O2482" s="165">
        <v>0</v>
      </c>
      <c r="P2482" s="165">
        <v>0</v>
      </c>
      <c r="Q2482" s="165">
        <v>21</v>
      </c>
      <c r="R2482" s="164" t="s">
        <v>200</v>
      </c>
      <c r="S2482" s="164" t="s">
        <v>201</v>
      </c>
      <c r="T2482" s="165">
        <v>462</v>
      </c>
      <c r="U2482" s="164" t="s">
        <v>200</v>
      </c>
      <c r="V2482" s="164" t="s">
        <v>202</v>
      </c>
      <c r="W2482" s="165">
        <v>1</v>
      </c>
      <c r="X2482" s="165">
        <v>4</v>
      </c>
      <c r="Y2482" s="164" t="s">
        <v>203</v>
      </c>
      <c r="Z2482" s="164" t="s">
        <v>195</v>
      </c>
      <c r="AA2482" s="164" t="s">
        <v>196</v>
      </c>
      <c r="AB2482" s="164" t="s">
        <v>187</v>
      </c>
      <c r="AC2482" s="164" t="s">
        <v>187</v>
      </c>
      <c r="AD2482" s="165">
        <v>8</v>
      </c>
      <c r="AE2482" s="164" t="s">
        <v>187</v>
      </c>
      <c r="AF2482" s="165">
        <v>25.496518155420301</v>
      </c>
      <c r="AG2482" s="166">
        <v>68.514441955058402</v>
      </c>
      <c r="AO2482" s="121"/>
      <c r="AT2482" s="111"/>
      <c r="AX2482" s="121"/>
    </row>
    <row r="2483" spans="1:50" s="110" customFormat="1" ht="20" customHeight="1">
      <c r="A2483" s="125" t="s">
        <v>231</v>
      </c>
      <c r="B2483" s="126" t="s">
        <v>66</v>
      </c>
      <c r="C2483" s="127">
        <v>16585</v>
      </c>
      <c r="D2483" s="163">
        <v>111780</v>
      </c>
      <c r="E2483" s="164" t="s">
        <v>579</v>
      </c>
      <c r="F2483" s="164" t="s">
        <v>579</v>
      </c>
      <c r="G2483" s="165">
        <v>351000</v>
      </c>
      <c r="H2483" s="165">
        <v>1</v>
      </c>
      <c r="I2483" s="164" t="s">
        <v>187</v>
      </c>
      <c r="J2483" s="164" t="s">
        <v>222</v>
      </c>
      <c r="K2483" s="164" t="s">
        <v>223</v>
      </c>
      <c r="L2483" s="165">
        <v>4</v>
      </c>
      <c r="M2483" s="165">
        <v>6</v>
      </c>
      <c r="N2483" s="164" t="s">
        <v>189</v>
      </c>
      <c r="O2483" s="165">
        <v>0</v>
      </c>
      <c r="P2483" s="165">
        <v>0</v>
      </c>
      <c r="Q2483" s="165">
        <v>21</v>
      </c>
      <c r="R2483" s="164" t="s">
        <v>200</v>
      </c>
      <c r="S2483" s="164" t="s">
        <v>201</v>
      </c>
      <c r="T2483" s="165">
        <v>462</v>
      </c>
      <c r="U2483" s="164" t="s">
        <v>200</v>
      </c>
      <c r="V2483" s="164" t="s">
        <v>202</v>
      </c>
      <c r="W2483" s="165">
        <v>3</v>
      </c>
      <c r="X2483" s="165">
        <v>4</v>
      </c>
      <c r="Y2483" s="164" t="s">
        <v>203</v>
      </c>
      <c r="Z2483" s="164" t="s">
        <v>195</v>
      </c>
      <c r="AA2483" s="164" t="s">
        <v>196</v>
      </c>
      <c r="AB2483" s="164" t="s">
        <v>187</v>
      </c>
      <c r="AC2483" s="164" t="s">
        <v>187</v>
      </c>
      <c r="AD2483" s="165">
        <v>7</v>
      </c>
      <c r="AE2483" s="164" t="s">
        <v>187</v>
      </c>
      <c r="AF2483" s="165">
        <v>31.381061614155499</v>
      </c>
      <c r="AG2483" s="166">
        <v>74.375064583128193</v>
      </c>
      <c r="AO2483" s="121"/>
      <c r="AT2483" s="111"/>
      <c r="AX2483" s="121"/>
    </row>
    <row r="2484" spans="1:50" s="110" customFormat="1" ht="20" customHeight="1">
      <c r="A2484" s="125" t="s">
        <v>231</v>
      </c>
      <c r="B2484" s="126" t="s">
        <v>66</v>
      </c>
      <c r="C2484" s="127">
        <v>17684</v>
      </c>
      <c r="D2484" s="163">
        <v>113129</v>
      </c>
      <c r="E2484" s="164" t="s">
        <v>1385</v>
      </c>
      <c r="F2484" s="164" t="s">
        <v>1385</v>
      </c>
      <c r="G2484" s="165">
        <v>346000</v>
      </c>
      <c r="H2484" s="165">
        <v>1</v>
      </c>
      <c r="I2484" s="164" t="s">
        <v>187</v>
      </c>
      <c r="J2484" s="164" t="s">
        <v>222</v>
      </c>
      <c r="K2484" s="164" t="s">
        <v>223</v>
      </c>
      <c r="L2484" s="165">
        <v>4</v>
      </c>
      <c r="M2484" s="165">
        <v>6</v>
      </c>
      <c r="N2484" s="164" t="s">
        <v>189</v>
      </c>
      <c r="O2484" s="165">
        <v>0</v>
      </c>
      <c r="P2484" s="165">
        <v>0</v>
      </c>
      <c r="Q2484" s="165">
        <v>21</v>
      </c>
      <c r="R2484" s="164" t="s">
        <v>200</v>
      </c>
      <c r="S2484" s="164" t="s">
        <v>201</v>
      </c>
      <c r="T2484" s="165">
        <v>462</v>
      </c>
      <c r="U2484" s="164" t="s">
        <v>200</v>
      </c>
      <c r="V2484" s="164" t="s">
        <v>202</v>
      </c>
      <c r="W2484" s="165">
        <v>2</v>
      </c>
      <c r="X2484" s="165">
        <v>4</v>
      </c>
      <c r="Y2484" s="164" t="s">
        <v>203</v>
      </c>
      <c r="Z2484" s="164" t="s">
        <v>195</v>
      </c>
      <c r="AA2484" s="164" t="s">
        <v>196</v>
      </c>
      <c r="AB2484" s="164" t="s">
        <v>187</v>
      </c>
      <c r="AC2484" s="164" t="s">
        <v>187</v>
      </c>
      <c r="AD2484" s="165">
        <v>7</v>
      </c>
      <c r="AE2484" s="164" t="s">
        <v>187</v>
      </c>
      <c r="AF2484" s="165">
        <v>31.377862010112601</v>
      </c>
      <c r="AG2484" s="166">
        <v>74.375592472953102</v>
      </c>
      <c r="AO2484" s="121"/>
      <c r="AT2484" s="111"/>
      <c r="AX2484" s="121"/>
    </row>
    <row r="2485" spans="1:50" s="110" customFormat="1" ht="20" customHeight="1">
      <c r="A2485" s="125" t="s">
        <v>231</v>
      </c>
      <c r="B2485" s="126" t="s">
        <v>66</v>
      </c>
      <c r="C2485" s="127">
        <v>17409</v>
      </c>
      <c r="D2485" s="163">
        <v>112809</v>
      </c>
      <c r="E2485" s="164" t="s">
        <v>1043</v>
      </c>
      <c r="F2485" s="164" t="s">
        <v>1043</v>
      </c>
      <c r="G2485" s="165">
        <v>290000</v>
      </c>
      <c r="H2485" s="165">
        <v>1</v>
      </c>
      <c r="I2485" s="164" t="s">
        <v>187</v>
      </c>
      <c r="J2485" s="164" t="s">
        <v>222</v>
      </c>
      <c r="K2485" s="164" t="s">
        <v>223</v>
      </c>
      <c r="L2485" s="165">
        <v>4</v>
      </c>
      <c r="M2485" s="165">
        <v>6</v>
      </c>
      <c r="N2485" s="164" t="s">
        <v>189</v>
      </c>
      <c r="O2485" s="165">
        <v>0</v>
      </c>
      <c r="P2485" s="165">
        <v>0</v>
      </c>
      <c r="Q2485" s="165">
        <v>21</v>
      </c>
      <c r="R2485" s="164" t="s">
        <v>200</v>
      </c>
      <c r="S2485" s="164" t="s">
        <v>201</v>
      </c>
      <c r="T2485" s="165">
        <v>462</v>
      </c>
      <c r="U2485" s="164" t="s">
        <v>200</v>
      </c>
      <c r="V2485" s="164" t="s">
        <v>202</v>
      </c>
      <c r="W2485" s="165">
        <v>1</v>
      </c>
      <c r="X2485" s="165">
        <v>4</v>
      </c>
      <c r="Y2485" s="164" t="s">
        <v>203</v>
      </c>
      <c r="Z2485" s="164" t="s">
        <v>195</v>
      </c>
      <c r="AA2485" s="164" t="s">
        <v>196</v>
      </c>
      <c r="AB2485" s="164" t="s">
        <v>187</v>
      </c>
      <c r="AC2485" s="164" t="s">
        <v>187</v>
      </c>
      <c r="AD2485" s="165">
        <v>6</v>
      </c>
      <c r="AE2485" s="164" t="s">
        <v>187</v>
      </c>
      <c r="AF2485" s="165">
        <v>31.376072757565701</v>
      </c>
      <c r="AG2485" s="166">
        <v>74.374537747455605</v>
      </c>
      <c r="AO2485" s="121"/>
      <c r="AT2485" s="111"/>
      <c r="AX2485" s="121"/>
    </row>
    <row r="2486" spans="1:50" s="110" customFormat="1" ht="20" customHeight="1">
      <c r="A2486" s="125" t="s">
        <v>231</v>
      </c>
      <c r="B2486" s="126" t="s">
        <v>66</v>
      </c>
      <c r="C2486" s="127">
        <v>17702</v>
      </c>
      <c r="D2486" s="163">
        <v>113149</v>
      </c>
      <c r="E2486" s="164" t="s">
        <v>1485</v>
      </c>
      <c r="F2486" s="164" t="s">
        <v>1485</v>
      </c>
      <c r="G2486" s="165">
        <v>262000</v>
      </c>
      <c r="H2486" s="165">
        <v>1</v>
      </c>
      <c r="I2486" s="164" t="s">
        <v>187</v>
      </c>
      <c r="J2486" s="164" t="s">
        <v>222</v>
      </c>
      <c r="K2486" s="164" t="s">
        <v>223</v>
      </c>
      <c r="L2486" s="165">
        <v>4</v>
      </c>
      <c r="M2486" s="165">
        <v>6</v>
      </c>
      <c r="N2486" s="164" t="s">
        <v>189</v>
      </c>
      <c r="O2486" s="165">
        <v>0</v>
      </c>
      <c r="P2486" s="165">
        <v>0</v>
      </c>
      <c r="Q2486" s="165">
        <v>21</v>
      </c>
      <c r="R2486" s="164" t="s">
        <v>200</v>
      </c>
      <c r="S2486" s="164" t="s">
        <v>201</v>
      </c>
      <c r="T2486" s="165">
        <v>462</v>
      </c>
      <c r="U2486" s="164" t="s">
        <v>200</v>
      </c>
      <c r="V2486" s="164" t="s">
        <v>202</v>
      </c>
      <c r="W2486" s="165">
        <v>2</v>
      </c>
      <c r="X2486" s="165">
        <v>4</v>
      </c>
      <c r="Y2486" s="164" t="s">
        <v>203</v>
      </c>
      <c r="Z2486" s="164" t="s">
        <v>195</v>
      </c>
      <c r="AA2486" s="164" t="s">
        <v>196</v>
      </c>
      <c r="AB2486" s="164" t="s">
        <v>187</v>
      </c>
      <c r="AC2486" s="164" t="s">
        <v>187</v>
      </c>
      <c r="AD2486" s="165">
        <v>5</v>
      </c>
      <c r="AE2486" s="164" t="s">
        <v>187</v>
      </c>
      <c r="AF2486" s="165">
        <v>32.097175919083497</v>
      </c>
      <c r="AG2486" s="166">
        <v>74.225215116584593</v>
      </c>
      <c r="AO2486" s="121"/>
      <c r="AT2486" s="111"/>
      <c r="AX2486" s="121"/>
    </row>
    <row r="2487" spans="1:50" s="110" customFormat="1" ht="20" customHeight="1">
      <c r="A2487" s="125" t="s">
        <v>231</v>
      </c>
      <c r="B2487" s="126" t="s">
        <v>66</v>
      </c>
      <c r="C2487" s="127">
        <v>16240</v>
      </c>
      <c r="D2487" s="163">
        <v>111361</v>
      </c>
      <c r="E2487" s="164" t="s">
        <v>295</v>
      </c>
      <c r="F2487" s="164" t="s">
        <v>295</v>
      </c>
      <c r="G2487" s="165">
        <v>246000</v>
      </c>
      <c r="H2487" s="165">
        <v>1</v>
      </c>
      <c r="I2487" s="164" t="s">
        <v>187</v>
      </c>
      <c r="J2487" s="164" t="s">
        <v>222</v>
      </c>
      <c r="K2487" s="164" t="s">
        <v>223</v>
      </c>
      <c r="L2487" s="165">
        <v>4</v>
      </c>
      <c r="M2487" s="165">
        <v>6</v>
      </c>
      <c r="N2487" s="164" t="s">
        <v>189</v>
      </c>
      <c r="O2487" s="165">
        <v>0</v>
      </c>
      <c r="P2487" s="165">
        <v>0</v>
      </c>
      <c r="Q2487" s="165">
        <v>21</v>
      </c>
      <c r="R2487" s="164" t="s">
        <v>200</v>
      </c>
      <c r="S2487" s="164" t="s">
        <v>201</v>
      </c>
      <c r="T2487" s="165">
        <v>462</v>
      </c>
      <c r="U2487" s="164" t="s">
        <v>200</v>
      </c>
      <c r="V2487" s="164" t="s">
        <v>202</v>
      </c>
      <c r="W2487" s="165">
        <v>2</v>
      </c>
      <c r="X2487" s="165">
        <v>4</v>
      </c>
      <c r="Y2487" s="164" t="s">
        <v>203</v>
      </c>
      <c r="Z2487" s="164" t="s">
        <v>195</v>
      </c>
      <c r="AA2487" s="164" t="s">
        <v>196</v>
      </c>
      <c r="AB2487" s="164" t="s">
        <v>187</v>
      </c>
      <c r="AC2487" s="164" t="s">
        <v>187</v>
      </c>
      <c r="AD2487" s="165">
        <v>5</v>
      </c>
      <c r="AE2487" s="164" t="s">
        <v>187</v>
      </c>
      <c r="AF2487" s="165">
        <v>32.095882978101898</v>
      </c>
      <c r="AG2487" s="166">
        <v>74.228016935424407</v>
      </c>
      <c r="AO2487" s="121"/>
      <c r="AT2487" s="111"/>
      <c r="AX2487" s="121"/>
    </row>
    <row r="2488" spans="1:50" s="110" customFormat="1" ht="20" customHeight="1">
      <c r="A2488" s="125" t="s">
        <v>231</v>
      </c>
      <c r="B2488" s="126" t="s">
        <v>66</v>
      </c>
      <c r="C2488" s="127">
        <v>20031</v>
      </c>
      <c r="D2488" s="163">
        <v>101787</v>
      </c>
      <c r="E2488" s="164" t="s">
        <v>565</v>
      </c>
      <c r="F2488" s="164" t="s">
        <v>565</v>
      </c>
      <c r="G2488" s="165">
        <v>244000</v>
      </c>
      <c r="H2488" s="165">
        <v>1</v>
      </c>
      <c r="I2488" s="164" t="s">
        <v>187</v>
      </c>
      <c r="J2488" s="164" t="s">
        <v>566</v>
      </c>
      <c r="K2488" s="164" t="s">
        <v>567</v>
      </c>
      <c r="L2488" s="165">
        <v>0</v>
      </c>
      <c r="M2488" s="165">
        <v>6</v>
      </c>
      <c r="N2488" s="164" t="s">
        <v>189</v>
      </c>
      <c r="O2488" s="165">
        <v>0</v>
      </c>
      <c r="P2488" s="165">
        <v>0</v>
      </c>
      <c r="Q2488" s="165">
        <v>21</v>
      </c>
      <c r="R2488" s="164" t="s">
        <v>200</v>
      </c>
      <c r="S2488" s="164" t="s">
        <v>201</v>
      </c>
      <c r="T2488" s="165">
        <v>462</v>
      </c>
      <c r="U2488" s="164" t="s">
        <v>200</v>
      </c>
      <c r="V2488" s="164" t="s">
        <v>202</v>
      </c>
      <c r="W2488" s="165">
        <v>1</v>
      </c>
      <c r="X2488" s="165">
        <v>4</v>
      </c>
      <c r="Y2488" s="164" t="s">
        <v>203</v>
      </c>
      <c r="Z2488" s="164" t="s">
        <v>195</v>
      </c>
      <c r="AA2488" s="164" t="s">
        <v>196</v>
      </c>
      <c r="AB2488" s="164" t="s">
        <v>187</v>
      </c>
      <c r="AC2488" s="164" t="s">
        <v>187</v>
      </c>
      <c r="AD2488" s="165">
        <v>5</v>
      </c>
      <c r="AE2488" s="164" t="s">
        <v>187</v>
      </c>
      <c r="AF2488" s="165">
        <v>36.435815321275101</v>
      </c>
      <c r="AG2488" s="166">
        <v>74.613342632753699</v>
      </c>
      <c r="AO2488" s="121"/>
      <c r="AT2488" s="111"/>
      <c r="AX2488" s="121"/>
    </row>
    <row r="2489" spans="1:50" s="110" customFormat="1" ht="20" customHeight="1">
      <c r="A2489" s="125" t="s">
        <v>231</v>
      </c>
      <c r="B2489" s="126" t="s">
        <v>66</v>
      </c>
      <c r="C2489" s="127">
        <v>16284</v>
      </c>
      <c r="D2489" s="163">
        <v>111409</v>
      </c>
      <c r="E2489" s="164" t="s">
        <v>319</v>
      </c>
      <c r="F2489" s="164" t="s">
        <v>319</v>
      </c>
      <c r="G2489" s="165">
        <v>233000</v>
      </c>
      <c r="H2489" s="165">
        <v>1</v>
      </c>
      <c r="I2489" s="164" t="s">
        <v>187</v>
      </c>
      <c r="J2489" s="164" t="s">
        <v>222</v>
      </c>
      <c r="K2489" s="164" t="s">
        <v>223</v>
      </c>
      <c r="L2489" s="165">
        <v>4</v>
      </c>
      <c r="M2489" s="165">
        <v>6</v>
      </c>
      <c r="N2489" s="164" t="s">
        <v>189</v>
      </c>
      <c r="O2489" s="165">
        <v>0</v>
      </c>
      <c r="P2489" s="165">
        <v>0</v>
      </c>
      <c r="Q2489" s="165">
        <v>21</v>
      </c>
      <c r="R2489" s="164" t="s">
        <v>200</v>
      </c>
      <c r="S2489" s="164" t="s">
        <v>201</v>
      </c>
      <c r="T2489" s="165">
        <v>462</v>
      </c>
      <c r="U2489" s="164" t="s">
        <v>200</v>
      </c>
      <c r="V2489" s="164" t="s">
        <v>202</v>
      </c>
      <c r="W2489" s="165">
        <v>3</v>
      </c>
      <c r="X2489" s="165">
        <v>4</v>
      </c>
      <c r="Y2489" s="164" t="s">
        <v>203</v>
      </c>
      <c r="Z2489" s="164" t="s">
        <v>195</v>
      </c>
      <c r="AA2489" s="164" t="s">
        <v>196</v>
      </c>
      <c r="AB2489" s="164" t="s">
        <v>187</v>
      </c>
      <c r="AC2489" s="164" t="s">
        <v>187</v>
      </c>
      <c r="AD2489" s="165">
        <v>5</v>
      </c>
      <c r="AE2489" s="164" t="s">
        <v>187</v>
      </c>
      <c r="AF2489" s="165">
        <v>33.982193485458602</v>
      </c>
      <c r="AG2489" s="166">
        <v>71.568338642488598</v>
      </c>
      <c r="AO2489" s="121"/>
      <c r="AT2489" s="111"/>
      <c r="AX2489" s="121"/>
    </row>
    <row r="2490" spans="1:50" s="110" customFormat="1" ht="20" customHeight="1">
      <c r="A2490" s="125" t="s">
        <v>231</v>
      </c>
      <c r="B2490" s="126" t="s">
        <v>66</v>
      </c>
      <c r="C2490" s="127">
        <v>17499</v>
      </c>
      <c r="D2490" s="163">
        <v>112915</v>
      </c>
      <c r="E2490" s="164" t="s">
        <v>578</v>
      </c>
      <c r="F2490" s="164" t="s">
        <v>578</v>
      </c>
      <c r="G2490" s="165">
        <v>224000</v>
      </c>
      <c r="H2490" s="165">
        <v>1</v>
      </c>
      <c r="I2490" s="164" t="s">
        <v>187</v>
      </c>
      <c r="J2490" s="164" t="s">
        <v>219</v>
      </c>
      <c r="K2490" s="164" t="s">
        <v>220</v>
      </c>
      <c r="L2490" s="165">
        <v>5</v>
      </c>
      <c r="M2490" s="165">
        <v>6</v>
      </c>
      <c r="N2490" s="164" t="s">
        <v>189</v>
      </c>
      <c r="O2490" s="165">
        <v>0</v>
      </c>
      <c r="P2490" s="165">
        <v>0</v>
      </c>
      <c r="Q2490" s="165">
        <v>21</v>
      </c>
      <c r="R2490" s="164" t="s">
        <v>200</v>
      </c>
      <c r="S2490" s="164" t="s">
        <v>201</v>
      </c>
      <c r="T2490" s="165">
        <v>462</v>
      </c>
      <c r="U2490" s="164" t="s">
        <v>200</v>
      </c>
      <c r="V2490" s="164" t="s">
        <v>202</v>
      </c>
      <c r="W2490" s="165">
        <v>2</v>
      </c>
      <c r="X2490" s="165">
        <v>4</v>
      </c>
      <c r="Y2490" s="164" t="s">
        <v>203</v>
      </c>
      <c r="Z2490" s="164" t="s">
        <v>195</v>
      </c>
      <c r="AA2490" s="164" t="s">
        <v>196</v>
      </c>
      <c r="AB2490" s="164" t="s">
        <v>187</v>
      </c>
      <c r="AC2490" s="164" t="s">
        <v>187</v>
      </c>
      <c r="AD2490" s="165">
        <v>4</v>
      </c>
      <c r="AE2490" s="164" t="s">
        <v>187</v>
      </c>
      <c r="AF2490" s="165">
        <v>24.906727053894102</v>
      </c>
      <c r="AG2490" s="166">
        <v>67.076529927565801</v>
      </c>
      <c r="AO2490" s="121"/>
      <c r="AT2490" s="111"/>
      <c r="AX2490" s="121"/>
    </row>
    <row r="2491" spans="1:50" s="110" customFormat="1" ht="20" customHeight="1">
      <c r="A2491" s="125" t="s">
        <v>231</v>
      </c>
      <c r="B2491" s="126" t="s">
        <v>66</v>
      </c>
      <c r="C2491" s="127">
        <v>19433</v>
      </c>
      <c r="D2491" s="163">
        <v>115569</v>
      </c>
      <c r="E2491" s="164" t="s">
        <v>893</v>
      </c>
      <c r="F2491" s="164" t="s">
        <v>893</v>
      </c>
      <c r="G2491" s="165">
        <v>221000</v>
      </c>
      <c r="H2491" s="165">
        <v>1</v>
      </c>
      <c r="I2491" s="164" t="s">
        <v>187</v>
      </c>
      <c r="J2491" s="164" t="s">
        <v>650</v>
      </c>
      <c r="K2491" s="164" t="s">
        <v>651</v>
      </c>
      <c r="L2491" s="165">
        <v>3</v>
      </c>
      <c r="M2491" s="165">
        <v>6</v>
      </c>
      <c r="N2491" s="164" t="s">
        <v>189</v>
      </c>
      <c r="O2491" s="165">
        <v>0</v>
      </c>
      <c r="P2491" s="165">
        <v>0</v>
      </c>
      <c r="Q2491" s="165">
        <v>21</v>
      </c>
      <c r="R2491" s="164" t="s">
        <v>200</v>
      </c>
      <c r="S2491" s="164" t="s">
        <v>201</v>
      </c>
      <c r="T2491" s="165">
        <v>462</v>
      </c>
      <c r="U2491" s="164" t="s">
        <v>200</v>
      </c>
      <c r="V2491" s="164" t="s">
        <v>202</v>
      </c>
      <c r="W2491" s="165">
        <v>1</v>
      </c>
      <c r="X2491" s="165">
        <v>4</v>
      </c>
      <c r="Y2491" s="164" t="s">
        <v>203</v>
      </c>
      <c r="Z2491" s="164" t="s">
        <v>195</v>
      </c>
      <c r="AA2491" s="164" t="s">
        <v>196</v>
      </c>
      <c r="AB2491" s="164" t="s">
        <v>187</v>
      </c>
      <c r="AC2491" s="164" t="s">
        <v>187</v>
      </c>
      <c r="AD2491" s="165">
        <v>4</v>
      </c>
      <c r="AE2491" s="164" t="s">
        <v>187</v>
      </c>
      <c r="AF2491" s="165">
        <v>34.665917216609103</v>
      </c>
      <c r="AG2491" s="166">
        <v>73.360171089860202</v>
      </c>
      <c r="AO2491" s="121"/>
      <c r="AT2491" s="111"/>
      <c r="AX2491" s="121"/>
    </row>
    <row r="2492" spans="1:50" s="110" customFormat="1" ht="20" customHeight="1">
      <c r="A2492" s="125" t="s">
        <v>231</v>
      </c>
      <c r="B2492" s="126" t="s">
        <v>66</v>
      </c>
      <c r="C2492" s="127">
        <v>19425</v>
      </c>
      <c r="D2492" s="163">
        <v>115252</v>
      </c>
      <c r="E2492" s="164" t="s">
        <v>429</v>
      </c>
      <c r="F2492" s="164" t="s">
        <v>429</v>
      </c>
      <c r="G2492" s="165">
        <v>216000</v>
      </c>
      <c r="H2492" s="165">
        <v>1</v>
      </c>
      <c r="I2492" s="164" t="s">
        <v>187</v>
      </c>
      <c r="J2492" s="164" t="s">
        <v>427</v>
      </c>
      <c r="K2492" s="164" t="s">
        <v>428</v>
      </c>
      <c r="L2492" s="165">
        <v>0</v>
      </c>
      <c r="M2492" s="165">
        <v>6</v>
      </c>
      <c r="N2492" s="164" t="s">
        <v>189</v>
      </c>
      <c r="O2492" s="165">
        <v>0</v>
      </c>
      <c r="P2492" s="165">
        <v>0</v>
      </c>
      <c r="Q2492" s="165">
        <v>21</v>
      </c>
      <c r="R2492" s="164" t="s">
        <v>200</v>
      </c>
      <c r="S2492" s="164" t="s">
        <v>201</v>
      </c>
      <c r="T2492" s="165">
        <v>462</v>
      </c>
      <c r="U2492" s="164" t="s">
        <v>200</v>
      </c>
      <c r="V2492" s="164" t="s">
        <v>202</v>
      </c>
      <c r="W2492" s="165">
        <v>1</v>
      </c>
      <c r="X2492" s="165">
        <v>4</v>
      </c>
      <c r="Y2492" s="164" t="s">
        <v>203</v>
      </c>
      <c r="Z2492" s="164" t="s">
        <v>195</v>
      </c>
      <c r="AA2492" s="164" t="s">
        <v>196</v>
      </c>
      <c r="AB2492" s="164" t="s">
        <v>187</v>
      </c>
      <c r="AC2492" s="164" t="s">
        <v>187</v>
      </c>
      <c r="AD2492" s="165">
        <v>4</v>
      </c>
      <c r="AE2492" s="164" t="s">
        <v>187</v>
      </c>
      <c r="AF2492" s="165">
        <v>35.252286259000002</v>
      </c>
      <c r="AG2492" s="166">
        <v>72.569626603499998</v>
      </c>
      <c r="AO2492" s="121"/>
      <c r="AT2492" s="111"/>
      <c r="AX2492" s="121"/>
    </row>
    <row r="2493" spans="1:50" s="110" customFormat="1" ht="20" customHeight="1">
      <c r="A2493" s="125" t="s">
        <v>231</v>
      </c>
      <c r="B2493" s="126" t="s">
        <v>66</v>
      </c>
      <c r="C2493" s="127">
        <v>18173</v>
      </c>
      <c r="D2493" s="163">
        <v>113685</v>
      </c>
      <c r="E2493" s="164" t="s">
        <v>1383</v>
      </c>
      <c r="F2493" s="164" t="s">
        <v>1383</v>
      </c>
      <c r="G2493" s="165">
        <v>205000</v>
      </c>
      <c r="H2493" s="165">
        <v>1</v>
      </c>
      <c r="I2493" s="164" t="s">
        <v>187</v>
      </c>
      <c r="J2493" s="164" t="s">
        <v>219</v>
      </c>
      <c r="K2493" s="164" t="s">
        <v>220</v>
      </c>
      <c r="L2493" s="165">
        <v>5</v>
      </c>
      <c r="M2493" s="165">
        <v>6</v>
      </c>
      <c r="N2493" s="164" t="s">
        <v>189</v>
      </c>
      <c r="O2493" s="165">
        <v>0</v>
      </c>
      <c r="P2493" s="165">
        <v>0</v>
      </c>
      <c r="Q2493" s="165">
        <v>21</v>
      </c>
      <c r="R2493" s="164" t="s">
        <v>200</v>
      </c>
      <c r="S2493" s="164" t="s">
        <v>201</v>
      </c>
      <c r="T2493" s="165">
        <v>462</v>
      </c>
      <c r="U2493" s="164" t="s">
        <v>200</v>
      </c>
      <c r="V2493" s="164" t="s">
        <v>202</v>
      </c>
      <c r="W2493" s="165">
        <v>2</v>
      </c>
      <c r="X2493" s="165">
        <v>4</v>
      </c>
      <c r="Y2493" s="164" t="s">
        <v>203</v>
      </c>
      <c r="Z2493" s="164" t="s">
        <v>195</v>
      </c>
      <c r="AA2493" s="164" t="s">
        <v>196</v>
      </c>
      <c r="AB2493" s="164" t="s">
        <v>187</v>
      </c>
      <c r="AC2493" s="164" t="s">
        <v>187</v>
      </c>
      <c r="AD2493" s="165">
        <v>4</v>
      </c>
      <c r="AE2493" s="164" t="s">
        <v>187</v>
      </c>
      <c r="AF2493" s="165">
        <v>27.6153289153402</v>
      </c>
      <c r="AG2493" s="166">
        <v>67.803242747002002</v>
      </c>
      <c r="AO2493" s="121"/>
      <c r="AT2493" s="111"/>
      <c r="AX2493" s="121"/>
    </row>
    <row r="2494" spans="1:50" s="110" customFormat="1" ht="20" customHeight="1">
      <c r="A2494" s="125" t="s">
        <v>231</v>
      </c>
      <c r="B2494" s="126" t="s">
        <v>66</v>
      </c>
      <c r="C2494" s="127">
        <v>17877</v>
      </c>
      <c r="D2494" s="163">
        <v>113353</v>
      </c>
      <c r="E2494" s="164" t="s">
        <v>1209</v>
      </c>
      <c r="F2494" s="164" t="s">
        <v>1209</v>
      </c>
      <c r="G2494" s="165">
        <v>188000</v>
      </c>
      <c r="H2494" s="165">
        <v>1</v>
      </c>
      <c r="I2494" s="164" t="s">
        <v>187</v>
      </c>
      <c r="J2494" s="164" t="s">
        <v>222</v>
      </c>
      <c r="K2494" s="164" t="s">
        <v>223</v>
      </c>
      <c r="L2494" s="165">
        <v>4</v>
      </c>
      <c r="M2494" s="165">
        <v>6</v>
      </c>
      <c r="N2494" s="164" t="s">
        <v>189</v>
      </c>
      <c r="O2494" s="165">
        <v>0</v>
      </c>
      <c r="P2494" s="165">
        <v>0</v>
      </c>
      <c r="Q2494" s="165">
        <v>21</v>
      </c>
      <c r="R2494" s="164" t="s">
        <v>200</v>
      </c>
      <c r="S2494" s="164" t="s">
        <v>201</v>
      </c>
      <c r="T2494" s="165">
        <v>462</v>
      </c>
      <c r="U2494" s="164" t="s">
        <v>200</v>
      </c>
      <c r="V2494" s="164" t="s">
        <v>202</v>
      </c>
      <c r="W2494" s="165">
        <v>4</v>
      </c>
      <c r="X2494" s="165">
        <v>4</v>
      </c>
      <c r="Y2494" s="164" t="s">
        <v>203</v>
      </c>
      <c r="Z2494" s="164" t="s">
        <v>195</v>
      </c>
      <c r="AA2494" s="164" t="s">
        <v>196</v>
      </c>
      <c r="AB2494" s="164" t="s">
        <v>187</v>
      </c>
      <c r="AC2494" s="164" t="s">
        <v>187</v>
      </c>
      <c r="AD2494" s="165">
        <v>4</v>
      </c>
      <c r="AE2494" s="164" t="s">
        <v>187</v>
      </c>
      <c r="AF2494" s="165">
        <v>30.078713184663801</v>
      </c>
      <c r="AG2494" s="166">
        <v>71.457979457376695</v>
      </c>
      <c r="AO2494" s="121"/>
      <c r="AT2494" s="111"/>
      <c r="AX2494" s="121"/>
    </row>
    <row r="2495" spans="1:50" s="110" customFormat="1" ht="20" customHeight="1">
      <c r="A2495" s="125" t="s">
        <v>231</v>
      </c>
      <c r="B2495" s="126" t="s">
        <v>66</v>
      </c>
      <c r="C2495" s="127">
        <v>16291</v>
      </c>
      <c r="D2495" s="163">
        <v>111416</v>
      </c>
      <c r="E2495" s="164" t="s">
        <v>321</v>
      </c>
      <c r="F2495" s="164" t="s">
        <v>321</v>
      </c>
      <c r="G2495" s="165">
        <v>184000</v>
      </c>
      <c r="H2495" s="165">
        <v>1</v>
      </c>
      <c r="I2495" s="164" t="s">
        <v>187</v>
      </c>
      <c r="J2495" s="164" t="s">
        <v>219</v>
      </c>
      <c r="K2495" s="164" t="s">
        <v>220</v>
      </c>
      <c r="L2495" s="165">
        <v>5</v>
      </c>
      <c r="M2495" s="165">
        <v>6</v>
      </c>
      <c r="N2495" s="164" t="s">
        <v>189</v>
      </c>
      <c r="O2495" s="165">
        <v>0</v>
      </c>
      <c r="P2495" s="165">
        <v>0</v>
      </c>
      <c r="Q2495" s="165">
        <v>21</v>
      </c>
      <c r="R2495" s="164" t="s">
        <v>200</v>
      </c>
      <c r="S2495" s="164" t="s">
        <v>201</v>
      </c>
      <c r="T2495" s="165">
        <v>462</v>
      </c>
      <c r="U2495" s="164" t="s">
        <v>200</v>
      </c>
      <c r="V2495" s="164" t="s">
        <v>202</v>
      </c>
      <c r="W2495" s="165">
        <v>1</v>
      </c>
      <c r="X2495" s="165">
        <v>4</v>
      </c>
      <c r="Y2495" s="164" t="s">
        <v>203</v>
      </c>
      <c r="Z2495" s="164" t="s">
        <v>195</v>
      </c>
      <c r="AA2495" s="164" t="s">
        <v>196</v>
      </c>
      <c r="AB2495" s="164" t="s">
        <v>187</v>
      </c>
      <c r="AC2495" s="164" t="s">
        <v>187</v>
      </c>
      <c r="AD2495" s="165">
        <v>4</v>
      </c>
      <c r="AE2495" s="164" t="s">
        <v>187</v>
      </c>
      <c r="AF2495" s="165">
        <v>25.4956126772373</v>
      </c>
      <c r="AG2495" s="166">
        <v>68.512489777397306</v>
      </c>
      <c r="AO2495" s="121"/>
      <c r="AT2495" s="111"/>
      <c r="AX2495" s="121"/>
    </row>
    <row r="2496" spans="1:50" s="110" customFormat="1" ht="20" customHeight="1">
      <c r="A2496" s="125" t="s">
        <v>231</v>
      </c>
      <c r="B2496" s="126" t="s">
        <v>66</v>
      </c>
      <c r="C2496" s="127">
        <v>19439</v>
      </c>
      <c r="D2496" s="163">
        <v>115571</v>
      </c>
      <c r="E2496" s="164" t="s">
        <v>612</v>
      </c>
      <c r="F2496" s="164" t="s">
        <v>612</v>
      </c>
      <c r="G2496" s="165">
        <v>170000</v>
      </c>
      <c r="H2496" s="165">
        <v>1</v>
      </c>
      <c r="I2496" s="164" t="s">
        <v>187</v>
      </c>
      <c r="J2496" s="164" t="s">
        <v>346</v>
      </c>
      <c r="K2496" s="164" t="s">
        <v>347</v>
      </c>
      <c r="L2496" s="165">
        <v>4</v>
      </c>
      <c r="M2496" s="165">
        <v>6</v>
      </c>
      <c r="N2496" s="164" t="s">
        <v>189</v>
      </c>
      <c r="O2496" s="165">
        <v>0</v>
      </c>
      <c r="P2496" s="165">
        <v>0</v>
      </c>
      <c r="Q2496" s="165">
        <v>21</v>
      </c>
      <c r="R2496" s="164" t="s">
        <v>200</v>
      </c>
      <c r="S2496" s="164" t="s">
        <v>201</v>
      </c>
      <c r="T2496" s="165">
        <v>462</v>
      </c>
      <c r="U2496" s="164" t="s">
        <v>200</v>
      </c>
      <c r="V2496" s="164" t="s">
        <v>202</v>
      </c>
      <c r="W2496" s="165">
        <v>1</v>
      </c>
      <c r="X2496" s="165">
        <v>4</v>
      </c>
      <c r="Y2496" s="164" t="s">
        <v>203</v>
      </c>
      <c r="Z2496" s="164" t="s">
        <v>195</v>
      </c>
      <c r="AA2496" s="164" t="s">
        <v>196</v>
      </c>
      <c r="AB2496" s="164" t="s">
        <v>187</v>
      </c>
      <c r="AC2496" s="164" t="s">
        <v>187</v>
      </c>
      <c r="AD2496" s="165">
        <v>3</v>
      </c>
      <c r="AE2496" s="164" t="s">
        <v>187</v>
      </c>
      <c r="AF2496" s="165">
        <v>26.023044721680002</v>
      </c>
      <c r="AG2496" s="166">
        <v>63.110697783803303</v>
      </c>
      <c r="AO2496" s="121"/>
      <c r="AT2496" s="111"/>
      <c r="AX2496" s="121"/>
    </row>
    <row r="2497" spans="1:50" s="110" customFormat="1" ht="20" customHeight="1">
      <c r="A2497" s="125" t="s">
        <v>231</v>
      </c>
      <c r="B2497" s="126" t="s">
        <v>66</v>
      </c>
      <c r="C2497" s="127">
        <v>18165</v>
      </c>
      <c r="D2497" s="163">
        <v>113677</v>
      </c>
      <c r="E2497" s="164" t="s">
        <v>1382</v>
      </c>
      <c r="F2497" s="164" t="s">
        <v>1382</v>
      </c>
      <c r="G2497" s="165">
        <v>170000</v>
      </c>
      <c r="H2497" s="165">
        <v>1</v>
      </c>
      <c r="I2497" s="164" t="s">
        <v>187</v>
      </c>
      <c r="J2497" s="164" t="s">
        <v>219</v>
      </c>
      <c r="K2497" s="164" t="s">
        <v>220</v>
      </c>
      <c r="L2497" s="165">
        <v>5</v>
      </c>
      <c r="M2497" s="165">
        <v>6</v>
      </c>
      <c r="N2497" s="164" t="s">
        <v>189</v>
      </c>
      <c r="O2497" s="165">
        <v>0</v>
      </c>
      <c r="P2497" s="165">
        <v>0</v>
      </c>
      <c r="Q2497" s="165">
        <v>21</v>
      </c>
      <c r="R2497" s="164" t="s">
        <v>200</v>
      </c>
      <c r="S2497" s="164" t="s">
        <v>201</v>
      </c>
      <c r="T2497" s="165">
        <v>462</v>
      </c>
      <c r="U2497" s="164" t="s">
        <v>200</v>
      </c>
      <c r="V2497" s="164" t="s">
        <v>202</v>
      </c>
      <c r="W2497" s="165">
        <v>2</v>
      </c>
      <c r="X2497" s="165">
        <v>4</v>
      </c>
      <c r="Y2497" s="164" t="s">
        <v>203</v>
      </c>
      <c r="Z2497" s="164" t="s">
        <v>195</v>
      </c>
      <c r="AA2497" s="164" t="s">
        <v>196</v>
      </c>
      <c r="AB2497" s="164" t="s">
        <v>187</v>
      </c>
      <c r="AC2497" s="164" t="s">
        <v>187</v>
      </c>
      <c r="AD2497" s="165">
        <v>3</v>
      </c>
      <c r="AE2497" s="164" t="s">
        <v>187</v>
      </c>
      <c r="AF2497" s="165">
        <v>25.322101005664301</v>
      </c>
      <c r="AG2497" s="166">
        <v>69.156185597320899</v>
      </c>
      <c r="AO2497" s="121"/>
      <c r="AT2497" s="111"/>
      <c r="AX2497" s="121"/>
    </row>
    <row r="2498" spans="1:50" s="110" customFormat="1" ht="20" customHeight="1">
      <c r="A2498" s="125" t="s">
        <v>231</v>
      </c>
      <c r="B2498" s="126" t="s">
        <v>66</v>
      </c>
      <c r="C2498" s="127">
        <v>16442</v>
      </c>
      <c r="D2498" s="163">
        <v>111595</v>
      </c>
      <c r="E2498" s="164" t="s">
        <v>489</v>
      </c>
      <c r="F2498" s="164" t="s">
        <v>489</v>
      </c>
      <c r="G2498" s="165">
        <v>169000</v>
      </c>
      <c r="H2498" s="165">
        <v>1</v>
      </c>
      <c r="I2498" s="164" t="s">
        <v>187</v>
      </c>
      <c r="J2498" s="164" t="s">
        <v>222</v>
      </c>
      <c r="K2498" s="164" t="s">
        <v>223</v>
      </c>
      <c r="L2498" s="165">
        <v>4</v>
      </c>
      <c r="M2498" s="165">
        <v>6</v>
      </c>
      <c r="N2498" s="164" t="s">
        <v>189</v>
      </c>
      <c r="O2498" s="165">
        <v>0</v>
      </c>
      <c r="P2498" s="165">
        <v>0</v>
      </c>
      <c r="Q2498" s="165">
        <v>21</v>
      </c>
      <c r="R2498" s="164" t="s">
        <v>200</v>
      </c>
      <c r="S2498" s="164" t="s">
        <v>201</v>
      </c>
      <c r="T2498" s="165">
        <v>462</v>
      </c>
      <c r="U2498" s="164" t="s">
        <v>200</v>
      </c>
      <c r="V2498" s="164" t="s">
        <v>202</v>
      </c>
      <c r="W2498" s="165">
        <v>2</v>
      </c>
      <c r="X2498" s="165">
        <v>4</v>
      </c>
      <c r="Y2498" s="164" t="s">
        <v>203</v>
      </c>
      <c r="Z2498" s="164" t="s">
        <v>195</v>
      </c>
      <c r="AA2498" s="164" t="s">
        <v>196</v>
      </c>
      <c r="AB2498" s="164" t="s">
        <v>187</v>
      </c>
      <c r="AC2498" s="164" t="s">
        <v>187</v>
      </c>
      <c r="AD2498" s="165">
        <v>3</v>
      </c>
      <c r="AE2498" s="164" t="s">
        <v>187</v>
      </c>
      <c r="AF2498" s="165">
        <v>30.082897094647699</v>
      </c>
      <c r="AG2498" s="166">
        <v>71.013380675269502</v>
      </c>
      <c r="AO2498" s="121"/>
      <c r="AT2498" s="111"/>
      <c r="AX2498" s="121"/>
    </row>
    <row r="2499" spans="1:50" s="110" customFormat="1" ht="20" customHeight="1">
      <c r="A2499" s="125" t="s">
        <v>231</v>
      </c>
      <c r="B2499" s="126" t="s">
        <v>66</v>
      </c>
      <c r="C2499" s="127">
        <v>13002</v>
      </c>
      <c r="D2499" s="163">
        <v>105663</v>
      </c>
      <c r="E2499" s="164" t="s">
        <v>984</v>
      </c>
      <c r="F2499" s="164" t="s">
        <v>984</v>
      </c>
      <c r="G2499" s="165">
        <v>169000</v>
      </c>
      <c r="H2499" s="165">
        <v>1</v>
      </c>
      <c r="I2499" s="164" t="s">
        <v>187</v>
      </c>
      <c r="J2499" s="164" t="s">
        <v>985</v>
      </c>
      <c r="K2499" s="164" t="s">
        <v>986</v>
      </c>
      <c r="L2499" s="165">
        <v>1</v>
      </c>
      <c r="M2499" s="165">
        <v>6</v>
      </c>
      <c r="N2499" s="164" t="s">
        <v>189</v>
      </c>
      <c r="O2499" s="165">
        <v>0</v>
      </c>
      <c r="P2499" s="165">
        <v>0</v>
      </c>
      <c r="Q2499" s="165">
        <v>21</v>
      </c>
      <c r="R2499" s="164" t="s">
        <v>200</v>
      </c>
      <c r="S2499" s="164" t="s">
        <v>201</v>
      </c>
      <c r="T2499" s="165">
        <v>462</v>
      </c>
      <c r="U2499" s="164" t="s">
        <v>200</v>
      </c>
      <c r="V2499" s="164" t="s">
        <v>202</v>
      </c>
      <c r="W2499" s="165">
        <v>1</v>
      </c>
      <c r="X2499" s="165">
        <v>4</v>
      </c>
      <c r="Y2499" s="164" t="s">
        <v>203</v>
      </c>
      <c r="Z2499" s="164" t="s">
        <v>195</v>
      </c>
      <c r="AA2499" s="164" t="s">
        <v>196</v>
      </c>
      <c r="AB2499" s="164" t="s">
        <v>187</v>
      </c>
      <c r="AC2499" s="164" t="s">
        <v>187</v>
      </c>
      <c r="AD2499" s="165">
        <v>3</v>
      </c>
      <c r="AE2499" s="164" t="s">
        <v>187</v>
      </c>
      <c r="AF2499" s="165">
        <v>25.3293400003407</v>
      </c>
      <c r="AG2499" s="166">
        <v>66.913699999955</v>
      </c>
      <c r="AO2499" s="121"/>
      <c r="AT2499" s="111"/>
      <c r="AX2499" s="121"/>
    </row>
    <row r="2500" spans="1:50" s="110" customFormat="1" ht="20" customHeight="1">
      <c r="A2500" s="125" t="s">
        <v>231</v>
      </c>
      <c r="B2500" s="126" t="s">
        <v>66</v>
      </c>
      <c r="C2500" s="127">
        <v>17530</v>
      </c>
      <c r="D2500" s="163">
        <v>112952</v>
      </c>
      <c r="E2500" s="164" t="s">
        <v>1125</v>
      </c>
      <c r="F2500" s="164" t="s">
        <v>1125</v>
      </c>
      <c r="G2500" s="165">
        <v>161000</v>
      </c>
      <c r="H2500" s="165">
        <v>1</v>
      </c>
      <c r="I2500" s="164" t="s">
        <v>187</v>
      </c>
      <c r="J2500" s="164" t="s">
        <v>219</v>
      </c>
      <c r="K2500" s="164" t="s">
        <v>220</v>
      </c>
      <c r="L2500" s="165">
        <v>5</v>
      </c>
      <c r="M2500" s="165">
        <v>6</v>
      </c>
      <c r="N2500" s="164" t="s">
        <v>189</v>
      </c>
      <c r="O2500" s="165">
        <v>0</v>
      </c>
      <c r="P2500" s="165">
        <v>0</v>
      </c>
      <c r="Q2500" s="165">
        <v>21</v>
      </c>
      <c r="R2500" s="164" t="s">
        <v>200</v>
      </c>
      <c r="S2500" s="164" t="s">
        <v>201</v>
      </c>
      <c r="T2500" s="165">
        <v>462</v>
      </c>
      <c r="U2500" s="164" t="s">
        <v>200</v>
      </c>
      <c r="V2500" s="164" t="s">
        <v>202</v>
      </c>
      <c r="W2500" s="165">
        <v>3</v>
      </c>
      <c r="X2500" s="165">
        <v>4</v>
      </c>
      <c r="Y2500" s="164" t="s">
        <v>203</v>
      </c>
      <c r="Z2500" s="164" t="s">
        <v>195</v>
      </c>
      <c r="AA2500" s="164" t="s">
        <v>196</v>
      </c>
      <c r="AB2500" s="164" t="s">
        <v>187</v>
      </c>
      <c r="AC2500" s="164" t="s">
        <v>187</v>
      </c>
      <c r="AD2500" s="165">
        <v>3</v>
      </c>
      <c r="AE2500" s="164" t="s">
        <v>187</v>
      </c>
      <c r="AF2500" s="165">
        <v>25.500420105611202</v>
      </c>
      <c r="AG2500" s="166">
        <v>68.511716491434697</v>
      </c>
      <c r="AO2500" s="121"/>
      <c r="AT2500" s="111"/>
      <c r="AX2500" s="121"/>
    </row>
    <row r="2501" spans="1:50" s="110" customFormat="1" ht="20" customHeight="1">
      <c r="A2501" s="125" t="s">
        <v>231</v>
      </c>
      <c r="B2501" s="126" t="s">
        <v>66</v>
      </c>
      <c r="C2501" s="127">
        <v>18180</v>
      </c>
      <c r="D2501" s="163">
        <v>113692</v>
      </c>
      <c r="E2501" s="164" t="s">
        <v>1392</v>
      </c>
      <c r="F2501" s="164" t="s">
        <v>1392</v>
      </c>
      <c r="G2501" s="165">
        <v>159000</v>
      </c>
      <c r="H2501" s="165">
        <v>1</v>
      </c>
      <c r="I2501" s="164" t="s">
        <v>187</v>
      </c>
      <c r="J2501" s="164" t="s">
        <v>650</v>
      </c>
      <c r="K2501" s="164" t="s">
        <v>651</v>
      </c>
      <c r="L2501" s="165">
        <v>3</v>
      </c>
      <c r="M2501" s="165">
        <v>6</v>
      </c>
      <c r="N2501" s="164" t="s">
        <v>189</v>
      </c>
      <c r="O2501" s="165">
        <v>0</v>
      </c>
      <c r="P2501" s="165">
        <v>0</v>
      </c>
      <c r="Q2501" s="165">
        <v>21</v>
      </c>
      <c r="R2501" s="164" t="s">
        <v>200</v>
      </c>
      <c r="S2501" s="164" t="s">
        <v>201</v>
      </c>
      <c r="T2501" s="165">
        <v>462</v>
      </c>
      <c r="U2501" s="164" t="s">
        <v>200</v>
      </c>
      <c r="V2501" s="164" t="s">
        <v>202</v>
      </c>
      <c r="W2501" s="165">
        <v>2</v>
      </c>
      <c r="X2501" s="165">
        <v>4</v>
      </c>
      <c r="Y2501" s="164" t="s">
        <v>203</v>
      </c>
      <c r="Z2501" s="164" t="s">
        <v>195</v>
      </c>
      <c r="AA2501" s="164" t="s">
        <v>196</v>
      </c>
      <c r="AB2501" s="164" t="s">
        <v>187</v>
      </c>
      <c r="AC2501" s="164" t="s">
        <v>187</v>
      </c>
      <c r="AD2501" s="165">
        <v>3</v>
      </c>
      <c r="AE2501" s="164" t="s">
        <v>187</v>
      </c>
      <c r="AF2501" s="165">
        <v>33.8941191005893</v>
      </c>
      <c r="AG2501" s="166">
        <v>73.850136039614497</v>
      </c>
      <c r="AO2501" s="121"/>
      <c r="AT2501" s="111"/>
      <c r="AX2501" s="121"/>
    </row>
    <row r="2502" spans="1:50" s="110" customFormat="1" ht="20" customHeight="1">
      <c r="A2502" s="125" t="s">
        <v>231</v>
      </c>
      <c r="B2502" s="126" t="s">
        <v>66</v>
      </c>
      <c r="C2502" s="127">
        <v>18140</v>
      </c>
      <c r="D2502" s="163">
        <v>113647</v>
      </c>
      <c r="E2502" s="164" t="s">
        <v>1378</v>
      </c>
      <c r="F2502" s="164" t="s">
        <v>1378</v>
      </c>
      <c r="G2502" s="165">
        <v>142000</v>
      </c>
      <c r="H2502" s="165">
        <v>1</v>
      </c>
      <c r="I2502" s="164" t="s">
        <v>187</v>
      </c>
      <c r="J2502" s="164" t="s">
        <v>219</v>
      </c>
      <c r="K2502" s="164" t="s">
        <v>220</v>
      </c>
      <c r="L2502" s="165">
        <v>5</v>
      </c>
      <c r="M2502" s="165">
        <v>6</v>
      </c>
      <c r="N2502" s="164" t="s">
        <v>189</v>
      </c>
      <c r="O2502" s="165">
        <v>0</v>
      </c>
      <c r="P2502" s="165">
        <v>0</v>
      </c>
      <c r="Q2502" s="165">
        <v>21</v>
      </c>
      <c r="R2502" s="164" t="s">
        <v>200</v>
      </c>
      <c r="S2502" s="164" t="s">
        <v>201</v>
      </c>
      <c r="T2502" s="165">
        <v>462</v>
      </c>
      <c r="U2502" s="164" t="s">
        <v>200</v>
      </c>
      <c r="V2502" s="164" t="s">
        <v>202</v>
      </c>
      <c r="W2502" s="165">
        <v>4</v>
      </c>
      <c r="X2502" s="165">
        <v>4</v>
      </c>
      <c r="Y2502" s="164" t="s">
        <v>203</v>
      </c>
      <c r="Z2502" s="164" t="s">
        <v>195</v>
      </c>
      <c r="AA2502" s="164" t="s">
        <v>196</v>
      </c>
      <c r="AB2502" s="164" t="s">
        <v>187</v>
      </c>
      <c r="AC2502" s="164" t="s">
        <v>187</v>
      </c>
      <c r="AD2502" s="165">
        <v>3</v>
      </c>
      <c r="AE2502" s="164" t="s">
        <v>187</v>
      </c>
      <c r="AF2502" s="165">
        <v>28.564869562799998</v>
      </c>
      <c r="AG2502" s="166">
        <v>68.035875487699997</v>
      </c>
      <c r="AO2502" s="121"/>
      <c r="AT2502" s="111"/>
      <c r="AX2502" s="121"/>
    </row>
    <row r="2503" spans="1:50" s="110" customFormat="1" ht="20" customHeight="1">
      <c r="A2503" s="125" t="s">
        <v>231</v>
      </c>
      <c r="B2503" s="126" t="s">
        <v>66</v>
      </c>
      <c r="C2503" s="127">
        <v>17579</v>
      </c>
      <c r="D2503" s="163">
        <v>113006</v>
      </c>
      <c r="E2503" s="164" t="s">
        <v>858</v>
      </c>
      <c r="F2503" s="164" t="s">
        <v>858</v>
      </c>
      <c r="G2503" s="165">
        <v>135000</v>
      </c>
      <c r="H2503" s="165">
        <v>1</v>
      </c>
      <c r="I2503" s="164" t="s">
        <v>187</v>
      </c>
      <c r="J2503" s="164" t="s">
        <v>222</v>
      </c>
      <c r="K2503" s="164" t="s">
        <v>223</v>
      </c>
      <c r="L2503" s="165">
        <v>4</v>
      </c>
      <c r="M2503" s="165">
        <v>6</v>
      </c>
      <c r="N2503" s="164" t="s">
        <v>189</v>
      </c>
      <c r="O2503" s="165">
        <v>0</v>
      </c>
      <c r="P2503" s="165">
        <v>0</v>
      </c>
      <c r="Q2503" s="165">
        <v>21</v>
      </c>
      <c r="R2503" s="164" t="s">
        <v>200</v>
      </c>
      <c r="S2503" s="164" t="s">
        <v>201</v>
      </c>
      <c r="T2503" s="165">
        <v>462</v>
      </c>
      <c r="U2503" s="164" t="s">
        <v>200</v>
      </c>
      <c r="V2503" s="164" t="s">
        <v>202</v>
      </c>
      <c r="W2503" s="165">
        <v>3</v>
      </c>
      <c r="X2503" s="165">
        <v>4</v>
      </c>
      <c r="Y2503" s="164" t="s">
        <v>203</v>
      </c>
      <c r="Z2503" s="164" t="s">
        <v>195</v>
      </c>
      <c r="AA2503" s="164" t="s">
        <v>196</v>
      </c>
      <c r="AB2503" s="164" t="s">
        <v>187</v>
      </c>
      <c r="AC2503" s="164" t="s">
        <v>187</v>
      </c>
      <c r="AD2503" s="165">
        <v>3</v>
      </c>
      <c r="AE2503" s="164" t="s">
        <v>187</v>
      </c>
      <c r="AF2503" s="165">
        <v>30.0811804996025</v>
      </c>
      <c r="AG2503" s="166">
        <v>71.462114438087994</v>
      </c>
      <c r="AO2503" s="121"/>
      <c r="AT2503" s="111"/>
      <c r="AX2503" s="121"/>
    </row>
    <row r="2504" spans="1:50" s="110" customFormat="1" ht="20" customHeight="1">
      <c r="A2504" s="125" t="s">
        <v>231</v>
      </c>
      <c r="B2504" s="126" t="s">
        <v>66</v>
      </c>
      <c r="C2504" s="127">
        <v>17419</v>
      </c>
      <c r="D2504" s="163">
        <v>112820</v>
      </c>
      <c r="E2504" s="164" t="s">
        <v>1053</v>
      </c>
      <c r="F2504" s="164" t="s">
        <v>1053</v>
      </c>
      <c r="G2504" s="165">
        <v>117000</v>
      </c>
      <c r="H2504" s="165">
        <v>1</v>
      </c>
      <c r="I2504" s="164" t="s">
        <v>187</v>
      </c>
      <c r="J2504" s="164" t="s">
        <v>293</v>
      </c>
      <c r="K2504" s="164" t="s">
        <v>294</v>
      </c>
      <c r="L2504" s="165">
        <v>3</v>
      </c>
      <c r="M2504" s="165">
        <v>6</v>
      </c>
      <c r="N2504" s="164" t="s">
        <v>189</v>
      </c>
      <c r="O2504" s="165">
        <v>0</v>
      </c>
      <c r="P2504" s="165">
        <v>0</v>
      </c>
      <c r="Q2504" s="165">
        <v>21</v>
      </c>
      <c r="R2504" s="164" t="s">
        <v>200</v>
      </c>
      <c r="S2504" s="164" t="s">
        <v>201</v>
      </c>
      <c r="T2504" s="165">
        <v>462</v>
      </c>
      <c r="U2504" s="164" t="s">
        <v>200</v>
      </c>
      <c r="V2504" s="164" t="s">
        <v>202</v>
      </c>
      <c r="W2504" s="165">
        <v>2</v>
      </c>
      <c r="X2504" s="165">
        <v>4</v>
      </c>
      <c r="Y2504" s="164" t="s">
        <v>203</v>
      </c>
      <c r="Z2504" s="164" t="s">
        <v>195</v>
      </c>
      <c r="AA2504" s="164" t="s">
        <v>196</v>
      </c>
      <c r="AB2504" s="164" t="s">
        <v>187</v>
      </c>
      <c r="AC2504" s="164" t="s">
        <v>187</v>
      </c>
      <c r="AD2504" s="165">
        <v>2</v>
      </c>
      <c r="AE2504" s="164" t="s">
        <v>187</v>
      </c>
      <c r="AF2504" s="165">
        <v>35.6519164213965</v>
      </c>
      <c r="AG2504" s="166">
        <v>75.574339249688194</v>
      </c>
      <c r="AO2504" s="121"/>
      <c r="AT2504" s="111"/>
      <c r="AX2504" s="121"/>
    </row>
    <row r="2505" spans="1:50" s="110" customFormat="1" ht="20" customHeight="1">
      <c r="A2505" s="125" t="s">
        <v>231</v>
      </c>
      <c r="B2505" s="126" t="s">
        <v>66</v>
      </c>
      <c r="C2505" s="127">
        <v>17721</v>
      </c>
      <c r="D2505" s="163">
        <v>113171</v>
      </c>
      <c r="E2505" s="164" t="s">
        <v>1493</v>
      </c>
      <c r="F2505" s="164" t="s">
        <v>1493</v>
      </c>
      <c r="G2505" s="165">
        <v>116000</v>
      </c>
      <c r="H2505" s="165">
        <v>1</v>
      </c>
      <c r="I2505" s="164" t="s">
        <v>187</v>
      </c>
      <c r="J2505" s="164" t="s">
        <v>222</v>
      </c>
      <c r="K2505" s="164" t="s">
        <v>223</v>
      </c>
      <c r="L2505" s="165">
        <v>4</v>
      </c>
      <c r="M2505" s="165">
        <v>6</v>
      </c>
      <c r="N2505" s="164" t="s">
        <v>189</v>
      </c>
      <c r="O2505" s="165">
        <v>0</v>
      </c>
      <c r="P2505" s="165">
        <v>0</v>
      </c>
      <c r="Q2505" s="165">
        <v>21</v>
      </c>
      <c r="R2505" s="164" t="s">
        <v>200</v>
      </c>
      <c r="S2505" s="164" t="s">
        <v>201</v>
      </c>
      <c r="T2505" s="165">
        <v>462</v>
      </c>
      <c r="U2505" s="164" t="s">
        <v>200</v>
      </c>
      <c r="V2505" s="164" t="s">
        <v>202</v>
      </c>
      <c r="W2505" s="165">
        <v>2</v>
      </c>
      <c r="X2505" s="165">
        <v>4</v>
      </c>
      <c r="Y2505" s="164" t="s">
        <v>203</v>
      </c>
      <c r="Z2505" s="164" t="s">
        <v>195</v>
      </c>
      <c r="AA2505" s="164" t="s">
        <v>196</v>
      </c>
      <c r="AB2505" s="164" t="s">
        <v>187</v>
      </c>
      <c r="AC2505" s="164" t="s">
        <v>187</v>
      </c>
      <c r="AD2505" s="165">
        <v>2</v>
      </c>
      <c r="AE2505" s="164" t="s">
        <v>187</v>
      </c>
      <c r="AF2505" s="165">
        <v>31.570019132079999</v>
      </c>
      <c r="AG2505" s="166">
        <v>73.936216192656104</v>
      </c>
      <c r="AO2505" s="121"/>
      <c r="AT2505" s="111"/>
      <c r="AX2505" s="121"/>
    </row>
    <row r="2506" spans="1:50" s="110" customFormat="1" ht="20" customHeight="1">
      <c r="A2506" s="125" t="s">
        <v>231</v>
      </c>
      <c r="B2506" s="126" t="s">
        <v>66</v>
      </c>
      <c r="C2506" s="127">
        <v>19440</v>
      </c>
      <c r="D2506" s="163">
        <v>115572</v>
      </c>
      <c r="E2506" s="164" t="s">
        <v>614</v>
      </c>
      <c r="F2506" s="164" t="s">
        <v>614</v>
      </c>
      <c r="G2506" s="165">
        <v>112000</v>
      </c>
      <c r="H2506" s="165">
        <v>1</v>
      </c>
      <c r="I2506" s="164" t="s">
        <v>187</v>
      </c>
      <c r="J2506" s="164" t="s">
        <v>501</v>
      </c>
      <c r="K2506" s="164" t="s">
        <v>502</v>
      </c>
      <c r="L2506" s="165">
        <v>3</v>
      </c>
      <c r="M2506" s="165">
        <v>6</v>
      </c>
      <c r="N2506" s="164" t="s">
        <v>189</v>
      </c>
      <c r="O2506" s="165">
        <v>0</v>
      </c>
      <c r="P2506" s="165">
        <v>0</v>
      </c>
      <c r="Q2506" s="165">
        <v>21</v>
      </c>
      <c r="R2506" s="164" t="s">
        <v>200</v>
      </c>
      <c r="S2506" s="164" t="s">
        <v>201</v>
      </c>
      <c r="T2506" s="165">
        <v>462</v>
      </c>
      <c r="U2506" s="164" t="s">
        <v>200</v>
      </c>
      <c r="V2506" s="164" t="s">
        <v>202</v>
      </c>
      <c r="W2506" s="165">
        <v>1</v>
      </c>
      <c r="X2506" s="165">
        <v>4</v>
      </c>
      <c r="Y2506" s="164" t="s">
        <v>203</v>
      </c>
      <c r="Z2506" s="164" t="s">
        <v>195</v>
      </c>
      <c r="AA2506" s="164" t="s">
        <v>196</v>
      </c>
      <c r="AB2506" s="164" t="s">
        <v>187</v>
      </c>
      <c r="AC2506" s="164" t="s">
        <v>187</v>
      </c>
      <c r="AD2506" s="165">
        <v>2</v>
      </c>
      <c r="AE2506" s="164" t="s">
        <v>187</v>
      </c>
      <c r="AF2506" s="165">
        <v>29.720205286925399</v>
      </c>
      <c r="AG2506" s="166">
        <v>73.106189419190699</v>
      </c>
      <c r="AO2506" s="121"/>
      <c r="AT2506" s="111"/>
      <c r="AX2506" s="121"/>
    </row>
    <row r="2507" spans="1:50" s="110" customFormat="1" ht="20" customHeight="1">
      <c r="A2507" s="125" t="s">
        <v>231</v>
      </c>
      <c r="B2507" s="126" t="s">
        <v>66</v>
      </c>
      <c r="C2507" s="127">
        <v>19457</v>
      </c>
      <c r="D2507" s="163">
        <v>115601</v>
      </c>
      <c r="E2507" s="164" t="s">
        <v>1152</v>
      </c>
      <c r="F2507" s="164" t="s">
        <v>1152</v>
      </c>
      <c r="G2507" s="165">
        <v>111000</v>
      </c>
      <c r="H2507" s="165">
        <v>1</v>
      </c>
      <c r="I2507" s="164" t="s">
        <v>187</v>
      </c>
      <c r="J2507" s="164" t="s">
        <v>346</v>
      </c>
      <c r="K2507" s="164" t="s">
        <v>347</v>
      </c>
      <c r="L2507" s="165">
        <v>4</v>
      </c>
      <c r="M2507" s="165">
        <v>6</v>
      </c>
      <c r="N2507" s="164" t="s">
        <v>189</v>
      </c>
      <c r="O2507" s="165">
        <v>0</v>
      </c>
      <c r="P2507" s="165">
        <v>0</v>
      </c>
      <c r="Q2507" s="165">
        <v>21</v>
      </c>
      <c r="R2507" s="164" t="s">
        <v>200</v>
      </c>
      <c r="S2507" s="164" t="s">
        <v>201</v>
      </c>
      <c r="T2507" s="165">
        <v>462</v>
      </c>
      <c r="U2507" s="164" t="s">
        <v>200</v>
      </c>
      <c r="V2507" s="164" t="s">
        <v>202</v>
      </c>
      <c r="W2507" s="165">
        <v>1</v>
      </c>
      <c r="X2507" s="165">
        <v>4</v>
      </c>
      <c r="Y2507" s="164" t="s">
        <v>203</v>
      </c>
      <c r="Z2507" s="164" t="s">
        <v>195</v>
      </c>
      <c r="AA2507" s="164" t="s">
        <v>196</v>
      </c>
      <c r="AB2507" s="164" t="s">
        <v>187</v>
      </c>
      <c r="AC2507" s="164" t="s">
        <v>187</v>
      </c>
      <c r="AD2507" s="165">
        <v>2</v>
      </c>
      <c r="AE2507" s="164" t="s">
        <v>187</v>
      </c>
      <c r="AF2507" s="165">
        <v>26.0251746687034</v>
      </c>
      <c r="AG2507" s="166">
        <v>63.1079869016218</v>
      </c>
      <c r="AO2507" s="121"/>
      <c r="AT2507" s="111"/>
      <c r="AX2507" s="121"/>
    </row>
    <row r="2508" spans="1:50" s="110" customFormat="1" ht="20" customHeight="1">
      <c r="A2508" s="125" t="s">
        <v>231</v>
      </c>
      <c r="B2508" s="126" t="s">
        <v>66</v>
      </c>
      <c r="C2508" s="127">
        <v>19448</v>
      </c>
      <c r="D2508" s="163">
        <v>115576</v>
      </c>
      <c r="E2508" s="164" t="s">
        <v>923</v>
      </c>
      <c r="F2508" s="164" t="s">
        <v>923</v>
      </c>
      <c r="G2508" s="165">
        <v>106000</v>
      </c>
      <c r="H2508" s="165">
        <v>1</v>
      </c>
      <c r="I2508" s="164" t="s">
        <v>187</v>
      </c>
      <c r="J2508" s="164" t="s">
        <v>222</v>
      </c>
      <c r="K2508" s="164" t="s">
        <v>223</v>
      </c>
      <c r="L2508" s="165">
        <v>4</v>
      </c>
      <c r="M2508" s="165">
        <v>6</v>
      </c>
      <c r="N2508" s="164" t="s">
        <v>189</v>
      </c>
      <c r="O2508" s="165">
        <v>0</v>
      </c>
      <c r="P2508" s="165">
        <v>0</v>
      </c>
      <c r="Q2508" s="165">
        <v>21</v>
      </c>
      <c r="R2508" s="164" t="s">
        <v>200</v>
      </c>
      <c r="S2508" s="164" t="s">
        <v>201</v>
      </c>
      <c r="T2508" s="165">
        <v>462</v>
      </c>
      <c r="U2508" s="164" t="s">
        <v>200</v>
      </c>
      <c r="V2508" s="164" t="s">
        <v>202</v>
      </c>
      <c r="W2508" s="165">
        <v>1</v>
      </c>
      <c r="X2508" s="165">
        <v>4</v>
      </c>
      <c r="Y2508" s="164" t="s">
        <v>203</v>
      </c>
      <c r="Z2508" s="164" t="s">
        <v>195</v>
      </c>
      <c r="AA2508" s="164" t="s">
        <v>196</v>
      </c>
      <c r="AB2508" s="164" t="s">
        <v>187</v>
      </c>
      <c r="AC2508" s="164" t="s">
        <v>187</v>
      </c>
      <c r="AD2508" s="165">
        <v>2</v>
      </c>
      <c r="AE2508" s="164" t="s">
        <v>187</v>
      </c>
      <c r="AF2508" s="165">
        <v>33.4287490499405</v>
      </c>
      <c r="AG2508" s="166">
        <v>73.228408972657604</v>
      </c>
      <c r="AO2508" s="121"/>
      <c r="AT2508" s="111"/>
      <c r="AX2508" s="121"/>
    </row>
    <row r="2509" spans="1:50" s="110" customFormat="1" ht="20" customHeight="1">
      <c r="A2509" s="125" t="s">
        <v>231</v>
      </c>
      <c r="B2509" s="126" t="s">
        <v>66</v>
      </c>
      <c r="C2509" s="127">
        <v>16279</v>
      </c>
      <c r="D2509" s="163">
        <v>111404</v>
      </c>
      <c r="E2509" s="164" t="s">
        <v>317</v>
      </c>
      <c r="F2509" s="164" t="s">
        <v>317</v>
      </c>
      <c r="G2509" s="165">
        <v>98000</v>
      </c>
      <c r="H2509" s="165">
        <v>1</v>
      </c>
      <c r="I2509" s="164" t="s">
        <v>187</v>
      </c>
      <c r="J2509" s="164" t="s">
        <v>216</v>
      </c>
      <c r="K2509" s="164" t="s">
        <v>217</v>
      </c>
      <c r="L2509" s="165">
        <v>5</v>
      </c>
      <c r="M2509" s="165">
        <v>6</v>
      </c>
      <c r="N2509" s="164" t="s">
        <v>189</v>
      </c>
      <c r="O2509" s="165">
        <v>0</v>
      </c>
      <c r="P2509" s="165">
        <v>0</v>
      </c>
      <c r="Q2509" s="165">
        <v>21</v>
      </c>
      <c r="R2509" s="164" t="s">
        <v>200</v>
      </c>
      <c r="S2509" s="164" t="s">
        <v>201</v>
      </c>
      <c r="T2509" s="165">
        <v>462</v>
      </c>
      <c r="U2509" s="164" t="s">
        <v>200</v>
      </c>
      <c r="V2509" s="164" t="s">
        <v>202</v>
      </c>
      <c r="W2509" s="165">
        <v>2</v>
      </c>
      <c r="X2509" s="165">
        <v>4</v>
      </c>
      <c r="Y2509" s="164" t="s">
        <v>203</v>
      </c>
      <c r="Z2509" s="164" t="s">
        <v>195</v>
      </c>
      <c r="AA2509" s="164" t="s">
        <v>196</v>
      </c>
      <c r="AB2509" s="164" t="s">
        <v>187</v>
      </c>
      <c r="AC2509" s="164" t="s">
        <v>187</v>
      </c>
      <c r="AD2509" s="165">
        <v>2</v>
      </c>
      <c r="AE2509" s="164" t="s">
        <v>187</v>
      </c>
      <c r="AF2509" s="165">
        <v>33.524453036086697</v>
      </c>
      <c r="AG2509" s="166">
        <v>73.921590738077896</v>
      </c>
      <c r="AO2509" s="121"/>
      <c r="AT2509" s="111"/>
      <c r="AX2509" s="121"/>
    </row>
    <row r="2510" spans="1:50" s="110" customFormat="1" ht="20" customHeight="1">
      <c r="A2510" s="125" t="s">
        <v>231</v>
      </c>
      <c r="B2510" s="126" t="s">
        <v>66</v>
      </c>
      <c r="C2510" s="127">
        <v>19477</v>
      </c>
      <c r="D2510" s="163">
        <v>100142</v>
      </c>
      <c r="E2510" s="164" t="s">
        <v>221</v>
      </c>
      <c r="F2510" s="164" t="s">
        <v>221</v>
      </c>
      <c r="G2510" s="165">
        <v>87000</v>
      </c>
      <c r="H2510" s="165">
        <v>1</v>
      </c>
      <c r="I2510" s="164" t="s">
        <v>187</v>
      </c>
      <c r="J2510" s="164" t="s">
        <v>222</v>
      </c>
      <c r="K2510" s="164" t="s">
        <v>223</v>
      </c>
      <c r="L2510" s="165">
        <v>4</v>
      </c>
      <c r="M2510" s="165">
        <v>6</v>
      </c>
      <c r="N2510" s="164" t="s">
        <v>189</v>
      </c>
      <c r="O2510" s="165">
        <v>0</v>
      </c>
      <c r="P2510" s="165">
        <v>0</v>
      </c>
      <c r="Q2510" s="165">
        <v>21</v>
      </c>
      <c r="R2510" s="164" t="s">
        <v>200</v>
      </c>
      <c r="S2510" s="164" t="s">
        <v>201</v>
      </c>
      <c r="T2510" s="165">
        <v>462</v>
      </c>
      <c r="U2510" s="164" t="s">
        <v>200</v>
      </c>
      <c r="V2510" s="164" t="s">
        <v>202</v>
      </c>
      <c r="W2510" s="165">
        <v>3</v>
      </c>
      <c r="X2510" s="165">
        <v>4</v>
      </c>
      <c r="Y2510" s="164" t="s">
        <v>203</v>
      </c>
      <c r="Z2510" s="164" t="s">
        <v>195</v>
      </c>
      <c r="AA2510" s="164" t="s">
        <v>196</v>
      </c>
      <c r="AB2510" s="164" t="s">
        <v>187</v>
      </c>
      <c r="AC2510" s="164" t="s">
        <v>187</v>
      </c>
      <c r="AD2510" s="165">
        <v>2</v>
      </c>
      <c r="AE2510" s="164" t="s">
        <v>187</v>
      </c>
      <c r="AF2510" s="165">
        <v>31.373386771444999</v>
      </c>
      <c r="AG2510" s="166">
        <v>74.375294970295698</v>
      </c>
      <c r="AO2510" s="121"/>
      <c r="AT2510" s="111"/>
      <c r="AX2510" s="121"/>
    </row>
    <row r="2511" spans="1:50" s="110" customFormat="1" ht="20" customHeight="1">
      <c r="A2511" s="125" t="s">
        <v>231</v>
      </c>
      <c r="B2511" s="126" t="s">
        <v>66</v>
      </c>
      <c r="C2511" s="127">
        <v>16333</v>
      </c>
      <c r="D2511" s="163">
        <v>111469</v>
      </c>
      <c r="E2511" s="164" t="s">
        <v>310</v>
      </c>
      <c r="F2511" s="164" t="s">
        <v>310</v>
      </c>
      <c r="G2511" s="165">
        <v>85000</v>
      </c>
      <c r="H2511" s="165">
        <v>1</v>
      </c>
      <c r="I2511" s="164" t="s">
        <v>187</v>
      </c>
      <c r="J2511" s="164" t="s">
        <v>222</v>
      </c>
      <c r="K2511" s="164" t="s">
        <v>223</v>
      </c>
      <c r="L2511" s="165">
        <v>4</v>
      </c>
      <c r="M2511" s="165">
        <v>6</v>
      </c>
      <c r="N2511" s="164" t="s">
        <v>189</v>
      </c>
      <c r="O2511" s="165">
        <v>0</v>
      </c>
      <c r="P2511" s="165">
        <v>0</v>
      </c>
      <c r="Q2511" s="165">
        <v>21</v>
      </c>
      <c r="R2511" s="164" t="s">
        <v>200</v>
      </c>
      <c r="S2511" s="164" t="s">
        <v>201</v>
      </c>
      <c r="T2511" s="165">
        <v>462</v>
      </c>
      <c r="U2511" s="164" t="s">
        <v>200</v>
      </c>
      <c r="V2511" s="164" t="s">
        <v>202</v>
      </c>
      <c r="W2511" s="165">
        <v>4</v>
      </c>
      <c r="X2511" s="165">
        <v>4</v>
      </c>
      <c r="Y2511" s="164" t="s">
        <v>203</v>
      </c>
      <c r="Z2511" s="164" t="s">
        <v>195</v>
      </c>
      <c r="AA2511" s="164" t="s">
        <v>196</v>
      </c>
      <c r="AB2511" s="164" t="s">
        <v>187</v>
      </c>
      <c r="AC2511" s="164" t="s">
        <v>187</v>
      </c>
      <c r="AD2511" s="165">
        <v>2</v>
      </c>
      <c r="AE2511" s="164" t="s">
        <v>187</v>
      </c>
      <c r="AF2511" s="165">
        <v>25.498276684960601</v>
      </c>
      <c r="AG2511" s="166">
        <v>68.508130933086903</v>
      </c>
      <c r="AO2511" s="121"/>
      <c r="AT2511" s="111"/>
      <c r="AX2511" s="121"/>
    </row>
    <row r="2512" spans="1:50" s="110" customFormat="1" ht="20" customHeight="1">
      <c r="A2512" s="125" t="s">
        <v>231</v>
      </c>
      <c r="B2512" s="126" t="s">
        <v>66</v>
      </c>
      <c r="C2512" s="127">
        <v>17532</v>
      </c>
      <c r="D2512" s="163">
        <v>112954</v>
      </c>
      <c r="E2512" s="164" t="s">
        <v>1126</v>
      </c>
      <c r="F2512" s="164" t="s">
        <v>1126</v>
      </c>
      <c r="G2512" s="165">
        <v>85000</v>
      </c>
      <c r="H2512" s="165">
        <v>1</v>
      </c>
      <c r="I2512" s="164" t="s">
        <v>187</v>
      </c>
      <c r="J2512" s="164" t="s">
        <v>222</v>
      </c>
      <c r="K2512" s="164" t="s">
        <v>223</v>
      </c>
      <c r="L2512" s="165">
        <v>4</v>
      </c>
      <c r="M2512" s="165">
        <v>6</v>
      </c>
      <c r="N2512" s="164" t="s">
        <v>189</v>
      </c>
      <c r="O2512" s="165">
        <v>0</v>
      </c>
      <c r="P2512" s="165">
        <v>0</v>
      </c>
      <c r="Q2512" s="165">
        <v>21</v>
      </c>
      <c r="R2512" s="164" t="s">
        <v>200</v>
      </c>
      <c r="S2512" s="164" t="s">
        <v>201</v>
      </c>
      <c r="T2512" s="165">
        <v>462</v>
      </c>
      <c r="U2512" s="164" t="s">
        <v>200</v>
      </c>
      <c r="V2512" s="164" t="s">
        <v>202</v>
      </c>
      <c r="W2512" s="165">
        <v>2</v>
      </c>
      <c r="X2512" s="165">
        <v>4</v>
      </c>
      <c r="Y2512" s="164" t="s">
        <v>203</v>
      </c>
      <c r="Z2512" s="164" t="s">
        <v>195</v>
      </c>
      <c r="AA2512" s="164" t="s">
        <v>196</v>
      </c>
      <c r="AB2512" s="164" t="s">
        <v>187</v>
      </c>
      <c r="AC2512" s="164" t="s">
        <v>187</v>
      </c>
      <c r="AD2512" s="165">
        <v>2</v>
      </c>
      <c r="AE2512" s="164" t="s">
        <v>187</v>
      </c>
      <c r="AF2512" s="165">
        <v>31.3555646450381</v>
      </c>
      <c r="AG2512" s="166">
        <v>73.241533717087904</v>
      </c>
      <c r="AO2512" s="121"/>
      <c r="AT2512" s="111"/>
      <c r="AX2512" s="121"/>
    </row>
    <row r="2513" spans="1:50" s="110" customFormat="1" ht="20" customHeight="1">
      <c r="A2513" s="125" t="s">
        <v>231</v>
      </c>
      <c r="B2513" s="126" t="s">
        <v>66</v>
      </c>
      <c r="C2513" s="127">
        <v>17420</v>
      </c>
      <c r="D2513" s="163">
        <v>112821</v>
      </c>
      <c r="E2513" s="164" t="s">
        <v>1054</v>
      </c>
      <c r="F2513" s="164" t="s">
        <v>1054</v>
      </c>
      <c r="G2513" s="165">
        <v>81000</v>
      </c>
      <c r="H2513" s="165">
        <v>1</v>
      </c>
      <c r="I2513" s="164" t="s">
        <v>187</v>
      </c>
      <c r="J2513" s="164" t="s">
        <v>216</v>
      </c>
      <c r="K2513" s="164" t="s">
        <v>217</v>
      </c>
      <c r="L2513" s="165">
        <v>5</v>
      </c>
      <c r="M2513" s="165">
        <v>6</v>
      </c>
      <c r="N2513" s="164" t="s">
        <v>189</v>
      </c>
      <c r="O2513" s="165">
        <v>0</v>
      </c>
      <c r="P2513" s="165">
        <v>0</v>
      </c>
      <c r="Q2513" s="165">
        <v>21</v>
      </c>
      <c r="R2513" s="164" t="s">
        <v>200</v>
      </c>
      <c r="S2513" s="164" t="s">
        <v>201</v>
      </c>
      <c r="T2513" s="165">
        <v>462</v>
      </c>
      <c r="U2513" s="164" t="s">
        <v>200</v>
      </c>
      <c r="V2513" s="164" t="s">
        <v>202</v>
      </c>
      <c r="W2513" s="165">
        <v>2</v>
      </c>
      <c r="X2513" s="165">
        <v>4</v>
      </c>
      <c r="Y2513" s="164" t="s">
        <v>203</v>
      </c>
      <c r="Z2513" s="164" t="s">
        <v>195</v>
      </c>
      <c r="AA2513" s="164" t="s">
        <v>196</v>
      </c>
      <c r="AB2513" s="164" t="s">
        <v>187</v>
      </c>
      <c r="AC2513" s="164" t="s">
        <v>187</v>
      </c>
      <c r="AD2513" s="165">
        <v>2</v>
      </c>
      <c r="AE2513" s="164" t="s">
        <v>187</v>
      </c>
      <c r="AF2513" s="165">
        <v>24.913825977912499</v>
      </c>
      <c r="AG2513" s="166">
        <v>67.073868402242496</v>
      </c>
      <c r="AO2513" s="121"/>
      <c r="AT2513" s="111"/>
      <c r="AX2513" s="121"/>
    </row>
    <row r="2514" spans="1:50" s="110" customFormat="1" ht="20" customHeight="1">
      <c r="A2514" s="125" t="s">
        <v>231</v>
      </c>
      <c r="B2514" s="126" t="s">
        <v>66</v>
      </c>
      <c r="C2514" s="127">
        <v>17595</v>
      </c>
      <c r="D2514" s="163">
        <v>113025</v>
      </c>
      <c r="E2514" s="164" t="s">
        <v>942</v>
      </c>
      <c r="F2514" s="164" t="s">
        <v>942</v>
      </c>
      <c r="G2514" s="165">
        <v>80000</v>
      </c>
      <c r="H2514" s="165">
        <v>1</v>
      </c>
      <c r="I2514" s="164" t="s">
        <v>187</v>
      </c>
      <c r="J2514" s="164" t="s">
        <v>219</v>
      </c>
      <c r="K2514" s="164" t="s">
        <v>220</v>
      </c>
      <c r="L2514" s="165">
        <v>5</v>
      </c>
      <c r="M2514" s="165">
        <v>6</v>
      </c>
      <c r="N2514" s="164" t="s">
        <v>189</v>
      </c>
      <c r="O2514" s="165">
        <v>0</v>
      </c>
      <c r="P2514" s="165">
        <v>0</v>
      </c>
      <c r="Q2514" s="165">
        <v>21</v>
      </c>
      <c r="R2514" s="164" t="s">
        <v>200</v>
      </c>
      <c r="S2514" s="164" t="s">
        <v>201</v>
      </c>
      <c r="T2514" s="165">
        <v>462</v>
      </c>
      <c r="U2514" s="164" t="s">
        <v>200</v>
      </c>
      <c r="V2514" s="164" t="s">
        <v>202</v>
      </c>
      <c r="W2514" s="165">
        <v>2</v>
      </c>
      <c r="X2514" s="165">
        <v>4</v>
      </c>
      <c r="Y2514" s="164" t="s">
        <v>203</v>
      </c>
      <c r="Z2514" s="164" t="s">
        <v>195</v>
      </c>
      <c r="AA2514" s="164" t="s">
        <v>196</v>
      </c>
      <c r="AB2514" s="164" t="s">
        <v>187</v>
      </c>
      <c r="AC2514" s="164" t="s">
        <v>187</v>
      </c>
      <c r="AD2514" s="165">
        <v>2</v>
      </c>
      <c r="AE2514" s="164" t="s">
        <v>187</v>
      </c>
      <c r="AF2514" s="165">
        <v>24.5013126170399</v>
      </c>
      <c r="AG2514" s="166">
        <v>67.922916539891304</v>
      </c>
      <c r="AO2514" s="121"/>
      <c r="AT2514" s="111"/>
      <c r="AX2514" s="121"/>
    </row>
    <row r="2515" spans="1:50" s="110" customFormat="1" ht="20" customHeight="1">
      <c r="A2515" s="125" t="s">
        <v>231</v>
      </c>
      <c r="B2515" s="126" t="s">
        <v>66</v>
      </c>
      <c r="C2515" s="127">
        <v>16400</v>
      </c>
      <c r="D2515" s="163">
        <v>111547</v>
      </c>
      <c r="E2515" s="164" t="s">
        <v>487</v>
      </c>
      <c r="F2515" s="164" t="s">
        <v>487</v>
      </c>
      <c r="G2515" s="165">
        <v>79000</v>
      </c>
      <c r="H2515" s="165">
        <v>1</v>
      </c>
      <c r="I2515" s="164" t="s">
        <v>187</v>
      </c>
      <c r="J2515" s="164" t="s">
        <v>219</v>
      </c>
      <c r="K2515" s="164" t="s">
        <v>220</v>
      </c>
      <c r="L2515" s="165">
        <v>5</v>
      </c>
      <c r="M2515" s="165">
        <v>6</v>
      </c>
      <c r="N2515" s="164" t="s">
        <v>189</v>
      </c>
      <c r="O2515" s="165">
        <v>0</v>
      </c>
      <c r="P2515" s="165">
        <v>0</v>
      </c>
      <c r="Q2515" s="165">
        <v>21</v>
      </c>
      <c r="R2515" s="164" t="s">
        <v>200</v>
      </c>
      <c r="S2515" s="164" t="s">
        <v>201</v>
      </c>
      <c r="T2515" s="165">
        <v>462</v>
      </c>
      <c r="U2515" s="164" t="s">
        <v>200</v>
      </c>
      <c r="V2515" s="164" t="s">
        <v>202</v>
      </c>
      <c r="W2515" s="165">
        <v>3</v>
      </c>
      <c r="X2515" s="165">
        <v>4</v>
      </c>
      <c r="Y2515" s="164" t="s">
        <v>203</v>
      </c>
      <c r="Z2515" s="164" t="s">
        <v>195</v>
      </c>
      <c r="AA2515" s="164" t="s">
        <v>196</v>
      </c>
      <c r="AB2515" s="164" t="s">
        <v>187</v>
      </c>
      <c r="AC2515" s="164" t="s">
        <v>187</v>
      </c>
      <c r="AD2515" s="165">
        <v>2</v>
      </c>
      <c r="AE2515" s="164" t="s">
        <v>187</v>
      </c>
      <c r="AF2515" s="165">
        <v>27.607068602064</v>
      </c>
      <c r="AG2515" s="166">
        <v>67.802966450752294</v>
      </c>
      <c r="AO2515" s="121"/>
      <c r="AT2515" s="111"/>
      <c r="AX2515" s="121"/>
    </row>
    <row r="2516" spans="1:50" s="110" customFormat="1" ht="20" customHeight="1">
      <c r="A2516" s="125" t="s">
        <v>231</v>
      </c>
      <c r="B2516" s="126" t="s">
        <v>66</v>
      </c>
      <c r="C2516" s="127">
        <v>17972</v>
      </c>
      <c r="D2516" s="163">
        <v>113461</v>
      </c>
      <c r="E2516" s="164" t="s">
        <v>1292</v>
      </c>
      <c r="F2516" s="164" t="s">
        <v>1292</v>
      </c>
      <c r="G2516" s="165">
        <v>72000</v>
      </c>
      <c r="H2516" s="165">
        <v>1</v>
      </c>
      <c r="I2516" s="164" t="s">
        <v>187</v>
      </c>
      <c r="J2516" s="164" t="s">
        <v>222</v>
      </c>
      <c r="K2516" s="164" t="s">
        <v>223</v>
      </c>
      <c r="L2516" s="165">
        <v>4</v>
      </c>
      <c r="M2516" s="165">
        <v>6</v>
      </c>
      <c r="N2516" s="164" t="s">
        <v>189</v>
      </c>
      <c r="O2516" s="165">
        <v>0</v>
      </c>
      <c r="P2516" s="165">
        <v>0</v>
      </c>
      <c r="Q2516" s="165">
        <v>21</v>
      </c>
      <c r="R2516" s="164" t="s">
        <v>200</v>
      </c>
      <c r="S2516" s="164" t="s">
        <v>201</v>
      </c>
      <c r="T2516" s="165">
        <v>462</v>
      </c>
      <c r="U2516" s="164" t="s">
        <v>200</v>
      </c>
      <c r="V2516" s="164" t="s">
        <v>202</v>
      </c>
      <c r="W2516" s="165">
        <v>3</v>
      </c>
      <c r="X2516" s="165">
        <v>4</v>
      </c>
      <c r="Y2516" s="164" t="s">
        <v>203</v>
      </c>
      <c r="Z2516" s="164" t="s">
        <v>195</v>
      </c>
      <c r="AA2516" s="164" t="s">
        <v>196</v>
      </c>
      <c r="AB2516" s="164" t="s">
        <v>187</v>
      </c>
      <c r="AC2516" s="164" t="s">
        <v>187</v>
      </c>
      <c r="AD2516" s="165">
        <v>1</v>
      </c>
      <c r="AE2516" s="164" t="s">
        <v>187</v>
      </c>
      <c r="AF2516" s="165">
        <v>31.8675561389256</v>
      </c>
      <c r="AG2516" s="166">
        <v>70.692138960340998</v>
      </c>
      <c r="AO2516" s="121"/>
      <c r="AT2516" s="111"/>
      <c r="AX2516" s="121"/>
    </row>
    <row r="2517" spans="1:50" s="110" customFormat="1" ht="20" customHeight="1">
      <c r="A2517" s="125" t="s">
        <v>231</v>
      </c>
      <c r="B2517" s="126" t="s">
        <v>66</v>
      </c>
      <c r="C2517" s="127">
        <v>18787</v>
      </c>
      <c r="D2517" s="163">
        <v>114474</v>
      </c>
      <c r="E2517" s="164" t="s">
        <v>1085</v>
      </c>
      <c r="F2517" s="164" t="s">
        <v>1085</v>
      </c>
      <c r="G2517" s="165">
        <v>70000</v>
      </c>
      <c r="H2517" s="165">
        <v>1</v>
      </c>
      <c r="I2517" s="164" t="s">
        <v>187</v>
      </c>
      <c r="J2517" s="164" t="s">
        <v>222</v>
      </c>
      <c r="K2517" s="164" t="s">
        <v>223</v>
      </c>
      <c r="L2517" s="165">
        <v>4</v>
      </c>
      <c r="M2517" s="165">
        <v>6</v>
      </c>
      <c r="N2517" s="164" t="s">
        <v>189</v>
      </c>
      <c r="O2517" s="165">
        <v>0</v>
      </c>
      <c r="P2517" s="165">
        <v>0</v>
      </c>
      <c r="Q2517" s="165">
        <v>21</v>
      </c>
      <c r="R2517" s="164" t="s">
        <v>200</v>
      </c>
      <c r="S2517" s="164" t="s">
        <v>201</v>
      </c>
      <c r="T2517" s="165">
        <v>462</v>
      </c>
      <c r="U2517" s="164" t="s">
        <v>200</v>
      </c>
      <c r="V2517" s="164" t="s">
        <v>202</v>
      </c>
      <c r="W2517" s="165">
        <v>2</v>
      </c>
      <c r="X2517" s="165">
        <v>4</v>
      </c>
      <c r="Y2517" s="164" t="s">
        <v>203</v>
      </c>
      <c r="Z2517" s="164" t="s">
        <v>195</v>
      </c>
      <c r="AA2517" s="164" t="s">
        <v>196</v>
      </c>
      <c r="AB2517" s="164" t="s">
        <v>187</v>
      </c>
      <c r="AC2517" s="164" t="s">
        <v>187</v>
      </c>
      <c r="AD2517" s="165">
        <v>1</v>
      </c>
      <c r="AE2517" s="164" t="s">
        <v>187</v>
      </c>
      <c r="AF2517" s="165">
        <v>33.575669138029298</v>
      </c>
      <c r="AG2517" s="166">
        <v>72.370880283200705</v>
      </c>
      <c r="AO2517" s="121"/>
      <c r="AT2517" s="111"/>
      <c r="AX2517" s="121"/>
    </row>
    <row r="2518" spans="1:50" s="110" customFormat="1" ht="20" customHeight="1">
      <c r="A2518" s="125" t="s">
        <v>231</v>
      </c>
      <c r="B2518" s="126" t="s">
        <v>66</v>
      </c>
      <c r="C2518" s="127">
        <v>17446</v>
      </c>
      <c r="D2518" s="163">
        <v>112851</v>
      </c>
      <c r="E2518" s="164" t="s">
        <v>1106</v>
      </c>
      <c r="F2518" s="164" t="s">
        <v>1106</v>
      </c>
      <c r="G2518" s="165">
        <v>70000</v>
      </c>
      <c r="H2518" s="165">
        <v>1</v>
      </c>
      <c r="I2518" s="164" t="s">
        <v>187</v>
      </c>
      <c r="J2518" s="164" t="s">
        <v>222</v>
      </c>
      <c r="K2518" s="164" t="s">
        <v>223</v>
      </c>
      <c r="L2518" s="165">
        <v>4</v>
      </c>
      <c r="M2518" s="165">
        <v>6</v>
      </c>
      <c r="N2518" s="164" t="s">
        <v>189</v>
      </c>
      <c r="O2518" s="165">
        <v>0</v>
      </c>
      <c r="P2518" s="165">
        <v>0</v>
      </c>
      <c r="Q2518" s="165">
        <v>21</v>
      </c>
      <c r="R2518" s="164" t="s">
        <v>200</v>
      </c>
      <c r="S2518" s="164" t="s">
        <v>201</v>
      </c>
      <c r="T2518" s="165">
        <v>462</v>
      </c>
      <c r="U2518" s="164" t="s">
        <v>200</v>
      </c>
      <c r="V2518" s="164" t="s">
        <v>202</v>
      </c>
      <c r="W2518" s="165">
        <v>3</v>
      </c>
      <c r="X2518" s="165">
        <v>4</v>
      </c>
      <c r="Y2518" s="164" t="s">
        <v>203</v>
      </c>
      <c r="Z2518" s="164" t="s">
        <v>195</v>
      </c>
      <c r="AA2518" s="164" t="s">
        <v>196</v>
      </c>
      <c r="AB2518" s="164" t="s">
        <v>187</v>
      </c>
      <c r="AC2518" s="164" t="s">
        <v>187</v>
      </c>
      <c r="AD2518" s="165">
        <v>1</v>
      </c>
      <c r="AE2518" s="164" t="s">
        <v>187</v>
      </c>
      <c r="AF2518" s="165">
        <v>25.499198612041798</v>
      </c>
      <c r="AG2518" s="166">
        <v>68.510376079490797</v>
      </c>
      <c r="AO2518" s="121"/>
      <c r="AT2518" s="111"/>
      <c r="AX2518" s="121"/>
    </row>
    <row r="2519" spans="1:50" s="110" customFormat="1" ht="20" customHeight="1">
      <c r="A2519" s="125" t="s">
        <v>231</v>
      </c>
      <c r="B2519" s="126" t="s">
        <v>66</v>
      </c>
      <c r="C2519" s="127">
        <v>19463</v>
      </c>
      <c r="D2519" s="163">
        <v>115608</v>
      </c>
      <c r="E2519" s="164" t="s">
        <v>1386</v>
      </c>
      <c r="F2519" s="164" t="s">
        <v>1386</v>
      </c>
      <c r="G2519" s="165">
        <v>68000</v>
      </c>
      <c r="H2519" s="165">
        <v>1</v>
      </c>
      <c r="I2519" s="164" t="s">
        <v>187</v>
      </c>
      <c r="J2519" s="164" t="s">
        <v>346</v>
      </c>
      <c r="K2519" s="164" t="s">
        <v>347</v>
      </c>
      <c r="L2519" s="165">
        <v>4</v>
      </c>
      <c r="M2519" s="165">
        <v>6</v>
      </c>
      <c r="N2519" s="164" t="s">
        <v>189</v>
      </c>
      <c r="O2519" s="165">
        <v>0</v>
      </c>
      <c r="P2519" s="165">
        <v>0</v>
      </c>
      <c r="Q2519" s="165">
        <v>21</v>
      </c>
      <c r="R2519" s="164" t="s">
        <v>200</v>
      </c>
      <c r="S2519" s="164" t="s">
        <v>201</v>
      </c>
      <c r="T2519" s="165">
        <v>462</v>
      </c>
      <c r="U2519" s="164" t="s">
        <v>200</v>
      </c>
      <c r="V2519" s="164" t="s">
        <v>202</v>
      </c>
      <c r="W2519" s="165">
        <v>1</v>
      </c>
      <c r="X2519" s="165">
        <v>4</v>
      </c>
      <c r="Y2519" s="164" t="s">
        <v>203</v>
      </c>
      <c r="Z2519" s="164" t="s">
        <v>195</v>
      </c>
      <c r="AA2519" s="164" t="s">
        <v>196</v>
      </c>
      <c r="AB2519" s="164" t="s">
        <v>187</v>
      </c>
      <c r="AC2519" s="164" t="s">
        <v>187</v>
      </c>
      <c r="AD2519" s="165">
        <v>1</v>
      </c>
      <c r="AE2519" s="164" t="s">
        <v>187</v>
      </c>
      <c r="AF2519" s="165">
        <v>27.508434234439001</v>
      </c>
      <c r="AG2519" s="166">
        <v>66.668870512420796</v>
      </c>
      <c r="AO2519" s="121"/>
      <c r="AT2519" s="111"/>
      <c r="AX2519" s="121"/>
    </row>
    <row r="2520" spans="1:50" s="110" customFormat="1" ht="20" customHeight="1">
      <c r="A2520" s="125" t="s">
        <v>231</v>
      </c>
      <c r="B2520" s="126" t="s">
        <v>66</v>
      </c>
      <c r="C2520" s="127">
        <v>16418</v>
      </c>
      <c r="D2520" s="163">
        <v>111569</v>
      </c>
      <c r="E2520" s="164" t="s">
        <v>498</v>
      </c>
      <c r="F2520" s="164" t="s">
        <v>498</v>
      </c>
      <c r="G2520" s="165">
        <v>67000</v>
      </c>
      <c r="H2520" s="165">
        <v>1</v>
      </c>
      <c r="I2520" s="164" t="s">
        <v>187</v>
      </c>
      <c r="J2520" s="164" t="s">
        <v>219</v>
      </c>
      <c r="K2520" s="164" t="s">
        <v>220</v>
      </c>
      <c r="L2520" s="165">
        <v>5</v>
      </c>
      <c r="M2520" s="165">
        <v>6</v>
      </c>
      <c r="N2520" s="164" t="s">
        <v>189</v>
      </c>
      <c r="O2520" s="165">
        <v>0</v>
      </c>
      <c r="P2520" s="165">
        <v>0</v>
      </c>
      <c r="Q2520" s="165">
        <v>21</v>
      </c>
      <c r="R2520" s="164" t="s">
        <v>200</v>
      </c>
      <c r="S2520" s="164" t="s">
        <v>201</v>
      </c>
      <c r="T2520" s="165">
        <v>462</v>
      </c>
      <c r="U2520" s="164" t="s">
        <v>200</v>
      </c>
      <c r="V2520" s="164" t="s">
        <v>202</v>
      </c>
      <c r="W2520" s="165">
        <v>2</v>
      </c>
      <c r="X2520" s="165">
        <v>4</v>
      </c>
      <c r="Y2520" s="164" t="s">
        <v>203</v>
      </c>
      <c r="Z2520" s="164" t="s">
        <v>195</v>
      </c>
      <c r="AA2520" s="164" t="s">
        <v>196</v>
      </c>
      <c r="AB2520" s="164" t="s">
        <v>187</v>
      </c>
      <c r="AC2520" s="164" t="s">
        <v>187</v>
      </c>
      <c r="AD2520" s="165">
        <v>1</v>
      </c>
      <c r="AE2520" s="164" t="s">
        <v>187</v>
      </c>
      <c r="AF2520" s="165">
        <v>25.490836300760598</v>
      </c>
      <c r="AG2520" s="166">
        <v>68.514795973003601</v>
      </c>
      <c r="AO2520" s="121"/>
      <c r="AT2520" s="111"/>
      <c r="AX2520" s="121"/>
    </row>
    <row r="2521" spans="1:50" s="110" customFormat="1" ht="20" customHeight="1">
      <c r="A2521" s="125" t="s">
        <v>231</v>
      </c>
      <c r="B2521" s="126" t="s">
        <v>66</v>
      </c>
      <c r="C2521" s="127">
        <v>19452</v>
      </c>
      <c r="D2521" s="163">
        <v>115600</v>
      </c>
      <c r="E2521" s="164" t="s">
        <v>1025</v>
      </c>
      <c r="F2521" s="164" t="s">
        <v>1025</v>
      </c>
      <c r="G2521" s="165">
        <v>67000</v>
      </c>
      <c r="H2521" s="165">
        <v>1</v>
      </c>
      <c r="I2521" s="164" t="s">
        <v>187</v>
      </c>
      <c r="J2521" s="164" t="s">
        <v>346</v>
      </c>
      <c r="K2521" s="164" t="s">
        <v>347</v>
      </c>
      <c r="L2521" s="165">
        <v>4</v>
      </c>
      <c r="M2521" s="165">
        <v>6</v>
      </c>
      <c r="N2521" s="164" t="s">
        <v>189</v>
      </c>
      <c r="O2521" s="165">
        <v>0</v>
      </c>
      <c r="P2521" s="165">
        <v>0</v>
      </c>
      <c r="Q2521" s="165">
        <v>21</v>
      </c>
      <c r="R2521" s="164" t="s">
        <v>200</v>
      </c>
      <c r="S2521" s="164" t="s">
        <v>201</v>
      </c>
      <c r="T2521" s="165">
        <v>462</v>
      </c>
      <c r="U2521" s="164" t="s">
        <v>200</v>
      </c>
      <c r="V2521" s="164" t="s">
        <v>202</v>
      </c>
      <c r="W2521" s="165">
        <v>1</v>
      </c>
      <c r="X2521" s="165">
        <v>4</v>
      </c>
      <c r="Y2521" s="164" t="s">
        <v>203</v>
      </c>
      <c r="Z2521" s="164" t="s">
        <v>195</v>
      </c>
      <c r="AA2521" s="164" t="s">
        <v>196</v>
      </c>
      <c r="AB2521" s="164" t="s">
        <v>187</v>
      </c>
      <c r="AC2521" s="164" t="s">
        <v>187</v>
      </c>
      <c r="AD2521" s="165">
        <v>1</v>
      </c>
      <c r="AE2521" s="164" t="s">
        <v>187</v>
      </c>
      <c r="AF2521" s="165">
        <v>27.507239237495298</v>
      </c>
      <c r="AG2521" s="166">
        <v>66.673313936704005</v>
      </c>
      <c r="AO2521" s="121"/>
      <c r="AT2521" s="111"/>
      <c r="AX2521" s="121"/>
    </row>
    <row r="2522" spans="1:50" s="110" customFormat="1" ht="20" customHeight="1">
      <c r="A2522" s="125" t="s">
        <v>231</v>
      </c>
      <c r="B2522" s="126" t="s">
        <v>66</v>
      </c>
      <c r="C2522" s="127">
        <v>19441</v>
      </c>
      <c r="D2522" s="163">
        <v>102495</v>
      </c>
      <c r="E2522" s="164" t="s">
        <v>640</v>
      </c>
      <c r="F2522" s="164" t="s">
        <v>640</v>
      </c>
      <c r="G2522" s="165">
        <v>65000</v>
      </c>
      <c r="H2522" s="165">
        <v>1</v>
      </c>
      <c r="I2522" s="164" t="s">
        <v>187</v>
      </c>
      <c r="J2522" s="164" t="s">
        <v>346</v>
      </c>
      <c r="K2522" s="164" t="s">
        <v>347</v>
      </c>
      <c r="L2522" s="165">
        <v>4</v>
      </c>
      <c r="M2522" s="165">
        <v>6</v>
      </c>
      <c r="N2522" s="164" t="s">
        <v>189</v>
      </c>
      <c r="O2522" s="165">
        <v>0</v>
      </c>
      <c r="P2522" s="165">
        <v>0</v>
      </c>
      <c r="Q2522" s="165">
        <v>21</v>
      </c>
      <c r="R2522" s="164" t="s">
        <v>200</v>
      </c>
      <c r="S2522" s="164" t="s">
        <v>201</v>
      </c>
      <c r="T2522" s="165">
        <v>462</v>
      </c>
      <c r="U2522" s="164" t="s">
        <v>200</v>
      </c>
      <c r="V2522" s="164" t="s">
        <v>202</v>
      </c>
      <c r="W2522" s="165">
        <v>1</v>
      </c>
      <c r="X2522" s="165">
        <v>4</v>
      </c>
      <c r="Y2522" s="164" t="s">
        <v>203</v>
      </c>
      <c r="Z2522" s="164" t="s">
        <v>195</v>
      </c>
      <c r="AA2522" s="164" t="s">
        <v>196</v>
      </c>
      <c r="AB2522" s="164" t="s">
        <v>187</v>
      </c>
      <c r="AC2522" s="164" t="s">
        <v>187</v>
      </c>
      <c r="AD2522" s="165">
        <v>1</v>
      </c>
      <c r="AE2522" s="164" t="s">
        <v>187</v>
      </c>
      <c r="AF2522" s="165">
        <v>27.503754515086399</v>
      </c>
      <c r="AG2522" s="166">
        <v>66.675223298827703</v>
      </c>
      <c r="AO2522" s="121"/>
      <c r="AT2522" s="111"/>
      <c r="AX2522" s="121"/>
    </row>
    <row r="2523" spans="1:50" s="110" customFormat="1" ht="20" customHeight="1">
      <c r="A2523" s="125" t="s">
        <v>231</v>
      </c>
      <c r="B2523" s="126" t="s">
        <v>66</v>
      </c>
      <c r="C2523" s="127">
        <v>17220</v>
      </c>
      <c r="D2523" s="163">
        <v>112586</v>
      </c>
      <c r="E2523" s="164" t="s">
        <v>888</v>
      </c>
      <c r="F2523" s="164" t="s">
        <v>888</v>
      </c>
      <c r="G2523" s="165">
        <v>65000</v>
      </c>
      <c r="H2523" s="165">
        <v>1</v>
      </c>
      <c r="I2523" s="164" t="s">
        <v>187</v>
      </c>
      <c r="J2523" s="164" t="s">
        <v>222</v>
      </c>
      <c r="K2523" s="164" t="s">
        <v>223</v>
      </c>
      <c r="L2523" s="165">
        <v>4</v>
      </c>
      <c r="M2523" s="165">
        <v>6</v>
      </c>
      <c r="N2523" s="164" t="s">
        <v>189</v>
      </c>
      <c r="O2523" s="165">
        <v>0</v>
      </c>
      <c r="P2523" s="165">
        <v>0</v>
      </c>
      <c r="Q2523" s="165">
        <v>21</v>
      </c>
      <c r="R2523" s="164" t="s">
        <v>200</v>
      </c>
      <c r="S2523" s="164" t="s">
        <v>201</v>
      </c>
      <c r="T2523" s="165">
        <v>462</v>
      </c>
      <c r="U2523" s="164" t="s">
        <v>200</v>
      </c>
      <c r="V2523" s="164" t="s">
        <v>202</v>
      </c>
      <c r="W2523" s="165">
        <v>1</v>
      </c>
      <c r="X2523" s="165">
        <v>4</v>
      </c>
      <c r="Y2523" s="164" t="s">
        <v>203</v>
      </c>
      <c r="Z2523" s="164" t="s">
        <v>195</v>
      </c>
      <c r="AA2523" s="164" t="s">
        <v>196</v>
      </c>
      <c r="AB2523" s="164" t="s">
        <v>187</v>
      </c>
      <c r="AC2523" s="164" t="s">
        <v>187</v>
      </c>
      <c r="AD2523" s="165">
        <v>1</v>
      </c>
      <c r="AE2523" s="164" t="s">
        <v>187</v>
      </c>
      <c r="AF2523" s="165">
        <v>31.865579111645999</v>
      </c>
      <c r="AG2523" s="166">
        <v>70.687878009812096</v>
      </c>
      <c r="AO2523" s="121"/>
      <c r="AT2523" s="111"/>
      <c r="AX2523" s="121"/>
    </row>
    <row r="2524" spans="1:50" s="110" customFormat="1" ht="20" customHeight="1">
      <c r="A2524" s="125" t="s">
        <v>231</v>
      </c>
      <c r="B2524" s="126" t="s">
        <v>66</v>
      </c>
      <c r="C2524" s="127">
        <v>19445</v>
      </c>
      <c r="D2524" s="163">
        <v>115573</v>
      </c>
      <c r="E2524" s="164" t="s">
        <v>691</v>
      </c>
      <c r="F2524" s="164" t="s">
        <v>691</v>
      </c>
      <c r="G2524" s="165">
        <v>58000</v>
      </c>
      <c r="H2524" s="165">
        <v>1</v>
      </c>
      <c r="I2524" s="164" t="s">
        <v>187</v>
      </c>
      <c r="J2524" s="164" t="s">
        <v>686</v>
      </c>
      <c r="K2524" s="164" t="s">
        <v>687</v>
      </c>
      <c r="L2524" s="165">
        <v>1</v>
      </c>
      <c r="M2524" s="165">
        <v>6</v>
      </c>
      <c r="N2524" s="164" t="s">
        <v>189</v>
      </c>
      <c r="O2524" s="165">
        <v>0</v>
      </c>
      <c r="P2524" s="165">
        <v>0</v>
      </c>
      <c r="Q2524" s="165">
        <v>21</v>
      </c>
      <c r="R2524" s="164" t="s">
        <v>200</v>
      </c>
      <c r="S2524" s="164" t="s">
        <v>201</v>
      </c>
      <c r="T2524" s="165">
        <v>462</v>
      </c>
      <c r="U2524" s="164" t="s">
        <v>200</v>
      </c>
      <c r="V2524" s="164" t="s">
        <v>202</v>
      </c>
      <c r="W2524" s="165">
        <v>1</v>
      </c>
      <c r="X2524" s="165">
        <v>4</v>
      </c>
      <c r="Y2524" s="164" t="s">
        <v>203</v>
      </c>
      <c r="Z2524" s="164" t="s">
        <v>195</v>
      </c>
      <c r="AA2524" s="164" t="s">
        <v>196</v>
      </c>
      <c r="AB2524" s="164" t="s">
        <v>187</v>
      </c>
      <c r="AC2524" s="164" t="s">
        <v>187</v>
      </c>
      <c r="AD2524" s="165">
        <v>1</v>
      </c>
      <c r="AE2524" s="164" t="s">
        <v>187</v>
      </c>
      <c r="AF2524" s="165">
        <v>34.6691844551545</v>
      </c>
      <c r="AG2524" s="166">
        <v>73.362267473940804</v>
      </c>
      <c r="AO2524" s="121"/>
      <c r="AT2524" s="111"/>
      <c r="AX2524" s="121"/>
    </row>
    <row r="2525" spans="1:50" s="110" customFormat="1" ht="20" customHeight="1">
      <c r="A2525" s="125" t="s">
        <v>231</v>
      </c>
      <c r="B2525" s="126" t="s">
        <v>66</v>
      </c>
      <c r="C2525" s="127">
        <v>16407</v>
      </c>
      <c r="D2525" s="163">
        <v>111556</v>
      </c>
      <c r="E2525" s="164" t="s">
        <v>1221</v>
      </c>
      <c r="F2525" s="164" t="s">
        <v>1221</v>
      </c>
      <c r="G2525" s="165">
        <v>58000</v>
      </c>
      <c r="H2525" s="165">
        <v>1</v>
      </c>
      <c r="I2525" s="164" t="s">
        <v>187</v>
      </c>
      <c r="J2525" s="164" t="s">
        <v>216</v>
      </c>
      <c r="K2525" s="164" t="s">
        <v>217</v>
      </c>
      <c r="L2525" s="165">
        <v>5</v>
      </c>
      <c r="M2525" s="165">
        <v>6</v>
      </c>
      <c r="N2525" s="164" t="s">
        <v>189</v>
      </c>
      <c r="O2525" s="165">
        <v>0</v>
      </c>
      <c r="P2525" s="165">
        <v>0</v>
      </c>
      <c r="Q2525" s="165">
        <v>21</v>
      </c>
      <c r="R2525" s="164" t="s">
        <v>200</v>
      </c>
      <c r="S2525" s="164" t="s">
        <v>201</v>
      </c>
      <c r="T2525" s="165">
        <v>462</v>
      </c>
      <c r="U2525" s="164" t="s">
        <v>200</v>
      </c>
      <c r="V2525" s="164" t="s">
        <v>202</v>
      </c>
      <c r="W2525" s="165">
        <v>2</v>
      </c>
      <c r="X2525" s="165">
        <v>4</v>
      </c>
      <c r="Y2525" s="164" t="s">
        <v>203</v>
      </c>
      <c r="Z2525" s="164" t="s">
        <v>195</v>
      </c>
      <c r="AA2525" s="164" t="s">
        <v>196</v>
      </c>
      <c r="AB2525" s="164" t="s">
        <v>187</v>
      </c>
      <c r="AC2525" s="164" t="s">
        <v>187</v>
      </c>
      <c r="AD2525" s="165">
        <v>1</v>
      </c>
      <c r="AE2525" s="164" t="s">
        <v>187</v>
      </c>
      <c r="AF2525" s="165">
        <v>33.901712203096501</v>
      </c>
      <c r="AG2525" s="166">
        <v>73.851683501945999</v>
      </c>
      <c r="AO2525" s="121"/>
      <c r="AT2525" s="111"/>
      <c r="AX2525" s="121"/>
    </row>
    <row r="2526" spans="1:50" s="110" customFormat="1" ht="20" customHeight="1">
      <c r="A2526" s="125" t="s">
        <v>231</v>
      </c>
      <c r="B2526" s="126" t="s">
        <v>66</v>
      </c>
      <c r="C2526" s="127">
        <v>17619</v>
      </c>
      <c r="D2526" s="163">
        <v>113053</v>
      </c>
      <c r="E2526" s="164" t="s">
        <v>1121</v>
      </c>
      <c r="F2526" s="164" t="s">
        <v>1121</v>
      </c>
      <c r="G2526" s="165">
        <v>53000</v>
      </c>
      <c r="H2526" s="165">
        <v>1</v>
      </c>
      <c r="I2526" s="164" t="s">
        <v>187</v>
      </c>
      <c r="J2526" s="164" t="s">
        <v>219</v>
      </c>
      <c r="K2526" s="164" t="s">
        <v>220</v>
      </c>
      <c r="L2526" s="165">
        <v>5</v>
      </c>
      <c r="M2526" s="165">
        <v>6</v>
      </c>
      <c r="N2526" s="164" t="s">
        <v>189</v>
      </c>
      <c r="O2526" s="165">
        <v>0</v>
      </c>
      <c r="P2526" s="165">
        <v>0</v>
      </c>
      <c r="Q2526" s="165">
        <v>21</v>
      </c>
      <c r="R2526" s="164" t="s">
        <v>200</v>
      </c>
      <c r="S2526" s="164" t="s">
        <v>201</v>
      </c>
      <c r="T2526" s="165">
        <v>462</v>
      </c>
      <c r="U2526" s="164" t="s">
        <v>200</v>
      </c>
      <c r="V2526" s="164" t="s">
        <v>202</v>
      </c>
      <c r="W2526" s="165">
        <v>1</v>
      </c>
      <c r="X2526" s="165">
        <v>4</v>
      </c>
      <c r="Y2526" s="164" t="s">
        <v>203</v>
      </c>
      <c r="Z2526" s="164" t="s">
        <v>195</v>
      </c>
      <c r="AA2526" s="164" t="s">
        <v>196</v>
      </c>
      <c r="AB2526" s="164" t="s">
        <v>187</v>
      </c>
      <c r="AC2526" s="164" t="s">
        <v>187</v>
      </c>
      <c r="AD2526" s="165">
        <v>1</v>
      </c>
      <c r="AE2526" s="164" t="s">
        <v>187</v>
      </c>
      <c r="AF2526" s="165">
        <v>27.608405308562801</v>
      </c>
      <c r="AG2526" s="166">
        <v>67.800943269956505</v>
      </c>
      <c r="AO2526" s="121"/>
      <c r="AT2526" s="111"/>
      <c r="AX2526" s="121"/>
    </row>
    <row r="2527" spans="1:50" s="110" customFormat="1" ht="20" customHeight="1">
      <c r="A2527" s="125" t="s">
        <v>231</v>
      </c>
      <c r="B2527" s="126" t="s">
        <v>66</v>
      </c>
      <c r="C2527" s="127">
        <v>17627</v>
      </c>
      <c r="D2527" s="163">
        <v>113062</v>
      </c>
      <c r="E2527" s="164" t="s">
        <v>1144</v>
      </c>
      <c r="F2527" s="164" t="s">
        <v>1144</v>
      </c>
      <c r="G2527" s="165">
        <v>52000</v>
      </c>
      <c r="H2527" s="165">
        <v>1</v>
      </c>
      <c r="I2527" s="164" t="s">
        <v>187</v>
      </c>
      <c r="J2527" s="164" t="s">
        <v>219</v>
      </c>
      <c r="K2527" s="164" t="s">
        <v>220</v>
      </c>
      <c r="L2527" s="165">
        <v>5</v>
      </c>
      <c r="M2527" s="165">
        <v>6</v>
      </c>
      <c r="N2527" s="164" t="s">
        <v>189</v>
      </c>
      <c r="O2527" s="165">
        <v>0</v>
      </c>
      <c r="P2527" s="165">
        <v>0</v>
      </c>
      <c r="Q2527" s="165">
        <v>21</v>
      </c>
      <c r="R2527" s="164" t="s">
        <v>200</v>
      </c>
      <c r="S2527" s="164" t="s">
        <v>201</v>
      </c>
      <c r="T2527" s="165">
        <v>462</v>
      </c>
      <c r="U2527" s="164" t="s">
        <v>200</v>
      </c>
      <c r="V2527" s="164" t="s">
        <v>202</v>
      </c>
      <c r="W2527" s="165">
        <v>2</v>
      </c>
      <c r="X2527" s="165">
        <v>4</v>
      </c>
      <c r="Y2527" s="164" t="s">
        <v>203</v>
      </c>
      <c r="Z2527" s="164" t="s">
        <v>195</v>
      </c>
      <c r="AA2527" s="164" t="s">
        <v>196</v>
      </c>
      <c r="AB2527" s="164" t="s">
        <v>187</v>
      </c>
      <c r="AC2527" s="164" t="s">
        <v>187</v>
      </c>
      <c r="AD2527" s="165">
        <v>1</v>
      </c>
      <c r="AE2527" s="164" t="s">
        <v>187</v>
      </c>
      <c r="AF2527" s="165">
        <v>25.495614553698701</v>
      </c>
      <c r="AG2527" s="166">
        <v>68.5076924027628</v>
      </c>
      <c r="AO2527" s="121"/>
      <c r="AT2527" s="111"/>
      <c r="AX2527" s="121"/>
    </row>
    <row r="2528" spans="1:50" s="110" customFormat="1" ht="20" customHeight="1">
      <c r="A2528" s="125" t="s">
        <v>231</v>
      </c>
      <c r="B2528" s="126" t="s">
        <v>66</v>
      </c>
      <c r="C2528" s="127">
        <v>19483</v>
      </c>
      <c r="D2528" s="163">
        <v>115507</v>
      </c>
      <c r="E2528" s="164" t="s">
        <v>1036</v>
      </c>
      <c r="F2528" s="164" t="s">
        <v>1036</v>
      </c>
      <c r="G2528" s="165">
        <v>51000</v>
      </c>
      <c r="H2528" s="165">
        <v>1</v>
      </c>
      <c r="I2528" s="164" t="s">
        <v>187</v>
      </c>
      <c r="J2528" s="164" t="s">
        <v>222</v>
      </c>
      <c r="K2528" s="164" t="s">
        <v>223</v>
      </c>
      <c r="L2528" s="165">
        <v>4</v>
      </c>
      <c r="M2528" s="165">
        <v>6</v>
      </c>
      <c r="N2528" s="164" t="s">
        <v>189</v>
      </c>
      <c r="O2528" s="165">
        <v>0</v>
      </c>
      <c r="P2528" s="165">
        <v>0</v>
      </c>
      <c r="Q2528" s="165">
        <v>21</v>
      </c>
      <c r="R2528" s="164" t="s">
        <v>200</v>
      </c>
      <c r="S2528" s="164" t="s">
        <v>201</v>
      </c>
      <c r="T2528" s="165">
        <v>462</v>
      </c>
      <c r="U2528" s="164" t="s">
        <v>200</v>
      </c>
      <c r="V2528" s="164" t="s">
        <v>202</v>
      </c>
      <c r="W2528" s="165">
        <v>4</v>
      </c>
      <c r="X2528" s="165">
        <v>4</v>
      </c>
      <c r="Y2528" s="164" t="s">
        <v>203</v>
      </c>
      <c r="Z2528" s="164" t="s">
        <v>195</v>
      </c>
      <c r="AA2528" s="164" t="s">
        <v>196</v>
      </c>
      <c r="AB2528" s="164" t="s">
        <v>187</v>
      </c>
      <c r="AC2528" s="164" t="s">
        <v>187</v>
      </c>
      <c r="AD2528" s="165">
        <v>1</v>
      </c>
      <c r="AE2528" s="164" t="s">
        <v>187</v>
      </c>
      <c r="AF2528" s="165">
        <v>31.3550590022341</v>
      </c>
      <c r="AG2528" s="166">
        <v>73.245720460440594</v>
      </c>
      <c r="AO2528" s="121"/>
      <c r="AT2528" s="111"/>
      <c r="AX2528" s="121"/>
    </row>
    <row r="2529" spans="1:50" s="110" customFormat="1" ht="20" customHeight="1">
      <c r="A2529" s="125" t="s">
        <v>231</v>
      </c>
      <c r="B2529" s="126" t="s">
        <v>66</v>
      </c>
      <c r="C2529" s="127">
        <v>19436</v>
      </c>
      <c r="D2529" s="163">
        <v>115752</v>
      </c>
      <c r="E2529" s="164" t="s">
        <v>513</v>
      </c>
      <c r="F2529" s="164" t="s">
        <v>513</v>
      </c>
      <c r="G2529" s="165">
        <v>49000</v>
      </c>
      <c r="H2529" s="165">
        <v>1</v>
      </c>
      <c r="I2529" s="164" t="s">
        <v>187</v>
      </c>
      <c r="J2529" s="164" t="s">
        <v>219</v>
      </c>
      <c r="K2529" s="164" t="s">
        <v>220</v>
      </c>
      <c r="L2529" s="165">
        <v>5</v>
      </c>
      <c r="M2529" s="165">
        <v>6</v>
      </c>
      <c r="N2529" s="164" t="s">
        <v>189</v>
      </c>
      <c r="O2529" s="165">
        <v>0</v>
      </c>
      <c r="P2529" s="165">
        <v>0</v>
      </c>
      <c r="Q2529" s="165">
        <v>21</v>
      </c>
      <c r="R2529" s="164" t="s">
        <v>200</v>
      </c>
      <c r="S2529" s="164" t="s">
        <v>201</v>
      </c>
      <c r="T2529" s="165">
        <v>462</v>
      </c>
      <c r="U2529" s="164" t="s">
        <v>200</v>
      </c>
      <c r="V2529" s="164" t="s">
        <v>202</v>
      </c>
      <c r="W2529" s="165">
        <v>1</v>
      </c>
      <c r="X2529" s="165">
        <v>4</v>
      </c>
      <c r="Y2529" s="164" t="s">
        <v>203</v>
      </c>
      <c r="Z2529" s="164" t="s">
        <v>195</v>
      </c>
      <c r="AA2529" s="164" t="s">
        <v>196</v>
      </c>
      <c r="AB2529" s="164" t="s">
        <v>187</v>
      </c>
      <c r="AC2529" s="164" t="s">
        <v>187</v>
      </c>
      <c r="AD2529" s="165">
        <v>1</v>
      </c>
      <c r="AE2529" s="164" t="s">
        <v>187</v>
      </c>
      <c r="AF2529" s="165">
        <v>25.4959004563894</v>
      </c>
      <c r="AG2529" s="166">
        <v>68.514437923483101</v>
      </c>
      <c r="AO2529" s="121"/>
      <c r="AT2529" s="111"/>
      <c r="AX2529" s="121"/>
    </row>
    <row r="2530" spans="1:50" s="110" customFormat="1" ht="20" customHeight="1">
      <c r="A2530" s="125" t="s">
        <v>231</v>
      </c>
      <c r="B2530" s="126" t="s">
        <v>66</v>
      </c>
      <c r="C2530" s="127">
        <v>17321</v>
      </c>
      <c r="D2530" s="163">
        <v>112701</v>
      </c>
      <c r="E2530" s="164" t="s">
        <v>961</v>
      </c>
      <c r="F2530" s="164" t="s">
        <v>961</v>
      </c>
      <c r="G2530" s="165">
        <v>44000</v>
      </c>
      <c r="H2530" s="165">
        <v>1</v>
      </c>
      <c r="I2530" s="164" t="s">
        <v>187</v>
      </c>
      <c r="J2530" s="164" t="s">
        <v>216</v>
      </c>
      <c r="K2530" s="164" t="s">
        <v>217</v>
      </c>
      <c r="L2530" s="165">
        <v>5</v>
      </c>
      <c r="M2530" s="165">
        <v>6</v>
      </c>
      <c r="N2530" s="164" t="s">
        <v>189</v>
      </c>
      <c r="O2530" s="165">
        <v>0</v>
      </c>
      <c r="P2530" s="165">
        <v>0</v>
      </c>
      <c r="Q2530" s="165">
        <v>21</v>
      </c>
      <c r="R2530" s="164" t="s">
        <v>200</v>
      </c>
      <c r="S2530" s="164" t="s">
        <v>201</v>
      </c>
      <c r="T2530" s="165">
        <v>462</v>
      </c>
      <c r="U2530" s="164" t="s">
        <v>200</v>
      </c>
      <c r="V2530" s="164" t="s">
        <v>202</v>
      </c>
      <c r="W2530" s="165">
        <v>2</v>
      </c>
      <c r="X2530" s="165">
        <v>4</v>
      </c>
      <c r="Y2530" s="164" t="s">
        <v>203</v>
      </c>
      <c r="Z2530" s="164" t="s">
        <v>195</v>
      </c>
      <c r="AA2530" s="164" t="s">
        <v>196</v>
      </c>
      <c r="AB2530" s="164" t="s">
        <v>187</v>
      </c>
      <c r="AC2530" s="164" t="s">
        <v>187</v>
      </c>
      <c r="AD2530" s="165">
        <v>1</v>
      </c>
      <c r="AE2530" s="164" t="s">
        <v>187</v>
      </c>
      <c r="AF2530" s="165">
        <v>33.524929811398501</v>
      </c>
      <c r="AG2530" s="166">
        <v>73.918629527255405</v>
      </c>
      <c r="AO2530" s="121"/>
      <c r="AT2530" s="111"/>
      <c r="AX2530" s="121"/>
    </row>
    <row r="2531" spans="1:50" s="110" customFormat="1" ht="20" customHeight="1">
      <c r="A2531" s="125" t="s">
        <v>231</v>
      </c>
      <c r="B2531" s="126" t="s">
        <v>66</v>
      </c>
      <c r="C2531" s="127">
        <v>19444</v>
      </c>
      <c r="D2531" s="163">
        <v>115607</v>
      </c>
      <c r="E2531" s="164" t="s">
        <v>690</v>
      </c>
      <c r="F2531" s="164" t="s">
        <v>690</v>
      </c>
      <c r="G2531" s="165">
        <v>41000</v>
      </c>
      <c r="H2531" s="165">
        <v>1</v>
      </c>
      <c r="I2531" s="164" t="s">
        <v>187</v>
      </c>
      <c r="J2531" s="164" t="s">
        <v>219</v>
      </c>
      <c r="K2531" s="164" t="s">
        <v>220</v>
      </c>
      <c r="L2531" s="165">
        <v>5</v>
      </c>
      <c r="M2531" s="165">
        <v>6</v>
      </c>
      <c r="N2531" s="164" t="s">
        <v>189</v>
      </c>
      <c r="O2531" s="165">
        <v>0</v>
      </c>
      <c r="P2531" s="165">
        <v>0</v>
      </c>
      <c r="Q2531" s="165">
        <v>21</v>
      </c>
      <c r="R2531" s="164" t="s">
        <v>200</v>
      </c>
      <c r="S2531" s="164" t="s">
        <v>201</v>
      </c>
      <c r="T2531" s="165">
        <v>462</v>
      </c>
      <c r="U2531" s="164" t="s">
        <v>200</v>
      </c>
      <c r="V2531" s="164" t="s">
        <v>202</v>
      </c>
      <c r="W2531" s="165">
        <v>1</v>
      </c>
      <c r="X2531" s="165">
        <v>4</v>
      </c>
      <c r="Y2531" s="164" t="s">
        <v>203</v>
      </c>
      <c r="Z2531" s="164" t="s">
        <v>195</v>
      </c>
      <c r="AA2531" s="164" t="s">
        <v>196</v>
      </c>
      <c r="AB2531" s="164" t="s">
        <v>187</v>
      </c>
      <c r="AC2531" s="164" t="s">
        <v>187</v>
      </c>
      <c r="AD2531" s="165">
        <v>1</v>
      </c>
      <c r="AE2531" s="164" t="s">
        <v>187</v>
      </c>
      <c r="AF2531" s="165">
        <v>25.786408716003301</v>
      </c>
      <c r="AG2531" s="166">
        <v>66.632597646813196</v>
      </c>
      <c r="AO2531" s="121"/>
      <c r="AT2531" s="111"/>
      <c r="AX2531" s="121"/>
    </row>
    <row r="2532" spans="1:50" s="110" customFormat="1" ht="20" customHeight="1">
      <c r="A2532" s="125" t="s">
        <v>231</v>
      </c>
      <c r="B2532" s="126" t="s">
        <v>66</v>
      </c>
      <c r="C2532" s="127">
        <v>17818</v>
      </c>
      <c r="D2532" s="163">
        <v>113291</v>
      </c>
      <c r="E2532" s="164" t="s">
        <v>1173</v>
      </c>
      <c r="F2532" s="164" t="s">
        <v>1173</v>
      </c>
      <c r="G2532" s="165">
        <v>39000</v>
      </c>
      <c r="H2532" s="165">
        <v>1</v>
      </c>
      <c r="I2532" s="164" t="s">
        <v>187</v>
      </c>
      <c r="J2532" s="164" t="s">
        <v>222</v>
      </c>
      <c r="K2532" s="164" t="s">
        <v>223</v>
      </c>
      <c r="L2532" s="165">
        <v>4</v>
      </c>
      <c r="M2532" s="165">
        <v>6</v>
      </c>
      <c r="N2532" s="164" t="s">
        <v>189</v>
      </c>
      <c r="O2532" s="165">
        <v>0</v>
      </c>
      <c r="P2532" s="165">
        <v>0</v>
      </c>
      <c r="Q2532" s="165">
        <v>21</v>
      </c>
      <c r="R2532" s="164" t="s">
        <v>200</v>
      </c>
      <c r="S2532" s="164" t="s">
        <v>201</v>
      </c>
      <c r="T2532" s="165">
        <v>462</v>
      </c>
      <c r="U2532" s="164" t="s">
        <v>200</v>
      </c>
      <c r="V2532" s="164" t="s">
        <v>202</v>
      </c>
      <c r="W2532" s="165">
        <v>2</v>
      </c>
      <c r="X2532" s="165">
        <v>4</v>
      </c>
      <c r="Y2532" s="164" t="s">
        <v>203</v>
      </c>
      <c r="Z2532" s="164" t="s">
        <v>195</v>
      </c>
      <c r="AA2532" s="164" t="s">
        <v>196</v>
      </c>
      <c r="AB2532" s="164" t="s">
        <v>187</v>
      </c>
      <c r="AC2532" s="164" t="s">
        <v>187</v>
      </c>
      <c r="AD2532" s="165">
        <v>1</v>
      </c>
      <c r="AE2532" s="164" t="s">
        <v>187</v>
      </c>
      <c r="AF2532" s="165">
        <v>32.405835352747403</v>
      </c>
      <c r="AG2532" s="166">
        <v>74.634563762613496</v>
      </c>
      <c r="AO2532" s="121"/>
      <c r="AT2532" s="111"/>
      <c r="AX2532" s="121"/>
    </row>
    <row r="2533" spans="1:50" s="110" customFormat="1" ht="20" customHeight="1">
      <c r="A2533" s="125" t="s">
        <v>231</v>
      </c>
      <c r="B2533" s="126" t="s">
        <v>66</v>
      </c>
      <c r="C2533" s="127">
        <v>14913</v>
      </c>
      <c r="D2533" s="163">
        <v>108948</v>
      </c>
      <c r="E2533" s="164" t="s">
        <v>1367</v>
      </c>
      <c r="F2533" s="164" t="s">
        <v>1367</v>
      </c>
      <c r="G2533" s="165">
        <v>39000</v>
      </c>
      <c r="H2533" s="165">
        <v>1</v>
      </c>
      <c r="I2533" s="164" t="s">
        <v>187</v>
      </c>
      <c r="J2533" s="164" t="s">
        <v>1092</v>
      </c>
      <c r="K2533" s="164" t="s">
        <v>1093</v>
      </c>
      <c r="L2533" s="165">
        <v>3</v>
      </c>
      <c r="M2533" s="165">
        <v>6</v>
      </c>
      <c r="N2533" s="164" t="s">
        <v>189</v>
      </c>
      <c r="O2533" s="165">
        <v>0</v>
      </c>
      <c r="P2533" s="165">
        <v>0</v>
      </c>
      <c r="Q2533" s="165">
        <v>21</v>
      </c>
      <c r="R2533" s="164" t="s">
        <v>200</v>
      </c>
      <c r="S2533" s="164" t="s">
        <v>201</v>
      </c>
      <c r="T2533" s="165">
        <v>462</v>
      </c>
      <c r="U2533" s="164" t="s">
        <v>200</v>
      </c>
      <c r="V2533" s="164" t="s">
        <v>202</v>
      </c>
      <c r="W2533" s="165">
        <v>1</v>
      </c>
      <c r="X2533" s="165">
        <v>4</v>
      </c>
      <c r="Y2533" s="164" t="s">
        <v>203</v>
      </c>
      <c r="Z2533" s="164" t="s">
        <v>195</v>
      </c>
      <c r="AA2533" s="164" t="s">
        <v>196</v>
      </c>
      <c r="AB2533" s="164" t="s">
        <v>187</v>
      </c>
      <c r="AC2533" s="164" t="s">
        <v>187</v>
      </c>
      <c r="AD2533" s="165">
        <v>1</v>
      </c>
      <c r="AE2533" s="164" t="s">
        <v>187</v>
      </c>
      <c r="AF2533" s="165">
        <v>36.434595661517299</v>
      </c>
      <c r="AG2533" s="166">
        <v>74.615873465540204</v>
      </c>
      <c r="AO2533" s="121"/>
      <c r="AT2533" s="111"/>
      <c r="AX2533" s="121"/>
    </row>
    <row r="2534" spans="1:50" s="110" customFormat="1" ht="20" customHeight="1">
      <c r="A2534" s="125" t="s">
        <v>231</v>
      </c>
      <c r="B2534" s="126" t="s">
        <v>66</v>
      </c>
      <c r="C2534" s="127">
        <v>17328</v>
      </c>
      <c r="D2534" s="163">
        <v>112710</v>
      </c>
      <c r="E2534" s="164" t="s">
        <v>1296</v>
      </c>
      <c r="F2534" s="164" t="s">
        <v>1296</v>
      </c>
      <c r="G2534" s="165">
        <v>34000</v>
      </c>
      <c r="H2534" s="165">
        <v>1</v>
      </c>
      <c r="I2534" s="164" t="s">
        <v>187</v>
      </c>
      <c r="J2534" s="164" t="s">
        <v>219</v>
      </c>
      <c r="K2534" s="164" t="s">
        <v>220</v>
      </c>
      <c r="L2534" s="165">
        <v>5</v>
      </c>
      <c r="M2534" s="165">
        <v>6</v>
      </c>
      <c r="N2534" s="164" t="s">
        <v>189</v>
      </c>
      <c r="O2534" s="165">
        <v>0</v>
      </c>
      <c r="P2534" s="165">
        <v>0</v>
      </c>
      <c r="Q2534" s="165">
        <v>21</v>
      </c>
      <c r="R2534" s="164" t="s">
        <v>200</v>
      </c>
      <c r="S2534" s="164" t="s">
        <v>201</v>
      </c>
      <c r="T2534" s="165">
        <v>462</v>
      </c>
      <c r="U2534" s="164" t="s">
        <v>200</v>
      </c>
      <c r="V2534" s="164" t="s">
        <v>202</v>
      </c>
      <c r="W2534" s="165">
        <v>4</v>
      </c>
      <c r="X2534" s="165">
        <v>4</v>
      </c>
      <c r="Y2534" s="164" t="s">
        <v>203</v>
      </c>
      <c r="Z2534" s="164" t="s">
        <v>195</v>
      </c>
      <c r="AA2534" s="164" t="s">
        <v>196</v>
      </c>
      <c r="AB2534" s="164" t="s">
        <v>187</v>
      </c>
      <c r="AC2534" s="164" t="s">
        <v>187</v>
      </c>
      <c r="AD2534" s="165">
        <v>1</v>
      </c>
      <c r="AE2534" s="164" t="s">
        <v>187</v>
      </c>
      <c r="AF2534" s="165">
        <v>25.494846785330601</v>
      </c>
      <c r="AG2534" s="166">
        <v>68.514542796640995</v>
      </c>
      <c r="AO2534" s="121"/>
      <c r="AT2534" s="111"/>
      <c r="AX2534" s="121"/>
    </row>
    <row r="2535" spans="1:50" s="110" customFormat="1" ht="20" customHeight="1">
      <c r="A2535" s="125" t="s">
        <v>231</v>
      </c>
      <c r="B2535" s="126" t="s">
        <v>66</v>
      </c>
      <c r="C2535" s="127">
        <v>17543</v>
      </c>
      <c r="D2535" s="163">
        <v>112965</v>
      </c>
      <c r="E2535" s="164" t="s">
        <v>711</v>
      </c>
      <c r="F2535" s="164" t="s">
        <v>711</v>
      </c>
      <c r="G2535" s="165">
        <v>29000</v>
      </c>
      <c r="H2535" s="165">
        <v>1</v>
      </c>
      <c r="I2535" s="164" t="s">
        <v>187</v>
      </c>
      <c r="J2535" s="164" t="s">
        <v>222</v>
      </c>
      <c r="K2535" s="164" t="s">
        <v>223</v>
      </c>
      <c r="L2535" s="165">
        <v>4</v>
      </c>
      <c r="M2535" s="165">
        <v>6</v>
      </c>
      <c r="N2535" s="164" t="s">
        <v>189</v>
      </c>
      <c r="O2535" s="165">
        <v>0</v>
      </c>
      <c r="P2535" s="165">
        <v>0</v>
      </c>
      <c r="Q2535" s="165">
        <v>21</v>
      </c>
      <c r="R2535" s="164" t="s">
        <v>200</v>
      </c>
      <c r="S2535" s="164" t="s">
        <v>201</v>
      </c>
      <c r="T2535" s="165">
        <v>462</v>
      </c>
      <c r="U2535" s="164" t="s">
        <v>200</v>
      </c>
      <c r="V2535" s="164" t="s">
        <v>202</v>
      </c>
      <c r="W2535" s="165">
        <v>2</v>
      </c>
      <c r="X2535" s="165">
        <v>4</v>
      </c>
      <c r="Y2535" s="164" t="s">
        <v>203</v>
      </c>
      <c r="Z2535" s="164" t="s">
        <v>195</v>
      </c>
      <c r="AA2535" s="164" t="s">
        <v>196</v>
      </c>
      <c r="AB2535" s="164" t="s">
        <v>187</v>
      </c>
      <c r="AC2535" s="164" t="s">
        <v>187</v>
      </c>
      <c r="AD2535" s="165">
        <v>1</v>
      </c>
      <c r="AE2535" s="164" t="s">
        <v>187</v>
      </c>
      <c r="AF2535" s="165">
        <v>31.3763879377268</v>
      </c>
      <c r="AG2535" s="166">
        <v>74.378743824433002</v>
      </c>
      <c r="AO2535" s="121"/>
      <c r="AT2535" s="111"/>
      <c r="AX2535" s="121"/>
    </row>
    <row r="2536" spans="1:50" s="110" customFormat="1" ht="20" customHeight="1">
      <c r="A2536" s="125" t="s">
        <v>231</v>
      </c>
      <c r="B2536" s="126" t="s">
        <v>66</v>
      </c>
      <c r="C2536" s="127">
        <v>19451</v>
      </c>
      <c r="D2536" s="163">
        <v>115599</v>
      </c>
      <c r="E2536" s="164" t="s">
        <v>943</v>
      </c>
      <c r="F2536" s="164" t="s">
        <v>943</v>
      </c>
      <c r="G2536" s="165">
        <v>28000</v>
      </c>
      <c r="H2536" s="165">
        <v>1</v>
      </c>
      <c r="I2536" s="164" t="s">
        <v>187</v>
      </c>
      <c r="J2536" s="164" t="s">
        <v>219</v>
      </c>
      <c r="K2536" s="164" t="s">
        <v>220</v>
      </c>
      <c r="L2536" s="165">
        <v>5</v>
      </c>
      <c r="M2536" s="165">
        <v>6</v>
      </c>
      <c r="N2536" s="164" t="s">
        <v>189</v>
      </c>
      <c r="O2536" s="165">
        <v>0</v>
      </c>
      <c r="P2536" s="165">
        <v>0</v>
      </c>
      <c r="Q2536" s="165">
        <v>21</v>
      </c>
      <c r="R2536" s="164" t="s">
        <v>200</v>
      </c>
      <c r="S2536" s="164" t="s">
        <v>201</v>
      </c>
      <c r="T2536" s="165">
        <v>462</v>
      </c>
      <c r="U2536" s="164" t="s">
        <v>200</v>
      </c>
      <c r="V2536" s="164" t="s">
        <v>202</v>
      </c>
      <c r="W2536" s="165">
        <v>1</v>
      </c>
      <c r="X2536" s="165">
        <v>4</v>
      </c>
      <c r="Y2536" s="164" t="s">
        <v>203</v>
      </c>
      <c r="Z2536" s="164" t="s">
        <v>195</v>
      </c>
      <c r="AA2536" s="164" t="s">
        <v>196</v>
      </c>
      <c r="AB2536" s="164" t="s">
        <v>187</v>
      </c>
      <c r="AC2536" s="164" t="s">
        <v>187</v>
      </c>
      <c r="AD2536" s="165">
        <v>1</v>
      </c>
      <c r="AE2536" s="164" t="s">
        <v>187</v>
      </c>
      <c r="AF2536" s="165">
        <v>27.6091602460518</v>
      </c>
      <c r="AG2536" s="166">
        <v>67.806214874937098</v>
      </c>
      <c r="AO2536" s="121"/>
      <c r="AT2536" s="111"/>
      <c r="AX2536" s="121"/>
    </row>
    <row r="2537" spans="1:50" s="110" customFormat="1" ht="20" customHeight="1">
      <c r="A2537" s="125" t="s">
        <v>231</v>
      </c>
      <c r="B2537" s="126" t="s">
        <v>66</v>
      </c>
      <c r="C2537" s="127">
        <v>17631</v>
      </c>
      <c r="D2537" s="163">
        <v>113067</v>
      </c>
      <c r="E2537" s="164" t="s">
        <v>1161</v>
      </c>
      <c r="F2537" s="164" t="s">
        <v>1161</v>
      </c>
      <c r="G2537" s="165">
        <v>28000</v>
      </c>
      <c r="H2537" s="165">
        <v>1</v>
      </c>
      <c r="I2537" s="164" t="s">
        <v>187</v>
      </c>
      <c r="J2537" s="164" t="s">
        <v>222</v>
      </c>
      <c r="K2537" s="164" t="s">
        <v>223</v>
      </c>
      <c r="L2537" s="165">
        <v>4</v>
      </c>
      <c r="M2537" s="165">
        <v>6</v>
      </c>
      <c r="N2537" s="164" t="s">
        <v>189</v>
      </c>
      <c r="O2537" s="165">
        <v>0</v>
      </c>
      <c r="P2537" s="165">
        <v>0</v>
      </c>
      <c r="Q2537" s="165">
        <v>21</v>
      </c>
      <c r="R2537" s="164" t="s">
        <v>200</v>
      </c>
      <c r="S2537" s="164" t="s">
        <v>201</v>
      </c>
      <c r="T2537" s="165">
        <v>462</v>
      </c>
      <c r="U2537" s="164" t="s">
        <v>200</v>
      </c>
      <c r="V2537" s="164" t="s">
        <v>202</v>
      </c>
      <c r="W2537" s="165">
        <v>4</v>
      </c>
      <c r="X2537" s="165">
        <v>4</v>
      </c>
      <c r="Y2537" s="164" t="s">
        <v>203</v>
      </c>
      <c r="Z2537" s="164" t="s">
        <v>195</v>
      </c>
      <c r="AA2537" s="164" t="s">
        <v>196</v>
      </c>
      <c r="AB2537" s="164" t="s">
        <v>187</v>
      </c>
      <c r="AC2537" s="164" t="s">
        <v>187</v>
      </c>
      <c r="AD2537" s="165">
        <v>1</v>
      </c>
      <c r="AE2537" s="164" t="s">
        <v>187</v>
      </c>
      <c r="AF2537" s="165">
        <v>30.079287923144499</v>
      </c>
      <c r="AG2537" s="166">
        <v>71.462026301816394</v>
      </c>
      <c r="AO2537" s="121"/>
      <c r="AT2537" s="111"/>
      <c r="AX2537" s="121"/>
    </row>
    <row r="2538" spans="1:50" s="110" customFormat="1" ht="20" customHeight="1">
      <c r="A2538" s="125" t="s">
        <v>231</v>
      </c>
      <c r="B2538" s="126" t="s">
        <v>66</v>
      </c>
      <c r="C2538" s="127">
        <v>19437</v>
      </c>
      <c r="D2538" s="163">
        <v>104950</v>
      </c>
      <c r="E2538" s="164" t="s">
        <v>583</v>
      </c>
      <c r="F2538" s="164" t="s">
        <v>583</v>
      </c>
      <c r="G2538" s="165">
        <v>26000</v>
      </c>
      <c r="H2538" s="165">
        <v>1</v>
      </c>
      <c r="I2538" s="164" t="s">
        <v>187</v>
      </c>
      <c r="J2538" s="164" t="s">
        <v>584</v>
      </c>
      <c r="K2538" s="164" t="s">
        <v>585</v>
      </c>
      <c r="L2538" s="165">
        <v>0</v>
      </c>
      <c r="M2538" s="165">
        <v>6</v>
      </c>
      <c r="N2538" s="164" t="s">
        <v>189</v>
      </c>
      <c r="O2538" s="165">
        <v>0</v>
      </c>
      <c r="P2538" s="165">
        <v>0</v>
      </c>
      <c r="Q2538" s="165">
        <v>21</v>
      </c>
      <c r="R2538" s="164" t="s">
        <v>200</v>
      </c>
      <c r="S2538" s="164" t="s">
        <v>201</v>
      </c>
      <c r="T2538" s="165">
        <v>462</v>
      </c>
      <c r="U2538" s="164" t="s">
        <v>200</v>
      </c>
      <c r="V2538" s="164" t="s">
        <v>202</v>
      </c>
      <c r="W2538" s="165">
        <v>2</v>
      </c>
      <c r="X2538" s="165">
        <v>4</v>
      </c>
      <c r="Y2538" s="164" t="s">
        <v>203</v>
      </c>
      <c r="Z2538" s="164" t="s">
        <v>195</v>
      </c>
      <c r="AA2538" s="164" t="s">
        <v>196</v>
      </c>
      <c r="AB2538" s="164" t="s">
        <v>187</v>
      </c>
      <c r="AC2538" s="164" t="s">
        <v>187</v>
      </c>
      <c r="AD2538" s="165">
        <v>1</v>
      </c>
      <c r="AE2538" s="164" t="s">
        <v>187</v>
      </c>
      <c r="AF2538" s="165">
        <v>36.177577784332101</v>
      </c>
      <c r="AG2538" s="166">
        <v>72.223652636636601</v>
      </c>
      <c r="AO2538" s="121"/>
      <c r="AT2538" s="111"/>
      <c r="AX2538" s="121"/>
    </row>
    <row r="2539" spans="1:50" s="110" customFormat="1" ht="20" customHeight="1">
      <c r="A2539" s="125" t="s">
        <v>231</v>
      </c>
      <c r="B2539" s="126" t="s">
        <v>66</v>
      </c>
      <c r="C2539" s="127">
        <v>18222</v>
      </c>
      <c r="D2539" s="163">
        <v>113748</v>
      </c>
      <c r="E2539" s="164" t="s">
        <v>1424</v>
      </c>
      <c r="F2539" s="164" t="s">
        <v>1424</v>
      </c>
      <c r="G2539" s="165">
        <v>25000</v>
      </c>
      <c r="H2539" s="165">
        <v>1</v>
      </c>
      <c r="I2539" s="164" t="s">
        <v>187</v>
      </c>
      <c r="J2539" s="164" t="s">
        <v>293</v>
      </c>
      <c r="K2539" s="164" t="s">
        <v>294</v>
      </c>
      <c r="L2539" s="165">
        <v>3</v>
      </c>
      <c r="M2539" s="165">
        <v>6</v>
      </c>
      <c r="N2539" s="164" t="s">
        <v>189</v>
      </c>
      <c r="O2539" s="165">
        <v>0</v>
      </c>
      <c r="P2539" s="165">
        <v>0</v>
      </c>
      <c r="Q2539" s="165">
        <v>21</v>
      </c>
      <c r="R2539" s="164" t="s">
        <v>200</v>
      </c>
      <c r="S2539" s="164" t="s">
        <v>201</v>
      </c>
      <c r="T2539" s="165">
        <v>462</v>
      </c>
      <c r="U2539" s="164" t="s">
        <v>200</v>
      </c>
      <c r="V2539" s="164" t="s">
        <v>202</v>
      </c>
      <c r="W2539" s="165">
        <v>2</v>
      </c>
      <c r="X2539" s="165">
        <v>4</v>
      </c>
      <c r="Y2539" s="164" t="s">
        <v>203</v>
      </c>
      <c r="Z2539" s="164" t="s">
        <v>195</v>
      </c>
      <c r="AA2539" s="164" t="s">
        <v>196</v>
      </c>
      <c r="AB2539" s="164" t="s">
        <v>187</v>
      </c>
      <c r="AC2539" s="164" t="s">
        <v>187</v>
      </c>
      <c r="AD2539" s="165">
        <v>1</v>
      </c>
      <c r="AE2539" s="164" t="s">
        <v>187</v>
      </c>
      <c r="AF2539" s="165">
        <v>35.647645567368997</v>
      </c>
      <c r="AG2539" s="166">
        <v>75.574896013428599</v>
      </c>
      <c r="AO2539" s="121"/>
      <c r="AT2539" s="111"/>
      <c r="AX2539" s="121"/>
    </row>
    <row r="2540" spans="1:50" s="110" customFormat="1" ht="20" customHeight="1">
      <c r="A2540" s="125" t="s">
        <v>231</v>
      </c>
      <c r="B2540" s="126" t="s">
        <v>66</v>
      </c>
      <c r="C2540" s="127">
        <v>16347</v>
      </c>
      <c r="D2540" s="163">
        <v>111484</v>
      </c>
      <c r="E2540" s="164" t="s">
        <v>439</v>
      </c>
      <c r="F2540" s="164" t="s">
        <v>439</v>
      </c>
      <c r="G2540" s="165">
        <v>24000</v>
      </c>
      <c r="H2540" s="165">
        <v>1</v>
      </c>
      <c r="I2540" s="164" t="s">
        <v>187</v>
      </c>
      <c r="J2540" s="164" t="s">
        <v>222</v>
      </c>
      <c r="K2540" s="164" t="s">
        <v>223</v>
      </c>
      <c r="L2540" s="165">
        <v>4</v>
      </c>
      <c r="M2540" s="165">
        <v>6</v>
      </c>
      <c r="N2540" s="164" t="s">
        <v>189</v>
      </c>
      <c r="O2540" s="165">
        <v>0</v>
      </c>
      <c r="P2540" s="165">
        <v>0</v>
      </c>
      <c r="Q2540" s="165">
        <v>21</v>
      </c>
      <c r="R2540" s="164" t="s">
        <v>200</v>
      </c>
      <c r="S2540" s="164" t="s">
        <v>201</v>
      </c>
      <c r="T2540" s="165">
        <v>462</v>
      </c>
      <c r="U2540" s="164" t="s">
        <v>200</v>
      </c>
      <c r="V2540" s="164" t="s">
        <v>202</v>
      </c>
      <c r="W2540" s="165">
        <v>1</v>
      </c>
      <c r="X2540" s="165">
        <v>4</v>
      </c>
      <c r="Y2540" s="164" t="s">
        <v>203</v>
      </c>
      <c r="Z2540" s="164" t="s">
        <v>195</v>
      </c>
      <c r="AA2540" s="164" t="s">
        <v>196</v>
      </c>
      <c r="AB2540" s="164" t="s">
        <v>187</v>
      </c>
      <c r="AC2540" s="164" t="s">
        <v>187</v>
      </c>
      <c r="AD2540" s="165">
        <v>1</v>
      </c>
      <c r="AE2540" s="164" t="s">
        <v>187</v>
      </c>
      <c r="AF2540" s="165">
        <v>28.468340508621299</v>
      </c>
      <c r="AG2540" s="166">
        <v>70.481757550284897</v>
      </c>
      <c r="AO2540" s="121"/>
      <c r="AT2540" s="111"/>
      <c r="AX2540" s="121"/>
    </row>
    <row r="2541" spans="1:50" s="110" customFormat="1" ht="20" customHeight="1">
      <c r="A2541" s="125" t="s">
        <v>231</v>
      </c>
      <c r="B2541" s="126" t="s">
        <v>66</v>
      </c>
      <c r="C2541" s="127">
        <v>16829</v>
      </c>
      <c r="D2541" s="163">
        <v>112104</v>
      </c>
      <c r="E2541" s="164" t="s">
        <v>712</v>
      </c>
      <c r="F2541" s="164" t="s">
        <v>712</v>
      </c>
      <c r="G2541" s="165">
        <v>24000</v>
      </c>
      <c r="H2541" s="165">
        <v>1</v>
      </c>
      <c r="I2541" s="164" t="s">
        <v>187</v>
      </c>
      <c r="J2541" s="164" t="s">
        <v>222</v>
      </c>
      <c r="K2541" s="164" t="s">
        <v>223</v>
      </c>
      <c r="L2541" s="165">
        <v>4</v>
      </c>
      <c r="M2541" s="165">
        <v>6</v>
      </c>
      <c r="N2541" s="164" t="s">
        <v>189</v>
      </c>
      <c r="O2541" s="165">
        <v>0</v>
      </c>
      <c r="P2541" s="165">
        <v>0</v>
      </c>
      <c r="Q2541" s="165">
        <v>21</v>
      </c>
      <c r="R2541" s="164" t="s">
        <v>200</v>
      </c>
      <c r="S2541" s="164" t="s">
        <v>201</v>
      </c>
      <c r="T2541" s="165">
        <v>462</v>
      </c>
      <c r="U2541" s="164" t="s">
        <v>200</v>
      </c>
      <c r="V2541" s="164" t="s">
        <v>202</v>
      </c>
      <c r="W2541" s="165">
        <v>2</v>
      </c>
      <c r="X2541" s="165">
        <v>4</v>
      </c>
      <c r="Y2541" s="164" t="s">
        <v>203</v>
      </c>
      <c r="Z2541" s="164" t="s">
        <v>195</v>
      </c>
      <c r="AA2541" s="164" t="s">
        <v>196</v>
      </c>
      <c r="AB2541" s="164" t="s">
        <v>187</v>
      </c>
      <c r="AC2541" s="164" t="s">
        <v>187</v>
      </c>
      <c r="AD2541" s="165">
        <v>1</v>
      </c>
      <c r="AE2541" s="164" t="s">
        <v>187</v>
      </c>
      <c r="AF2541" s="165">
        <v>30.476757295502299</v>
      </c>
      <c r="AG2541" s="166">
        <v>70.432085981642004</v>
      </c>
      <c r="AO2541" s="121"/>
      <c r="AT2541" s="111"/>
      <c r="AX2541" s="121"/>
    </row>
    <row r="2542" spans="1:50" s="110" customFormat="1" ht="20" customHeight="1">
      <c r="A2542" s="125" t="s">
        <v>231</v>
      </c>
      <c r="B2542" s="126" t="s">
        <v>66</v>
      </c>
      <c r="C2542" s="127">
        <v>18369</v>
      </c>
      <c r="D2542" s="163">
        <v>113939</v>
      </c>
      <c r="E2542" s="164" t="s">
        <v>936</v>
      </c>
      <c r="F2542" s="164" t="s">
        <v>936</v>
      </c>
      <c r="G2542" s="165">
        <v>24000</v>
      </c>
      <c r="H2542" s="165">
        <v>1</v>
      </c>
      <c r="I2542" s="164" t="s">
        <v>187</v>
      </c>
      <c r="J2542" s="164" t="s">
        <v>937</v>
      </c>
      <c r="K2542" s="164" t="s">
        <v>938</v>
      </c>
      <c r="L2542" s="165">
        <v>0</v>
      </c>
      <c r="M2542" s="165">
        <v>6</v>
      </c>
      <c r="N2542" s="164" t="s">
        <v>189</v>
      </c>
      <c r="O2542" s="165">
        <v>0</v>
      </c>
      <c r="P2542" s="165">
        <v>0</v>
      </c>
      <c r="Q2542" s="165">
        <v>21</v>
      </c>
      <c r="R2542" s="164" t="s">
        <v>200</v>
      </c>
      <c r="S2542" s="164" t="s">
        <v>201</v>
      </c>
      <c r="T2542" s="165">
        <v>462</v>
      </c>
      <c r="U2542" s="164" t="s">
        <v>200</v>
      </c>
      <c r="V2542" s="164" t="s">
        <v>202</v>
      </c>
      <c r="W2542" s="165">
        <v>2</v>
      </c>
      <c r="X2542" s="165">
        <v>4</v>
      </c>
      <c r="Y2542" s="164" t="s">
        <v>203</v>
      </c>
      <c r="Z2542" s="164" t="s">
        <v>195</v>
      </c>
      <c r="AA2542" s="164" t="s">
        <v>196</v>
      </c>
      <c r="AB2542" s="164" t="s">
        <v>187</v>
      </c>
      <c r="AC2542" s="164" t="s">
        <v>187</v>
      </c>
      <c r="AD2542" s="165">
        <v>1</v>
      </c>
      <c r="AE2542" s="164" t="s">
        <v>187</v>
      </c>
      <c r="AF2542" s="165">
        <v>33.976739999999999</v>
      </c>
      <c r="AG2542" s="166">
        <v>71.561049999999994</v>
      </c>
      <c r="AO2542" s="121"/>
      <c r="AT2542" s="111"/>
      <c r="AX2542" s="121"/>
    </row>
    <row r="2543" spans="1:50" s="110" customFormat="1" ht="20" customHeight="1">
      <c r="A2543" s="125" t="s">
        <v>231</v>
      </c>
      <c r="B2543" s="126" t="s">
        <v>66</v>
      </c>
      <c r="C2543" s="127">
        <v>19456</v>
      </c>
      <c r="D2543" s="163">
        <v>115597</v>
      </c>
      <c r="E2543" s="164" t="s">
        <v>1120</v>
      </c>
      <c r="F2543" s="164" t="s">
        <v>1120</v>
      </c>
      <c r="G2543" s="165">
        <v>24000</v>
      </c>
      <c r="H2543" s="165">
        <v>1</v>
      </c>
      <c r="I2543" s="164" t="s">
        <v>187</v>
      </c>
      <c r="J2543" s="164" t="s">
        <v>346</v>
      </c>
      <c r="K2543" s="164" t="s">
        <v>347</v>
      </c>
      <c r="L2543" s="165">
        <v>4</v>
      </c>
      <c r="M2543" s="165">
        <v>6</v>
      </c>
      <c r="N2543" s="164" t="s">
        <v>189</v>
      </c>
      <c r="O2543" s="165">
        <v>0</v>
      </c>
      <c r="P2543" s="165">
        <v>0</v>
      </c>
      <c r="Q2543" s="165">
        <v>21</v>
      </c>
      <c r="R2543" s="164" t="s">
        <v>200</v>
      </c>
      <c r="S2543" s="164" t="s">
        <v>201</v>
      </c>
      <c r="T2543" s="165">
        <v>462</v>
      </c>
      <c r="U2543" s="164" t="s">
        <v>200</v>
      </c>
      <c r="V2543" s="164" t="s">
        <v>202</v>
      </c>
      <c r="W2543" s="165">
        <v>1</v>
      </c>
      <c r="X2543" s="165">
        <v>4</v>
      </c>
      <c r="Y2543" s="164" t="s">
        <v>203</v>
      </c>
      <c r="Z2543" s="164" t="s">
        <v>195</v>
      </c>
      <c r="AA2543" s="164" t="s">
        <v>196</v>
      </c>
      <c r="AB2543" s="164" t="s">
        <v>187</v>
      </c>
      <c r="AC2543" s="164" t="s">
        <v>187</v>
      </c>
      <c r="AD2543" s="165">
        <v>1</v>
      </c>
      <c r="AE2543" s="164" t="s">
        <v>187</v>
      </c>
      <c r="AF2543" s="165">
        <v>25.780149626177</v>
      </c>
      <c r="AG2543" s="166">
        <v>66.636982275565501</v>
      </c>
      <c r="AO2543" s="121"/>
      <c r="AT2543" s="111"/>
      <c r="AX2543" s="121"/>
    </row>
    <row r="2544" spans="1:50" s="110" customFormat="1" ht="20" customHeight="1">
      <c r="A2544" s="125" t="s">
        <v>231</v>
      </c>
      <c r="B2544" s="126" t="s">
        <v>66</v>
      </c>
      <c r="C2544" s="127">
        <v>17551</v>
      </c>
      <c r="D2544" s="163">
        <v>112974</v>
      </c>
      <c r="E2544" s="164" t="s">
        <v>723</v>
      </c>
      <c r="F2544" s="164" t="s">
        <v>723</v>
      </c>
      <c r="G2544" s="165">
        <v>23000</v>
      </c>
      <c r="H2544" s="165">
        <v>1</v>
      </c>
      <c r="I2544" s="164" t="s">
        <v>187</v>
      </c>
      <c r="J2544" s="164" t="s">
        <v>219</v>
      </c>
      <c r="K2544" s="164" t="s">
        <v>220</v>
      </c>
      <c r="L2544" s="165">
        <v>5</v>
      </c>
      <c r="M2544" s="165">
        <v>6</v>
      </c>
      <c r="N2544" s="164" t="s">
        <v>189</v>
      </c>
      <c r="O2544" s="165">
        <v>0</v>
      </c>
      <c r="P2544" s="165">
        <v>0</v>
      </c>
      <c r="Q2544" s="165">
        <v>21</v>
      </c>
      <c r="R2544" s="164" t="s">
        <v>200</v>
      </c>
      <c r="S2544" s="164" t="s">
        <v>201</v>
      </c>
      <c r="T2544" s="165">
        <v>462</v>
      </c>
      <c r="U2544" s="164" t="s">
        <v>200</v>
      </c>
      <c r="V2544" s="164" t="s">
        <v>202</v>
      </c>
      <c r="W2544" s="165">
        <v>2</v>
      </c>
      <c r="X2544" s="165">
        <v>4</v>
      </c>
      <c r="Y2544" s="164" t="s">
        <v>203</v>
      </c>
      <c r="Z2544" s="164" t="s">
        <v>195</v>
      </c>
      <c r="AA2544" s="164" t="s">
        <v>196</v>
      </c>
      <c r="AB2544" s="164" t="s">
        <v>187</v>
      </c>
      <c r="AC2544" s="164" t="s">
        <v>187</v>
      </c>
      <c r="AD2544" s="165">
        <v>1</v>
      </c>
      <c r="AE2544" s="164" t="s">
        <v>187</v>
      </c>
      <c r="AF2544" s="165">
        <v>25.490854833417998</v>
      </c>
      <c r="AG2544" s="166">
        <v>68.5153039501091</v>
      </c>
      <c r="AO2544" s="121"/>
      <c r="AT2544" s="111"/>
      <c r="AX2544" s="121"/>
    </row>
    <row r="2545" spans="1:50" s="110" customFormat="1" ht="20" customHeight="1">
      <c r="A2545" s="125" t="s">
        <v>231</v>
      </c>
      <c r="B2545" s="126" t="s">
        <v>66</v>
      </c>
      <c r="C2545" s="127">
        <v>19480</v>
      </c>
      <c r="D2545" s="163">
        <v>115618</v>
      </c>
      <c r="E2545" s="164" t="s">
        <v>604</v>
      </c>
      <c r="F2545" s="164" t="s">
        <v>604</v>
      </c>
      <c r="G2545" s="165">
        <v>22000</v>
      </c>
      <c r="H2545" s="165">
        <v>1</v>
      </c>
      <c r="I2545" s="164" t="s">
        <v>187</v>
      </c>
      <c r="J2545" s="164" t="s">
        <v>605</v>
      </c>
      <c r="K2545" s="164" t="s">
        <v>606</v>
      </c>
      <c r="L2545" s="165">
        <v>0</v>
      </c>
      <c r="M2545" s="165">
        <v>6</v>
      </c>
      <c r="N2545" s="164" t="s">
        <v>189</v>
      </c>
      <c r="O2545" s="165">
        <v>0</v>
      </c>
      <c r="P2545" s="165">
        <v>0</v>
      </c>
      <c r="Q2545" s="165">
        <v>21</v>
      </c>
      <c r="R2545" s="164" t="s">
        <v>200</v>
      </c>
      <c r="S2545" s="164" t="s">
        <v>201</v>
      </c>
      <c r="T2545" s="165">
        <v>462</v>
      </c>
      <c r="U2545" s="164" t="s">
        <v>200</v>
      </c>
      <c r="V2545" s="164" t="s">
        <v>202</v>
      </c>
      <c r="W2545" s="165">
        <v>1</v>
      </c>
      <c r="X2545" s="165">
        <v>4</v>
      </c>
      <c r="Y2545" s="164" t="s">
        <v>203</v>
      </c>
      <c r="Z2545" s="164" t="s">
        <v>195</v>
      </c>
      <c r="AA2545" s="164" t="s">
        <v>196</v>
      </c>
      <c r="AB2545" s="164" t="s">
        <v>187</v>
      </c>
      <c r="AC2545" s="164" t="s">
        <v>187</v>
      </c>
      <c r="AD2545" s="165">
        <v>1</v>
      </c>
      <c r="AE2545" s="164" t="s">
        <v>187</v>
      </c>
      <c r="AF2545" s="165">
        <v>36.180306553091803</v>
      </c>
      <c r="AG2545" s="166">
        <v>72.221889692340199</v>
      </c>
      <c r="AO2545" s="121"/>
      <c r="AT2545" s="111"/>
      <c r="AX2545" s="121"/>
    </row>
    <row r="2546" spans="1:50" s="110" customFormat="1" ht="20" customHeight="1">
      <c r="A2546" s="125" t="s">
        <v>231</v>
      </c>
      <c r="B2546" s="126" t="s">
        <v>66</v>
      </c>
      <c r="C2546" s="127">
        <v>16762</v>
      </c>
      <c r="D2546" s="163">
        <v>112012</v>
      </c>
      <c r="E2546" s="164" t="s">
        <v>678</v>
      </c>
      <c r="F2546" s="164" t="s">
        <v>678</v>
      </c>
      <c r="G2546" s="165">
        <v>22000</v>
      </c>
      <c r="H2546" s="165">
        <v>1</v>
      </c>
      <c r="I2546" s="164" t="s">
        <v>187</v>
      </c>
      <c r="J2546" s="164" t="s">
        <v>222</v>
      </c>
      <c r="K2546" s="164" t="s">
        <v>223</v>
      </c>
      <c r="L2546" s="165">
        <v>4</v>
      </c>
      <c r="M2546" s="165">
        <v>6</v>
      </c>
      <c r="N2546" s="164" t="s">
        <v>189</v>
      </c>
      <c r="O2546" s="165">
        <v>0</v>
      </c>
      <c r="P2546" s="165">
        <v>0</v>
      </c>
      <c r="Q2546" s="165">
        <v>21</v>
      </c>
      <c r="R2546" s="164" t="s">
        <v>200</v>
      </c>
      <c r="S2546" s="164" t="s">
        <v>201</v>
      </c>
      <c r="T2546" s="165">
        <v>462</v>
      </c>
      <c r="U2546" s="164" t="s">
        <v>200</v>
      </c>
      <c r="V2546" s="164" t="s">
        <v>202</v>
      </c>
      <c r="W2546" s="165">
        <v>3</v>
      </c>
      <c r="X2546" s="165">
        <v>4</v>
      </c>
      <c r="Y2546" s="164" t="s">
        <v>203</v>
      </c>
      <c r="Z2546" s="164" t="s">
        <v>195</v>
      </c>
      <c r="AA2546" s="164" t="s">
        <v>196</v>
      </c>
      <c r="AB2546" s="164" t="s">
        <v>187</v>
      </c>
      <c r="AC2546" s="164" t="s">
        <v>187</v>
      </c>
      <c r="AD2546" s="165">
        <v>1</v>
      </c>
      <c r="AE2546" s="164" t="s">
        <v>187</v>
      </c>
      <c r="AF2546" s="165">
        <v>31.3766856030303</v>
      </c>
      <c r="AG2546" s="166">
        <v>74.380651801770995</v>
      </c>
      <c r="AO2546" s="121"/>
      <c r="AT2546" s="111"/>
      <c r="AX2546" s="121"/>
    </row>
    <row r="2547" spans="1:50" s="110" customFormat="1" ht="20" customHeight="1">
      <c r="A2547" s="125" t="s">
        <v>231</v>
      </c>
      <c r="B2547" s="126" t="s">
        <v>66</v>
      </c>
      <c r="C2547" s="127">
        <v>16188</v>
      </c>
      <c r="D2547" s="163">
        <v>111293</v>
      </c>
      <c r="E2547" s="164" t="s">
        <v>1524</v>
      </c>
      <c r="F2547" s="164" t="s">
        <v>1524</v>
      </c>
      <c r="G2547" s="165">
        <v>20000</v>
      </c>
      <c r="H2547" s="165">
        <v>1</v>
      </c>
      <c r="I2547" s="164" t="s">
        <v>187</v>
      </c>
      <c r="J2547" s="164" t="s">
        <v>222</v>
      </c>
      <c r="K2547" s="164" t="s">
        <v>223</v>
      </c>
      <c r="L2547" s="165">
        <v>4</v>
      </c>
      <c r="M2547" s="165">
        <v>6</v>
      </c>
      <c r="N2547" s="164" t="s">
        <v>189</v>
      </c>
      <c r="O2547" s="165">
        <v>0</v>
      </c>
      <c r="P2547" s="165">
        <v>0</v>
      </c>
      <c r="Q2547" s="165">
        <v>21</v>
      </c>
      <c r="R2547" s="164" t="s">
        <v>200</v>
      </c>
      <c r="S2547" s="164" t="s">
        <v>201</v>
      </c>
      <c r="T2547" s="165">
        <v>462</v>
      </c>
      <c r="U2547" s="164" t="s">
        <v>200</v>
      </c>
      <c r="V2547" s="164" t="s">
        <v>202</v>
      </c>
      <c r="W2547" s="165">
        <v>2</v>
      </c>
      <c r="X2547" s="165">
        <v>4</v>
      </c>
      <c r="Y2547" s="164" t="s">
        <v>203</v>
      </c>
      <c r="Z2547" s="164" t="s">
        <v>195</v>
      </c>
      <c r="AA2547" s="164" t="s">
        <v>196</v>
      </c>
      <c r="AB2547" s="164" t="s">
        <v>187</v>
      </c>
      <c r="AC2547" s="164" t="s">
        <v>187</v>
      </c>
      <c r="AD2547" s="165">
        <v>1</v>
      </c>
      <c r="AE2547" s="164" t="s">
        <v>187</v>
      </c>
      <c r="AF2547" s="165">
        <v>32.193645680920199</v>
      </c>
      <c r="AG2547" s="166">
        <v>72.816704831346797</v>
      </c>
      <c r="AO2547" s="121"/>
      <c r="AT2547" s="111"/>
      <c r="AX2547" s="121"/>
    </row>
    <row r="2548" spans="1:50" s="110" customFormat="1" ht="20" customHeight="1">
      <c r="A2548" s="125" t="s">
        <v>231</v>
      </c>
      <c r="B2548" s="126" t="s">
        <v>66</v>
      </c>
      <c r="C2548" s="127">
        <v>17393</v>
      </c>
      <c r="D2548" s="163">
        <v>112791</v>
      </c>
      <c r="E2548" s="164" t="s">
        <v>1166</v>
      </c>
      <c r="F2548" s="164" t="s">
        <v>1166</v>
      </c>
      <c r="G2548" s="165">
        <v>19000</v>
      </c>
      <c r="H2548" s="165">
        <v>1</v>
      </c>
      <c r="I2548" s="164" t="s">
        <v>187</v>
      </c>
      <c r="J2548" s="164" t="s">
        <v>222</v>
      </c>
      <c r="K2548" s="164" t="s">
        <v>223</v>
      </c>
      <c r="L2548" s="165">
        <v>4</v>
      </c>
      <c r="M2548" s="165">
        <v>6</v>
      </c>
      <c r="N2548" s="164" t="s">
        <v>189</v>
      </c>
      <c r="O2548" s="165">
        <v>0</v>
      </c>
      <c r="P2548" s="165">
        <v>0</v>
      </c>
      <c r="Q2548" s="165">
        <v>21</v>
      </c>
      <c r="R2548" s="164" t="s">
        <v>200</v>
      </c>
      <c r="S2548" s="164" t="s">
        <v>201</v>
      </c>
      <c r="T2548" s="165">
        <v>462</v>
      </c>
      <c r="U2548" s="164" t="s">
        <v>200</v>
      </c>
      <c r="V2548" s="164" t="s">
        <v>202</v>
      </c>
      <c r="W2548" s="165">
        <v>1</v>
      </c>
      <c r="X2548" s="165">
        <v>4</v>
      </c>
      <c r="Y2548" s="164" t="s">
        <v>203</v>
      </c>
      <c r="Z2548" s="164" t="s">
        <v>195</v>
      </c>
      <c r="AA2548" s="164" t="s">
        <v>196</v>
      </c>
      <c r="AB2548" s="164" t="s">
        <v>187</v>
      </c>
      <c r="AC2548" s="164" t="s">
        <v>187</v>
      </c>
      <c r="AD2548" s="165">
        <v>1</v>
      </c>
      <c r="AE2548" s="164" t="s">
        <v>187</v>
      </c>
      <c r="AF2548" s="165">
        <v>28.471867296298299</v>
      </c>
      <c r="AG2548" s="166">
        <v>70.485524108778506</v>
      </c>
      <c r="AO2548" s="121"/>
      <c r="AT2548" s="111"/>
      <c r="AX2548" s="121"/>
    </row>
    <row r="2549" spans="1:50" s="110" customFormat="1" ht="20" customHeight="1">
      <c r="A2549" s="125" t="s">
        <v>231</v>
      </c>
      <c r="B2549" s="126" t="s">
        <v>66</v>
      </c>
      <c r="C2549" s="127">
        <v>17687</v>
      </c>
      <c r="D2549" s="163">
        <v>113132</v>
      </c>
      <c r="E2549" s="164" t="s">
        <v>1400</v>
      </c>
      <c r="F2549" s="164" t="s">
        <v>1400</v>
      </c>
      <c r="G2549" s="165">
        <v>19000</v>
      </c>
      <c r="H2549" s="165">
        <v>1</v>
      </c>
      <c r="I2549" s="164" t="s">
        <v>187</v>
      </c>
      <c r="J2549" s="164" t="s">
        <v>222</v>
      </c>
      <c r="K2549" s="164" t="s">
        <v>223</v>
      </c>
      <c r="L2549" s="165">
        <v>4</v>
      </c>
      <c r="M2549" s="165">
        <v>6</v>
      </c>
      <c r="N2549" s="164" t="s">
        <v>189</v>
      </c>
      <c r="O2549" s="165">
        <v>0</v>
      </c>
      <c r="P2549" s="165">
        <v>0</v>
      </c>
      <c r="Q2549" s="165">
        <v>21</v>
      </c>
      <c r="R2549" s="164" t="s">
        <v>200</v>
      </c>
      <c r="S2549" s="164" t="s">
        <v>201</v>
      </c>
      <c r="T2549" s="165">
        <v>462</v>
      </c>
      <c r="U2549" s="164" t="s">
        <v>200</v>
      </c>
      <c r="V2549" s="164" t="s">
        <v>202</v>
      </c>
      <c r="W2549" s="165">
        <v>2</v>
      </c>
      <c r="X2549" s="165">
        <v>4</v>
      </c>
      <c r="Y2549" s="164" t="s">
        <v>203</v>
      </c>
      <c r="Z2549" s="164" t="s">
        <v>195</v>
      </c>
      <c r="AA2549" s="164" t="s">
        <v>196</v>
      </c>
      <c r="AB2549" s="164" t="s">
        <v>187</v>
      </c>
      <c r="AC2549" s="164" t="s">
        <v>187</v>
      </c>
      <c r="AD2549" s="165">
        <v>1</v>
      </c>
      <c r="AE2549" s="164" t="s">
        <v>187</v>
      </c>
      <c r="AF2549" s="165">
        <v>25.496484988366898</v>
      </c>
      <c r="AG2549" s="166">
        <v>68.510145043745098</v>
      </c>
      <c r="AO2549" s="121"/>
      <c r="AT2549" s="111"/>
      <c r="AX2549" s="121"/>
    </row>
    <row r="2550" spans="1:50" s="110" customFormat="1" ht="20" customHeight="1">
      <c r="A2550" s="125" t="s">
        <v>231</v>
      </c>
      <c r="B2550" s="126" t="s">
        <v>66</v>
      </c>
      <c r="C2550" s="127">
        <v>19424</v>
      </c>
      <c r="D2550" s="163">
        <v>115841</v>
      </c>
      <c r="E2550" s="164" t="s">
        <v>426</v>
      </c>
      <c r="F2550" s="164" t="s">
        <v>426</v>
      </c>
      <c r="G2550" s="165">
        <v>17000</v>
      </c>
      <c r="H2550" s="165">
        <v>1</v>
      </c>
      <c r="I2550" s="164" t="s">
        <v>187</v>
      </c>
      <c r="J2550" s="164" t="s">
        <v>427</v>
      </c>
      <c r="K2550" s="164" t="s">
        <v>428</v>
      </c>
      <c r="L2550" s="165">
        <v>0</v>
      </c>
      <c r="M2550" s="165">
        <v>6</v>
      </c>
      <c r="N2550" s="164" t="s">
        <v>189</v>
      </c>
      <c r="O2550" s="165">
        <v>0</v>
      </c>
      <c r="P2550" s="165">
        <v>0</v>
      </c>
      <c r="Q2550" s="165">
        <v>21</v>
      </c>
      <c r="R2550" s="164" t="s">
        <v>200</v>
      </c>
      <c r="S2550" s="164" t="s">
        <v>201</v>
      </c>
      <c r="T2550" s="165">
        <v>462</v>
      </c>
      <c r="U2550" s="164" t="s">
        <v>200</v>
      </c>
      <c r="V2550" s="164" t="s">
        <v>202</v>
      </c>
      <c r="W2550" s="165">
        <v>1</v>
      </c>
      <c r="X2550" s="165">
        <v>4</v>
      </c>
      <c r="Y2550" s="164" t="s">
        <v>203</v>
      </c>
      <c r="Z2550" s="164" t="s">
        <v>195</v>
      </c>
      <c r="AA2550" s="164" t="s">
        <v>196</v>
      </c>
      <c r="AB2550" s="164" t="s">
        <v>187</v>
      </c>
      <c r="AC2550" s="164" t="s">
        <v>187</v>
      </c>
      <c r="AD2550" s="165">
        <v>1</v>
      </c>
      <c r="AE2550" s="164" t="s">
        <v>187</v>
      </c>
      <c r="AF2550" s="165">
        <v>36.181739757402397</v>
      </c>
      <c r="AG2550" s="166">
        <v>72.220134191246999</v>
      </c>
      <c r="AO2550" s="121"/>
      <c r="AT2550" s="111"/>
      <c r="AX2550" s="121"/>
    </row>
    <row r="2551" spans="1:50" s="110" customFormat="1" ht="20" customHeight="1">
      <c r="A2551" s="125" t="s">
        <v>231</v>
      </c>
      <c r="B2551" s="126" t="s">
        <v>66</v>
      </c>
      <c r="C2551" s="127">
        <v>16491</v>
      </c>
      <c r="D2551" s="163">
        <v>111661</v>
      </c>
      <c r="E2551" s="164" t="s">
        <v>524</v>
      </c>
      <c r="F2551" s="164" t="s">
        <v>524</v>
      </c>
      <c r="G2551" s="165">
        <v>17000</v>
      </c>
      <c r="H2551" s="165">
        <v>1</v>
      </c>
      <c r="I2551" s="164" t="s">
        <v>187</v>
      </c>
      <c r="J2551" s="164" t="s">
        <v>222</v>
      </c>
      <c r="K2551" s="164" t="s">
        <v>223</v>
      </c>
      <c r="L2551" s="165">
        <v>4</v>
      </c>
      <c r="M2551" s="165">
        <v>6</v>
      </c>
      <c r="N2551" s="164" t="s">
        <v>189</v>
      </c>
      <c r="O2551" s="165">
        <v>0</v>
      </c>
      <c r="P2551" s="165">
        <v>0</v>
      </c>
      <c r="Q2551" s="165">
        <v>21</v>
      </c>
      <c r="R2551" s="164" t="s">
        <v>200</v>
      </c>
      <c r="S2551" s="164" t="s">
        <v>201</v>
      </c>
      <c r="T2551" s="165">
        <v>462</v>
      </c>
      <c r="U2551" s="164" t="s">
        <v>200</v>
      </c>
      <c r="V2551" s="164" t="s">
        <v>202</v>
      </c>
      <c r="W2551" s="165">
        <v>2</v>
      </c>
      <c r="X2551" s="165">
        <v>4</v>
      </c>
      <c r="Y2551" s="164" t="s">
        <v>203</v>
      </c>
      <c r="Z2551" s="164" t="s">
        <v>195</v>
      </c>
      <c r="AA2551" s="164" t="s">
        <v>196</v>
      </c>
      <c r="AB2551" s="164" t="s">
        <v>187</v>
      </c>
      <c r="AC2551" s="164" t="s">
        <v>187</v>
      </c>
      <c r="AD2551" s="165">
        <v>1</v>
      </c>
      <c r="AE2551" s="164" t="s">
        <v>187</v>
      </c>
      <c r="AF2551" s="165">
        <v>33.981199975668403</v>
      </c>
      <c r="AG2551" s="166">
        <v>71.561504060221594</v>
      </c>
      <c r="AO2551" s="121"/>
      <c r="AT2551" s="111"/>
      <c r="AX2551" s="121"/>
    </row>
    <row r="2552" spans="1:50" s="110" customFormat="1" ht="20" customHeight="1">
      <c r="A2552" s="125" t="s">
        <v>231</v>
      </c>
      <c r="B2552" s="126" t="s">
        <v>66</v>
      </c>
      <c r="C2552" s="127">
        <v>16538</v>
      </c>
      <c r="D2552" s="163">
        <v>111719</v>
      </c>
      <c r="E2552" s="164" t="s">
        <v>545</v>
      </c>
      <c r="F2552" s="164" t="s">
        <v>545</v>
      </c>
      <c r="G2552" s="165">
        <v>16000</v>
      </c>
      <c r="H2552" s="165">
        <v>1</v>
      </c>
      <c r="I2552" s="164" t="s">
        <v>187</v>
      </c>
      <c r="J2552" s="164" t="s">
        <v>216</v>
      </c>
      <c r="K2552" s="164" t="s">
        <v>217</v>
      </c>
      <c r="L2552" s="165">
        <v>5</v>
      </c>
      <c r="M2552" s="165">
        <v>6</v>
      </c>
      <c r="N2552" s="164" t="s">
        <v>189</v>
      </c>
      <c r="O2552" s="165">
        <v>0</v>
      </c>
      <c r="P2552" s="165">
        <v>0</v>
      </c>
      <c r="Q2552" s="165">
        <v>21</v>
      </c>
      <c r="R2552" s="164" t="s">
        <v>200</v>
      </c>
      <c r="S2552" s="164" t="s">
        <v>201</v>
      </c>
      <c r="T2552" s="165">
        <v>462</v>
      </c>
      <c r="U2552" s="164" t="s">
        <v>200</v>
      </c>
      <c r="V2552" s="164" t="s">
        <v>202</v>
      </c>
      <c r="W2552" s="165">
        <v>2</v>
      </c>
      <c r="X2552" s="165">
        <v>4</v>
      </c>
      <c r="Y2552" s="164" t="s">
        <v>203</v>
      </c>
      <c r="Z2552" s="164" t="s">
        <v>195</v>
      </c>
      <c r="AA2552" s="164" t="s">
        <v>196</v>
      </c>
      <c r="AB2552" s="164" t="s">
        <v>187</v>
      </c>
      <c r="AC2552" s="164" t="s">
        <v>187</v>
      </c>
      <c r="AD2552" s="165">
        <v>1</v>
      </c>
      <c r="AE2552" s="164" t="s">
        <v>187</v>
      </c>
      <c r="AF2552" s="165">
        <v>33.896331467400699</v>
      </c>
      <c r="AG2552" s="166">
        <v>73.8558672269006</v>
      </c>
      <c r="AO2552" s="121"/>
      <c r="AT2552" s="111"/>
      <c r="AX2552" s="121"/>
    </row>
    <row r="2553" spans="1:50" s="110" customFormat="1" ht="20" customHeight="1">
      <c r="A2553" s="125" t="s">
        <v>231</v>
      </c>
      <c r="B2553" s="126" t="s">
        <v>66</v>
      </c>
      <c r="C2553" s="127">
        <v>17691</v>
      </c>
      <c r="D2553" s="163">
        <v>113136</v>
      </c>
      <c r="E2553" s="164" t="s">
        <v>1431</v>
      </c>
      <c r="F2553" s="164" t="s">
        <v>1431</v>
      </c>
      <c r="G2553" s="165">
        <v>16000</v>
      </c>
      <c r="H2553" s="165">
        <v>1</v>
      </c>
      <c r="I2553" s="164" t="s">
        <v>187</v>
      </c>
      <c r="J2553" s="164" t="s">
        <v>222</v>
      </c>
      <c r="K2553" s="164" t="s">
        <v>223</v>
      </c>
      <c r="L2553" s="165">
        <v>4</v>
      </c>
      <c r="M2553" s="165">
        <v>6</v>
      </c>
      <c r="N2553" s="164" t="s">
        <v>189</v>
      </c>
      <c r="O2553" s="165">
        <v>0</v>
      </c>
      <c r="P2553" s="165">
        <v>0</v>
      </c>
      <c r="Q2553" s="165">
        <v>21</v>
      </c>
      <c r="R2553" s="164" t="s">
        <v>200</v>
      </c>
      <c r="S2553" s="164" t="s">
        <v>201</v>
      </c>
      <c r="T2553" s="165">
        <v>462</v>
      </c>
      <c r="U2553" s="164" t="s">
        <v>200</v>
      </c>
      <c r="V2553" s="164" t="s">
        <v>202</v>
      </c>
      <c r="W2553" s="165">
        <v>2</v>
      </c>
      <c r="X2553" s="165">
        <v>4</v>
      </c>
      <c r="Y2553" s="164" t="s">
        <v>203</v>
      </c>
      <c r="Z2553" s="164" t="s">
        <v>195</v>
      </c>
      <c r="AA2553" s="164" t="s">
        <v>196</v>
      </c>
      <c r="AB2553" s="164" t="s">
        <v>187</v>
      </c>
      <c r="AC2553" s="164" t="s">
        <v>187</v>
      </c>
      <c r="AD2553" s="165">
        <v>1</v>
      </c>
      <c r="AE2553" s="164" t="s">
        <v>187</v>
      </c>
      <c r="AF2553" s="165">
        <v>25.492745268411401</v>
      </c>
      <c r="AG2553" s="166">
        <v>68.515991448814006</v>
      </c>
      <c r="AO2553" s="121"/>
      <c r="AT2553" s="111"/>
      <c r="AX2553" s="121"/>
    </row>
    <row r="2554" spans="1:50" s="110" customFormat="1" ht="20" customHeight="1">
      <c r="A2554" s="125" t="s">
        <v>231</v>
      </c>
      <c r="B2554" s="126" t="s">
        <v>66</v>
      </c>
      <c r="C2554" s="127">
        <v>17428</v>
      </c>
      <c r="D2554" s="163">
        <v>112830</v>
      </c>
      <c r="E2554" s="164" t="s">
        <v>1091</v>
      </c>
      <c r="F2554" s="164" t="s">
        <v>1091</v>
      </c>
      <c r="G2554" s="165">
        <v>15000</v>
      </c>
      <c r="H2554" s="165">
        <v>1</v>
      </c>
      <c r="I2554" s="164" t="s">
        <v>187</v>
      </c>
      <c r="J2554" s="164" t="s">
        <v>1092</v>
      </c>
      <c r="K2554" s="164" t="s">
        <v>1093</v>
      </c>
      <c r="L2554" s="165">
        <v>3</v>
      </c>
      <c r="M2554" s="165">
        <v>6</v>
      </c>
      <c r="N2554" s="164" t="s">
        <v>189</v>
      </c>
      <c r="O2554" s="165">
        <v>0</v>
      </c>
      <c r="P2554" s="165">
        <v>0</v>
      </c>
      <c r="Q2554" s="165">
        <v>21</v>
      </c>
      <c r="R2554" s="164" t="s">
        <v>200</v>
      </c>
      <c r="S2554" s="164" t="s">
        <v>201</v>
      </c>
      <c r="T2554" s="165">
        <v>462</v>
      </c>
      <c r="U2554" s="164" t="s">
        <v>200</v>
      </c>
      <c r="V2554" s="164" t="s">
        <v>202</v>
      </c>
      <c r="W2554" s="165">
        <v>3</v>
      </c>
      <c r="X2554" s="165">
        <v>4</v>
      </c>
      <c r="Y2554" s="164" t="s">
        <v>203</v>
      </c>
      <c r="Z2554" s="164" t="s">
        <v>195</v>
      </c>
      <c r="AA2554" s="164" t="s">
        <v>196</v>
      </c>
      <c r="AB2554" s="164" t="s">
        <v>187</v>
      </c>
      <c r="AC2554" s="164" t="s">
        <v>187</v>
      </c>
      <c r="AD2554" s="165">
        <v>1</v>
      </c>
      <c r="AE2554" s="164" t="s">
        <v>187</v>
      </c>
      <c r="AF2554" s="165">
        <v>34.6755563356</v>
      </c>
      <c r="AG2554" s="166">
        <v>74.051047635200007</v>
      </c>
      <c r="AO2554" s="121"/>
      <c r="AT2554" s="111"/>
      <c r="AX2554" s="121"/>
    </row>
    <row r="2555" spans="1:50" s="110" customFormat="1" ht="20" customHeight="1">
      <c r="A2555" s="125" t="s">
        <v>231</v>
      </c>
      <c r="B2555" s="126" t="s">
        <v>66</v>
      </c>
      <c r="C2555" s="127">
        <v>16911</v>
      </c>
      <c r="D2555" s="163">
        <v>112208</v>
      </c>
      <c r="E2555" s="164" t="s">
        <v>724</v>
      </c>
      <c r="F2555" s="164" t="s">
        <v>724</v>
      </c>
      <c r="G2555" s="165">
        <v>14000</v>
      </c>
      <c r="H2555" s="165">
        <v>1</v>
      </c>
      <c r="I2555" s="164" t="s">
        <v>187</v>
      </c>
      <c r="J2555" s="164" t="s">
        <v>222</v>
      </c>
      <c r="K2555" s="164" t="s">
        <v>223</v>
      </c>
      <c r="L2555" s="165">
        <v>4</v>
      </c>
      <c r="M2555" s="165">
        <v>6</v>
      </c>
      <c r="N2555" s="164" t="s">
        <v>189</v>
      </c>
      <c r="O2555" s="165">
        <v>0</v>
      </c>
      <c r="P2555" s="165">
        <v>0</v>
      </c>
      <c r="Q2555" s="165">
        <v>21</v>
      </c>
      <c r="R2555" s="164" t="s">
        <v>200</v>
      </c>
      <c r="S2555" s="164" t="s">
        <v>201</v>
      </c>
      <c r="T2555" s="165">
        <v>462</v>
      </c>
      <c r="U2555" s="164" t="s">
        <v>200</v>
      </c>
      <c r="V2555" s="164" t="s">
        <v>202</v>
      </c>
      <c r="W2555" s="165">
        <v>2</v>
      </c>
      <c r="X2555" s="165">
        <v>4</v>
      </c>
      <c r="Y2555" s="164" t="s">
        <v>203</v>
      </c>
      <c r="Z2555" s="164" t="s">
        <v>195</v>
      </c>
      <c r="AA2555" s="164" t="s">
        <v>196</v>
      </c>
      <c r="AB2555" s="164" t="s">
        <v>187</v>
      </c>
      <c r="AC2555" s="164" t="s">
        <v>187</v>
      </c>
      <c r="AD2555" s="165">
        <v>1</v>
      </c>
      <c r="AE2555" s="164" t="s">
        <v>187</v>
      </c>
      <c r="AF2555" s="165">
        <v>32.402817427238503</v>
      </c>
      <c r="AG2555" s="166">
        <v>74.632934164832093</v>
      </c>
      <c r="AO2555" s="121"/>
      <c r="AT2555" s="111"/>
      <c r="AX2555" s="121"/>
    </row>
    <row r="2556" spans="1:50" s="110" customFormat="1" ht="20" customHeight="1">
      <c r="A2556" s="125" t="s">
        <v>231</v>
      </c>
      <c r="B2556" s="126" t="s">
        <v>66</v>
      </c>
      <c r="C2556" s="127">
        <v>17759</v>
      </c>
      <c r="D2556" s="163">
        <v>113218</v>
      </c>
      <c r="E2556" s="164" t="s">
        <v>1156</v>
      </c>
      <c r="F2556" s="164" t="s">
        <v>1156</v>
      </c>
      <c r="G2556" s="165">
        <v>14000</v>
      </c>
      <c r="H2556" s="165">
        <v>1</v>
      </c>
      <c r="I2556" s="164" t="s">
        <v>187</v>
      </c>
      <c r="J2556" s="164" t="s">
        <v>216</v>
      </c>
      <c r="K2556" s="164" t="s">
        <v>217</v>
      </c>
      <c r="L2556" s="165">
        <v>5</v>
      </c>
      <c r="M2556" s="165">
        <v>6</v>
      </c>
      <c r="N2556" s="164" t="s">
        <v>189</v>
      </c>
      <c r="O2556" s="165">
        <v>0</v>
      </c>
      <c r="P2556" s="165">
        <v>0</v>
      </c>
      <c r="Q2556" s="165">
        <v>21</v>
      </c>
      <c r="R2556" s="164" t="s">
        <v>200</v>
      </c>
      <c r="S2556" s="164" t="s">
        <v>201</v>
      </c>
      <c r="T2556" s="165">
        <v>462</v>
      </c>
      <c r="U2556" s="164" t="s">
        <v>200</v>
      </c>
      <c r="V2556" s="164" t="s">
        <v>202</v>
      </c>
      <c r="W2556" s="165">
        <v>2</v>
      </c>
      <c r="X2556" s="165">
        <v>4</v>
      </c>
      <c r="Y2556" s="164" t="s">
        <v>203</v>
      </c>
      <c r="Z2556" s="164" t="s">
        <v>195</v>
      </c>
      <c r="AA2556" s="164" t="s">
        <v>196</v>
      </c>
      <c r="AB2556" s="164" t="s">
        <v>187</v>
      </c>
      <c r="AC2556" s="164" t="s">
        <v>187</v>
      </c>
      <c r="AD2556" s="165">
        <v>1</v>
      </c>
      <c r="AE2556" s="164" t="s">
        <v>187</v>
      </c>
      <c r="AF2556" s="165">
        <v>25.496828710111298</v>
      </c>
      <c r="AG2556" s="166">
        <v>68.512228359160005</v>
      </c>
      <c r="AO2556" s="121"/>
      <c r="AT2556" s="111"/>
      <c r="AX2556" s="121"/>
    </row>
    <row r="2557" spans="1:50" s="110" customFormat="1" ht="20" customHeight="1">
      <c r="A2557" s="125" t="s">
        <v>231</v>
      </c>
      <c r="B2557" s="126" t="s">
        <v>66</v>
      </c>
      <c r="C2557" s="127">
        <v>21535</v>
      </c>
      <c r="D2557" s="163">
        <v>118338</v>
      </c>
      <c r="E2557" s="164" t="s">
        <v>1336</v>
      </c>
      <c r="F2557" s="164" t="s">
        <v>1336</v>
      </c>
      <c r="G2557" s="165">
        <v>14000</v>
      </c>
      <c r="H2557" s="165">
        <v>1</v>
      </c>
      <c r="I2557" s="164" t="s">
        <v>187</v>
      </c>
      <c r="J2557" s="164" t="s">
        <v>219</v>
      </c>
      <c r="K2557" s="164" t="s">
        <v>220</v>
      </c>
      <c r="L2557" s="165">
        <v>5</v>
      </c>
      <c r="M2557" s="165">
        <v>6</v>
      </c>
      <c r="N2557" s="164" t="s">
        <v>189</v>
      </c>
      <c r="O2557" s="165">
        <v>0</v>
      </c>
      <c r="P2557" s="165">
        <v>0</v>
      </c>
      <c r="Q2557" s="165">
        <v>21</v>
      </c>
      <c r="R2557" s="164" t="s">
        <v>200</v>
      </c>
      <c r="S2557" s="164" t="s">
        <v>201</v>
      </c>
      <c r="T2557" s="165">
        <v>462</v>
      </c>
      <c r="U2557" s="164" t="s">
        <v>200</v>
      </c>
      <c r="V2557" s="164" t="s">
        <v>202</v>
      </c>
      <c r="W2557" s="165">
        <v>1</v>
      </c>
      <c r="X2557" s="165">
        <v>4</v>
      </c>
      <c r="Y2557" s="164" t="s">
        <v>203</v>
      </c>
      <c r="Z2557" s="164" t="s">
        <v>195</v>
      </c>
      <c r="AA2557" s="164" t="s">
        <v>196</v>
      </c>
      <c r="AB2557" s="164" t="s">
        <v>187</v>
      </c>
      <c r="AC2557" s="164" t="s">
        <v>187</v>
      </c>
      <c r="AD2557" s="165">
        <v>1</v>
      </c>
      <c r="AE2557" s="164" t="s">
        <v>187</v>
      </c>
      <c r="AF2557" s="165">
        <v>24.994509999999998</v>
      </c>
      <c r="AG2557" s="166">
        <v>66.930000000000007</v>
      </c>
      <c r="AO2557" s="121"/>
      <c r="AT2557" s="111"/>
      <c r="AX2557" s="121"/>
    </row>
    <row r="2558" spans="1:50" s="110" customFormat="1" ht="20" customHeight="1">
      <c r="A2558" s="125" t="s">
        <v>231</v>
      </c>
      <c r="B2558" s="126" t="s">
        <v>66</v>
      </c>
      <c r="C2558" s="127">
        <v>17593</v>
      </c>
      <c r="D2558" s="163">
        <v>113022</v>
      </c>
      <c r="E2558" s="164" t="s">
        <v>878</v>
      </c>
      <c r="F2558" s="164" t="s">
        <v>878</v>
      </c>
      <c r="G2558" s="165">
        <v>13000</v>
      </c>
      <c r="H2558" s="165">
        <v>1</v>
      </c>
      <c r="I2558" s="164" t="s">
        <v>187</v>
      </c>
      <c r="J2558" s="164" t="s">
        <v>222</v>
      </c>
      <c r="K2558" s="164" t="s">
        <v>223</v>
      </c>
      <c r="L2558" s="165">
        <v>4</v>
      </c>
      <c r="M2558" s="165">
        <v>6</v>
      </c>
      <c r="N2558" s="164" t="s">
        <v>189</v>
      </c>
      <c r="O2558" s="165">
        <v>0</v>
      </c>
      <c r="P2558" s="165">
        <v>0</v>
      </c>
      <c r="Q2558" s="165">
        <v>21</v>
      </c>
      <c r="R2558" s="164" t="s">
        <v>200</v>
      </c>
      <c r="S2558" s="164" t="s">
        <v>201</v>
      </c>
      <c r="T2558" s="165">
        <v>462</v>
      </c>
      <c r="U2558" s="164" t="s">
        <v>200</v>
      </c>
      <c r="V2558" s="164" t="s">
        <v>202</v>
      </c>
      <c r="W2558" s="165">
        <v>2</v>
      </c>
      <c r="X2558" s="165">
        <v>4</v>
      </c>
      <c r="Y2558" s="164" t="s">
        <v>203</v>
      </c>
      <c r="Z2558" s="164" t="s">
        <v>195</v>
      </c>
      <c r="AA2558" s="164" t="s">
        <v>196</v>
      </c>
      <c r="AB2558" s="164" t="s">
        <v>187</v>
      </c>
      <c r="AC2558" s="164" t="s">
        <v>187</v>
      </c>
      <c r="AD2558" s="165">
        <v>1</v>
      </c>
      <c r="AE2558" s="164" t="s">
        <v>187</v>
      </c>
      <c r="AF2558" s="165">
        <v>33.981978229993601</v>
      </c>
      <c r="AG2558" s="166">
        <v>71.567947808865199</v>
      </c>
      <c r="AO2558" s="121"/>
      <c r="AT2558" s="111"/>
      <c r="AX2558" s="121"/>
    </row>
    <row r="2559" spans="1:50" s="110" customFormat="1" ht="20" customHeight="1">
      <c r="A2559" s="125" t="s">
        <v>231</v>
      </c>
      <c r="B2559" s="126" t="s">
        <v>66</v>
      </c>
      <c r="C2559" s="127">
        <v>17664</v>
      </c>
      <c r="D2559" s="163">
        <v>113104</v>
      </c>
      <c r="E2559" s="164" t="s">
        <v>1203</v>
      </c>
      <c r="F2559" s="164" t="s">
        <v>1203</v>
      </c>
      <c r="G2559" s="165">
        <v>12000</v>
      </c>
      <c r="H2559" s="165">
        <v>1</v>
      </c>
      <c r="I2559" s="164" t="s">
        <v>187</v>
      </c>
      <c r="J2559" s="164" t="s">
        <v>222</v>
      </c>
      <c r="K2559" s="164" t="s">
        <v>223</v>
      </c>
      <c r="L2559" s="165">
        <v>4</v>
      </c>
      <c r="M2559" s="165">
        <v>6</v>
      </c>
      <c r="N2559" s="164" t="s">
        <v>189</v>
      </c>
      <c r="O2559" s="165">
        <v>0</v>
      </c>
      <c r="P2559" s="165">
        <v>0</v>
      </c>
      <c r="Q2559" s="165">
        <v>21</v>
      </c>
      <c r="R2559" s="164" t="s">
        <v>200</v>
      </c>
      <c r="S2559" s="164" t="s">
        <v>201</v>
      </c>
      <c r="T2559" s="165">
        <v>462</v>
      </c>
      <c r="U2559" s="164" t="s">
        <v>200</v>
      </c>
      <c r="V2559" s="164" t="s">
        <v>202</v>
      </c>
      <c r="W2559" s="165">
        <v>2</v>
      </c>
      <c r="X2559" s="165">
        <v>4</v>
      </c>
      <c r="Y2559" s="164" t="s">
        <v>203</v>
      </c>
      <c r="Z2559" s="164" t="s">
        <v>195</v>
      </c>
      <c r="AA2559" s="164" t="s">
        <v>196</v>
      </c>
      <c r="AB2559" s="164" t="s">
        <v>187</v>
      </c>
      <c r="AC2559" s="164" t="s">
        <v>187</v>
      </c>
      <c r="AD2559" s="165">
        <v>1</v>
      </c>
      <c r="AE2559" s="164" t="s">
        <v>187</v>
      </c>
      <c r="AF2559" s="165">
        <v>30.079931609465799</v>
      </c>
      <c r="AG2559" s="166">
        <v>71.461456641251203</v>
      </c>
      <c r="AO2559" s="121"/>
      <c r="AT2559" s="111"/>
      <c r="AX2559" s="121"/>
    </row>
    <row r="2560" spans="1:50" s="110" customFormat="1" ht="20" customHeight="1">
      <c r="A2560" s="125" t="s">
        <v>231</v>
      </c>
      <c r="B2560" s="126" t="s">
        <v>66</v>
      </c>
      <c r="C2560" s="127">
        <v>17573</v>
      </c>
      <c r="D2560" s="163">
        <v>113000</v>
      </c>
      <c r="E2560" s="164" t="s">
        <v>854</v>
      </c>
      <c r="F2560" s="164" t="s">
        <v>854</v>
      </c>
      <c r="G2560" s="165">
        <v>11000</v>
      </c>
      <c r="H2560" s="165">
        <v>1</v>
      </c>
      <c r="I2560" s="164" t="s">
        <v>187</v>
      </c>
      <c r="J2560" s="164" t="s">
        <v>222</v>
      </c>
      <c r="K2560" s="164" t="s">
        <v>223</v>
      </c>
      <c r="L2560" s="165">
        <v>4</v>
      </c>
      <c r="M2560" s="165">
        <v>6</v>
      </c>
      <c r="N2560" s="164" t="s">
        <v>189</v>
      </c>
      <c r="O2560" s="165">
        <v>0</v>
      </c>
      <c r="P2560" s="165">
        <v>0</v>
      </c>
      <c r="Q2560" s="165">
        <v>21</v>
      </c>
      <c r="R2560" s="164" t="s">
        <v>200</v>
      </c>
      <c r="S2560" s="164" t="s">
        <v>201</v>
      </c>
      <c r="T2560" s="165">
        <v>462</v>
      </c>
      <c r="U2560" s="164" t="s">
        <v>200</v>
      </c>
      <c r="V2560" s="164" t="s">
        <v>202</v>
      </c>
      <c r="W2560" s="165">
        <v>3</v>
      </c>
      <c r="X2560" s="165">
        <v>4</v>
      </c>
      <c r="Y2560" s="164" t="s">
        <v>203</v>
      </c>
      <c r="Z2560" s="164" t="s">
        <v>195</v>
      </c>
      <c r="AA2560" s="164" t="s">
        <v>196</v>
      </c>
      <c r="AB2560" s="164" t="s">
        <v>187</v>
      </c>
      <c r="AC2560" s="164" t="s">
        <v>187</v>
      </c>
      <c r="AD2560" s="165">
        <v>1</v>
      </c>
      <c r="AE2560" s="164" t="s">
        <v>187</v>
      </c>
      <c r="AF2560" s="165">
        <v>33.519941578856297</v>
      </c>
      <c r="AG2560" s="166">
        <v>73.921327684775207</v>
      </c>
      <c r="AO2560" s="121"/>
      <c r="AT2560" s="111"/>
      <c r="AX2560" s="121"/>
    </row>
    <row r="2561" spans="1:50" s="110" customFormat="1" ht="20" customHeight="1">
      <c r="A2561" s="125" t="s">
        <v>231</v>
      </c>
      <c r="B2561" s="126" t="s">
        <v>66</v>
      </c>
      <c r="C2561" s="127">
        <v>19432</v>
      </c>
      <c r="D2561" s="163">
        <v>115568</v>
      </c>
      <c r="E2561" s="164" t="s">
        <v>887</v>
      </c>
      <c r="F2561" s="164" t="s">
        <v>887</v>
      </c>
      <c r="G2561" s="165">
        <v>11000</v>
      </c>
      <c r="H2561" s="165">
        <v>1</v>
      </c>
      <c r="I2561" s="164" t="s">
        <v>187</v>
      </c>
      <c r="J2561" s="164" t="s">
        <v>501</v>
      </c>
      <c r="K2561" s="164" t="s">
        <v>502</v>
      </c>
      <c r="L2561" s="165">
        <v>3</v>
      </c>
      <c r="M2561" s="165">
        <v>6</v>
      </c>
      <c r="N2561" s="164" t="s">
        <v>189</v>
      </c>
      <c r="O2561" s="165">
        <v>0</v>
      </c>
      <c r="P2561" s="165">
        <v>0</v>
      </c>
      <c r="Q2561" s="165">
        <v>21</v>
      </c>
      <c r="R2561" s="164" t="s">
        <v>200</v>
      </c>
      <c r="S2561" s="164" t="s">
        <v>201</v>
      </c>
      <c r="T2561" s="165">
        <v>462</v>
      </c>
      <c r="U2561" s="164" t="s">
        <v>200</v>
      </c>
      <c r="V2561" s="164" t="s">
        <v>202</v>
      </c>
      <c r="W2561" s="165">
        <v>1</v>
      </c>
      <c r="X2561" s="165">
        <v>4</v>
      </c>
      <c r="Y2561" s="164" t="s">
        <v>203</v>
      </c>
      <c r="Z2561" s="164" t="s">
        <v>195</v>
      </c>
      <c r="AA2561" s="164" t="s">
        <v>196</v>
      </c>
      <c r="AB2561" s="164" t="s">
        <v>187</v>
      </c>
      <c r="AC2561" s="164" t="s">
        <v>187</v>
      </c>
      <c r="AD2561" s="165">
        <v>1</v>
      </c>
      <c r="AE2561" s="164" t="s">
        <v>187</v>
      </c>
      <c r="AF2561" s="165">
        <v>30.076301457064801</v>
      </c>
      <c r="AG2561" s="166">
        <v>71.455197185330306</v>
      </c>
      <c r="AO2561" s="121"/>
      <c r="AT2561" s="111"/>
      <c r="AX2561" s="121"/>
    </row>
    <row r="2562" spans="1:50" s="110" customFormat="1" ht="20" customHeight="1">
      <c r="A2562" s="125" t="s">
        <v>231</v>
      </c>
      <c r="B2562" s="126" t="s">
        <v>66</v>
      </c>
      <c r="C2562" s="127">
        <v>17602</v>
      </c>
      <c r="D2562" s="163">
        <v>113033</v>
      </c>
      <c r="E2562" s="164" t="s">
        <v>967</v>
      </c>
      <c r="F2562" s="164" t="s">
        <v>967</v>
      </c>
      <c r="G2562" s="165">
        <v>11000</v>
      </c>
      <c r="H2562" s="165">
        <v>1</v>
      </c>
      <c r="I2562" s="164" t="s">
        <v>187</v>
      </c>
      <c r="J2562" s="164" t="s">
        <v>222</v>
      </c>
      <c r="K2562" s="164" t="s">
        <v>223</v>
      </c>
      <c r="L2562" s="165">
        <v>4</v>
      </c>
      <c r="M2562" s="165">
        <v>6</v>
      </c>
      <c r="N2562" s="164" t="s">
        <v>189</v>
      </c>
      <c r="O2562" s="165">
        <v>0</v>
      </c>
      <c r="P2562" s="165">
        <v>0</v>
      </c>
      <c r="Q2562" s="165">
        <v>21</v>
      </c>
      <c r="R2562" s="164" t="s">
        <v>200</v>
      </c>
      <c r="S2562" s="164" t="s">
        <v>201</v>
      </c>
      <c r="T2562" s="165">
        <v>462</v>
      </c>
      <c r="U2562" s="164" t="s">
        <v>200</v>
      </c>
      <c r="V2562" s="164" t="s">
        <v>202</v>
      </c>
      <c r="W2562" s="165">
        <v>2</v>
      </c>
      <c r="X2562" s="165">
        <v>4</v>
      </c>
      <c r="Y2562" s="164" t="s">
        <v>203</v>
      </c>
      <c r="Z2562" s="164" t="s">
        <v>195</v>
      </c>
      <c r="AA2562" s="164" t="s">
        <v>196</v>
      </c>
      <c r="AB2562" s="164" t="s">
        <v>187</v>
      </c>
      <c r="AC2562" s="164" t="s">
        <v>187</v>
      </c>
      <c r="AD2562" s="165">
        <v>1</v>
      </c>
      <c r="AE2562" s="164" t="s">
        <v>187</v>
      </c>
      <c r="AF2562" s="165">
        <v>28.4665484876504</v>
      </c>
      <c r="AG2562" s="166">
        <v>70.481802593604996</v>
      </c>
      <c r="AO2562" s="121"/>
      <c r="AT2562" s="111"/>
      <c r="AX2562" s="121"/>
    </row>
    <row r="2563" spans="1:50" s="110" customFormat="1" ht="20" customHeight="1">
      <c r="A2563" s="125" t="s">
        <v>231</v>
      </c>
      <c r="B2563" s="126" t="s">
        <v>66</v>
      </c>
      <c r="C2563" s="127">
        <v>17670</v>
      </c>
      <c r="D2563" s="163">
        <v>113112</v>
      </c>
      <c r="E2563" s="164" t="s">
        <v>1294</v>
      </c>
      <c r="F2563" s="164" t="s">
        <v>1294</v>
      </c>
      <c r="G2563" s="165">
        <v>11000</v>
      </c>
      <c r="H2563" s="165">
        <v>1</v>
      </c>
      <c r="I2563" s="164" t="s">
        <v>187</v>
      </c>
      <c r="J2563" s="164" t="s">
        <v>222</v>
      </c>
      <c r="K2563" s="164" t="s">
        <v>223</v>
      </c>
      <c r="L2563" s="165">
        <v>4</v>
      </c>
      <c r="M2563" s="165">
        <v>6</v>
      </c>
      <c r="N2563" s="164" t="s">
        <v>189</v>
      </c>
      <c r="O2563" s="165">
        <v>0</v>
      </c>
      <c r="P2563" s="165">
        <v>0</v>
      </c>
      <c r="Q2563" s="165">
        <v>21</v>
      </c>
      <c r="R2563" s="164" t="s">
        <v>200</v>
      </c>
      <c r="S2563" s="164" t="s">
        <v>201</v>
      </c>
      <c r="T2563" s="165">
        <v>462</v>
      </c>
      <c r="U2563" s="164" t="s">
        <v>200</v>
      </c>
      <c r="V2563" s="164" t="s">
        <v>202</v>
      </c>
      <c r="W2563" s="165">
        <v>2</v>
      </c>
      <c r="X2563" s="165">
        <v>4</v>
      </c>
      <c r="Y2563" s="164" t="s">
        <v>203</v>
      </c>
      <c r="Z2563" s="164" t="s">
        <v>195</v>
      </c>
      <c r="AA2563" s="164" t="s">
        <v>196</v>
      </c>
      <c r="AB2563" s="164" t="s">
        <v>187</v>
      </c>
      <c r="AC2563" s="164" t="s">
        <v>187</v>
      </c>
      <c r="AD2563" s="165">
        <v>1</v>
      </c>
      <c r="AE2563" s="164" t="s">
        <v>187</v>
      </c>
      <c r="AF2563" s="165">
        <v>31.445362989070201</v>
      </c>
      <c r="AG2563" s="166">
        <v>72.381548842804193</v>
      </c>
      <c r="AO2563" s="121"/>
      <c r="AT2563" s="111"/>
      <c r="AX2563" s="121"/>
    </row>
    <row r="2564" spans="1:50" s="110" customFormat="1" ht="20" customHeight="1">
      <c r="A2564" s="125" t="s">
        <v>231</v>
      </c>
      <c r="B2564" s="126" t="s">
        <v>66</v>
      </c>
      <c r="C2564" s="127">
        <v>17878</v>
      </c>
      <c r="D2564" s="163">
        <v>113354</v>
      </c>
      <c r="E2564" s="164" t="s">
        <v>1208</v>
      </c>
      <c r="F2564" s="164" t="s">
        <v>1208</v>
      </c>
      <c r="G2564" s="165">
        <v>10000</v>
      </c>
      <c r="H2564" s="165">
        <v>1</v>
      </c>
      <c r="I2564" s="164" t="s">
        <v>187</v>
      </c>
      <c r="J2564" s="164" t="s">
        <v>222</v>
      </c>
      <c r="K2564" s="164" t="s">
        <v>223</v>
      </c>
      <c r="L2564" s="165">
        <v>4</v>
      </c>
      <c r="M2564" s="165">
        <v>6</v>
      </c>
      <c r="N2564" s="164" t="s">
        <v>189</v>
      </c>
      <c r="O2564" s="165">
        <v>0</v>
      </c>
      <c r="P2564" s="165">
        <v>0</v>
      </c>
      <c r="Q2564" s="165">
        <v>21</v>
      </c>
      <c r="R2564" s="164" t="s">
        <v>200</v>
      </c>
      <c r="S2564" s="164" t="s">
        <v>201</v>
      </c>
      <c r="T2564" s="165">
        <v>462</v>
      </c>
      <c r="U2564" s="164" t="s">
        <v>200</v>
      </c>
      <c r="V2564" s="164" t="s">
        <v>202</v>
      </c>
      <c r="W2564" s="165">
        <v>2</v>
      </c>
      <c r="X2564" s="165">
        <v>4</v>
      </c>
      <c r="Y2564" s="164" t="s">
        <v>203</v>
      </c>
      <c r="Z2564" s="164" t="s">
        <v>195</v>
      </c>
      <c r="AA2564" s="164" t="s">
        <v>196</v>
      </c>
      <c r="AB2564" s="164" t="s">
        <v>187</v>
      </c>
      <c r="AC2564" s="164" t="s">
        <v>187</v>
      </c>
      <c r="AD2564" s="165">
        <v>1</v>
      </c>
      <c r="AE2564" s="164" t="s">
        <v>187</v>
      </c>
      <c r="AF2564" s="165">
        <v>31.3616740939765</v>
      </c>
      <c r="AG2564" s="166">
        <v>73.247184181187606</v>
      </c>
      <c r="AO2564" s="121"/>
      <c r="AT2564" s="111"/>
      <c r="AX2564" s="121"/>
    </row>
    <row r="2565" spans="1:50" s="110" customFormat="1" ht="20" customHeight="1">
      <c r="A2565" s="125" t="s">
        <v>231</v>
      </c>
      <c r="B2565" s="126" t="s">
        <v>66</v>
      </c>
      <c r="C2565" s="127">
        <v>17484</v>
      </c>
      <c r="D2565" s="163">
        <v>112896</v>
      </c>
      <c r="E2565" s="164" t="s">
        <v>416</v>
      </c>
      <c r="F2565" s="164" t="s">
        <v>416</v>
      </c>
      <c r="G2565" s="165">
        <v>9800</v>
      </c>
      <c r="H2565" s="165">
        <v>1</v>
      </c>
      <c r="I2565" s="164" t="s">
        <v>187</v>
      </c>
      <c r="J2565" s="164" t="s">
        <v>222</v>
      </c>
      <c r="K2565" s="164" t="s">
        <v>223</v>
      </c>
      <c r="L2565" s="165">
        <v>4</v>
      </c>
      <c r="M2565" s="165">
        <v>6</v>
      </c>
      <c r="N2565" s="164" t="s">
        <v>189</v>
      </c>
      <c r="O2565" s="165">
        <v>0</v>
      </c>
      <c r="P2565" s="165">
        <v>0</v>
      </c>
      <c r="Q2565" s="165">
        <v>21</v>
      </c>
      <c r="R2565" s="164" t="s">
        <v>200</v>
      </c>
      <c r="S2565" s="164" t="s">
        <v>201</v>
      </c>
      <c r="T2565" s="165">
        <v>462</v>
      </c>
      <c r="U2565" s="164" t="s">
        <v>200</v>
      </c>
      <c r="V2565" s="164" t="s">
        <v>202</v>
      </c>
      <c r="W2565" s="165">
        <v>1</v>
      </c>
      <c r="X2565" s="165">
        <v>4</v>
      </c>
      <c r="Y2565" s="164" t="s">
        <v>203</v>
      </c>
      <c r="Z2565" s="164" t="s">
        <v>195</v>
      </c>
      <c r="AA2565" s="164" t="s">
        <v>196</v>
      </c>
      <c r="AB2565" s="164" t="s">
        <v>187</v>
      </c>
      <c r="AC2565" s="164" t="s">
        <v>187</v>
      </c>
      <c r="AD2565" s="165">
        <v>1</v>
      </c>
      <c r="AE2565" s="164" t="s">
        <v>187</v>
      </c>
      <c r="AF2565" s="165">
        <v>30.083148198872401</v>
      </c>
      <c r="AG2565" s="166">
        <v>71.018969212025596</v>
      </c>
      <c r="AO2565" s="121"/>
      <c r="AT2565" s="111"/>
      <c r="AX2565" s="121"/>
    </row>
    <row r="2566" spans="1:50" s="110" customFormat="1" ht="20" customHeight="1">
      <c r="A2566" s="125" t="s">
        <v>231</v>
      </c>
      <c r="B2566" s="126" t="s">
        <v>66</v>
      </c>
      <c r="C2566" s="127">
        <v>17582</v>
      </c>
      <c r="D2566" s="163">
        <v>113009</v>
      </c>
      <c r="E2566" s="164" t="s">
        <v>891</v>
      </c>
      <c r="F2566" s="164" t="s">
        <v>891</v>
      </c>
      <c r="G2566" s="165">
        <v>9500</v>
      </c>
      <c r="H2566" s="165">
        <v>1</v>
      </c>
      <c r="I2566" s="164" t="s">
        <v>187</v>
      </c>
      <c r="J2566" s="164" t="s">
        <v>222</v>
      </c>
      <c r="K2566" s="164" t="s">
        <v>223</v>
      </c>
      <c r="L2566" s="165">
        <v>4</v>
      </c>
      <c r="M2566" s="165">
        <v>6</v>
      </c>
      <c r="N2566" s="164" t="s">
        <v>189</v>
      </c>
      <c r="O2566" s="165">
        <v>0</v>
      </c>
      <c r="P2566" s="165">
        <v>0</v>
      </c>
      <c r="Q2566" s="165">
        <v>21</v>
      </c>
      <c r="R2566" s="164" t="s">
        <v>200</v>
      </c>
      <c r="S2566" s="164" t="s">
        <v>201</v>
      </c>
      <c r="T2566" s="165">
        <v>462</v>
      </c>
      <c r="U2566" s="164" t="s">
        <v>200</v>
      </c>
      <c r="V2566" s="164" t="s">
        <v>202</v>
      </c>
      <c r="W2566" s="165">
        <v>2</v>
      </c>
      <c r="X2566" s="165">
        <v>4</v>
      </c>
      <c r="Y2566" s="164" t="s">
        <v>203</v>
      </c>
      <c r="Z2566" s="164" t="s">
        <v>195</v>
      </c>
      <c r="AA2566" s="164" t="s">
        <v>196</v>
      </c>
      <c r="AB2566" s="164" t="s">
        <v>187</v>
      </c>
      <c r="AC2566" s="164" t="s">
        <v>187</v>
      </c>
      <c r="AD2566" s="165">
        <v>1</v>
      </c>
      <c r="AE2566" s="164" t="s">
        <v>187</v>
      </c>
      <c r="AF2566" s="165">
        <v>28.468006366386099</v>
      </c>
      <c r="AG2566" s="166">
        <v>70.481544369856493</v>
      </c>
      <c r="AO2566" s="121"/>
      <c r="AT2566" s="111"/>
      <c r="AX2566" s="121"/>
    </row>
    <row r="2567" spans="1:50" s="110" customFormat="1" ht="20" customHeight="1">
      <c r="A2567" s="125" t="s">
        <v>231</v>
      </c>
      <c r="B2567" s="126" t="s">
        <v>66</v>
      </c>
      <c r="C2567" s="127">
        <v>19473</v>
      </c>
      <c r="D2567" s="163">
        <v>106911</v>
      </c>
      <c r="E2567" s="164" t="s">
        <v>1529</v>
      </c>
      <c r="F2567" s="164" t="s">
        <v>1529</v>
      </c>
      <c r="G2567" s="165">
        <v>9200</v>
      </c>
      <c r="H2567" s="165">
        <v>1</v>
      </c>
      <c r="I2567" s="164" t="s">
        <v>187</v>
      </c>
      <c r="J2567" s="164" t="s">
        <v>1530</v>
      </c>
      <c r="K2567" s="164" t="s">
        <v>1531</v>
      </c>
      <c r="L2567" s="165">
        <v>0</v>
      </c>
      <c r="M2567" s="165">
        <v>6</v>
      </c>
      <c r="N2567" s="164" t="s">
        <v>189</v>
      </c>
      <c r="O2567" s="165">
        <v>0</v>
      </c>
      <c r="P2567" s="165">
        <v>0</v>
      </c>
      <c r="Q2567" s="165">
        <v>21</v>
      </c>
      <c r="R2567" s="164" t="s">
        <v>200</v>
      </c>
      <c r="S2567" s="164" t="s">
        <v>201</v>
      </c>
      <c r="T2567" s="165">
        <v>462</v>
      </c>
      <c r="U2567" s="164" t="s">
        <v>200</v>
      </c>
      <c r="V2567" s="164" t="s">
        <v>202</v>
      </c>
      <c r="W2567" s="165">
        <v>1</v>
      </c>
      <c r="X2567" s="165">
        <v>4</v>
      </c>
      <c r="Y2567" s="164" t="s">
        <v>203</v>
      </c>
      <c r="Z2567" s="164" t="s">
        <v>195</v>
      </c>
      <c r="AA2567" s="164" t="s">
        <v>196</v>
      </c>
      <c r="AB2567" s="164" t="s">
        <v>187</v>
      </c>
      <c r="AC2567" s="164" t="s">
        <v>187</v>
      </c>
      <c r="AD2567" s="165">
        <v>1</v>
      </c>
      <c r="AE2567" s="164" t="s">
        <v>187</v>
      </c>
      <c r="AF2567" s="165">
        <v>36.0140299995848</v>
      </c>
      <c r="AG2567" s="166">
        <v>71.5076500004471</v>
      </c>
      <c r="AO2567" s="121"/>
      <c r="AT2567" s="111"/>
      <c r="AX2567" s="121"/>
    </row>
    <row r="2568" spans="1:50" s="110" customFormat="1" ht="20" customHeight="1">
      <c r="A2568" s="125" t="s">
        <v>231</v>
      </c>
      <c r="B2568" s="126" t="s">
        <v>66</v>
      </c>
      <c r="C2568" s="127">
        <v>17727</v>
      </c>
      <c r="D2568" s="163">
        <v>113179</v>
      </c>
      <c r="E2568" s="164" t="s">
        <v>1532</v>
      </c>
      <c r="F2568" s="164" t="s">
        <v>1532</v>
      </c>
      <c r="G2568" s="165">
        <v>8900</v>
      </c>
      <c r="H2568" s="165">
        <v>1</v>
      </c>
      <c r="I2568" s="164" t="s">
        <v>187</v>
      </c>
      <c r="J2568" s="164" t="s">
        <v>1092</v>
      </c>
      <c r="K2568" s="164" t="s">
        <v>1093</v>
      </c>
      <c r="L2568" s="165">
        <v>3</v>
      </c>
      <c r="M2568" s="165">
        <v>6</v>
      </c>
      <c r="N2568" s="164" t="s">
        <v>189</v>
      </c>
      <c r="O2568" s="165">
        <v>0</v>
      </c>
      <c r="P2568" s="165">
        <v>0</v>
      </c>
      <c r="Q2568" s="165">
        <v>21</v>
      </c>
      <c r="R2568" s="164" t="s">
        <v>200</v>
      </c>
      <c r="S2568" s="164" t="s">
        <v>201</v>
      </c>
      <c r="T2568" s="165">
        <v>462</v>
      </c>
      <c r="U2568" s="164" t="s">
        <v>200</v>
      </c>
      <c r="V2568" s="164" t="s">
        <v>202</v>
      </c>
      <c r="W2568" s="165">
        <v>2</v>
      </c>
      <c r="X2568" s="165">
        <v>4</v>
      </c>
      <c r="Y2568" s="164" t="s">
        <v>203</v>
      </c>
      <c r="Z2568" s="164" t="s">
        <v>195</v>
      </c>
      <c r="AA2568" s="164" t="s">
        <v>196</v>
      </c>
      <c r="AB2568" s="164" t="s">
        <v>187</v>
      </c>
      <c r="AC2568" s="164" t="s">
        <v>187</v>
      </c>
      <c r="AD2568" s="165">
        <v>1</v>
      </c>
      <c r="AE2568" s="164" t="s">
        <v>187</v>
      </c>
      <c r="AF2568" s="165">
        <v>36.432500737660199</v>
      </c>
      <c r="AG2568" s="166">
        <v>74.617493585713504</v>
      </c>
      <c r="AO2568" s="121"/>
      <c r="AT2568" s="111"/>
      <c r="AX2568" s="121"/>
    </row>
    <row r="2569" spans="1:50" s="110" customFormat="1" ht="20" customHeight="1">
      <c r="A2569" s="125" t="s">
        <v>231</v>
      </c>
      <c r="B2569" s="126" t="s">
        <v>66</v>
      </c>
      <c r="C2569" s="127">
        <v>17669</v>
      </c>
      <c r="D2569" s="163">
        <v>113111</v>
      </c>
      <c r="E2569" s="164" t="s">
        <v>1290</v>
      </c>
      <c r="F2569" s="164" t="s">
        <v>1290</v>
      </c>
      <c r="G2569" s="165">
        <v>8800</v>
      </c>
      <c r="H2569" s="165">
        <v>1</v>
      </c>
      <c r="I2569" s="164" t="s">
        <v>187</v>
      </c>
      <c r="J2569" s="164" t="s">
        <v>222</v>
      </c>
      <c r="K2569" s="164" t="s">
        <v>223</v>
      </c>
      <c r="L2569" s="165">
        <v>4</v>
      </c>
      <c r="M2569" s="165">
        <v>6</v>
      </c>
      <c r="N2569" s="164" t="s">
        <v>189</v>
      </c>
      <c r="O2569" s="165">
        <v>0</v>
      </c>
      <c r="P2569" s="165">
        <v>0</v>
      </c>
      <c r="Q2569" s="165">
        <v>21</v>
      </c>
      <c r="R2569" s="164" t="s">
        <v>200</v>
      </c>
      <c r="S2569" s="164" t="s">
        <v>201</v>
      </c>
      <c r="T2569" s="165">
        <v>462</v>
      </c>
      <c r="U2569" s="164" t="s">
        <v>200</v>
      </c>
      <c r="V2569" s="164" t="s">
        <v>202</v>
      </c>
      <c r="W2569" s="165">
        <v>2</v>
      </c>
      <c r="X2569" s="165">
        <v>4</v>
      </c>
      <c r="Y2569" s="164" t="s">
        <v>203</v>
      </c>
      <c r="Z2569" s="164" t="s">
        <v>195</v>
      </c>
      <c r="AA2569" s="164" t="s">
        <v>196</v>
      </c>
      <c r="AB2569" s="164" t="s">
        <v>187</v>
      </c>
      <c r="AC2569" s="164" t="s">
        <v>187</v>
      </c>
      <c r="AD2569" s="165">
        <v>1</v>
      </c>
      <c r="AE2569" s="164" t="s">
        <v>187</v>
      </c>
      <c r="AF2569" s="165">
        <v>25.491014703908402</v>
      </c>
      <c r="AG2569" s="166">
        <v>68.510357607368903</v>
      </c>
      <c r="AO2569" s="121"/>
      <c r="AT2569" s="111"/>
      <c r="AX2569" s="121"/>
    </row>
    <row r="2570" spans="1:50" s="110" customFormat="1" ht="20" customHeight="1">
      <c r="A2570" s="125" t="s">
        <v>231</v>
      </c>
      <c r="B2570" s="126" t="s">
        <v>66</v>
      </c>
      <c r="C2570" s="127">
        <v>17666</v>
      </c>
      <c r="D2570" s="163">
        <v>113108</v>
      </c>
      <c r="E2570" s="164" t="s">
        <v>1218</v>
      </c>
      <c r="F2570" s="164" t="s">
        <v>1218</v>
      </c>
      <c r="G2570" s="165">
        <v>8700</v>
      </c>
      <c r="H2570" s="165">
        <v>1</v>
      </c>
      <c r="I2570" s="164" t="s">
        <v>187</v>
      </c>
      <c r="J2570" s="164" t="s">
        <v>222</v>
      </c>
      <c r="K2570" s="164" t="s">
        <v>223</v>
      </c>
      <c r="L2570" s="165">
        <v>4</v>
      </c>
      <c r="M2570" s="165">
        <v>6</v>
      </c>
      <c r="N2570" s="164" t="s">
        <v>189</v>
      </c>
      <c r="O2570" s="165">
        <v>0</v>
      </c>
      <c r="P2570" s="165">
        <v>0</v>
      </c>
      <c r="Q2570" s="165">
        <v>21</v>
      </c>
      <c r="R2570" s="164" t="s">
        <v>200</v>
      </c>
      <c r="S2570" s="164" t="s">
        <v>201</v>
      </c>
      <c r="T2570" s="165">
        <v>462</v>
      </c>
      <c r="U2570" s="164" t="s">
        <v>200</v>
      </c>
      <c r="V2570" s="164" t="s">
        <v>202</v>
      </c>
      <c r="W2570" s="165">
        <v>2</v>
      </c>
      <c r="X2570" s="165">
        <v>4</v>
      </c>
      <c r="Y2570" s="164" t="s">
        <v>203</v>
      </c>
      <c r="Z2570" s="164" t="s">
        <v>195</v>
      </c>
      <c r="AA2570" s="164" t="s">
        <v>196</v>
      </c>
      <c r="AB2570" s="164" t="s">
        <v>187</v>
      </c>
      <c r="AC2570" s="164" t="s">
        <v>187</v>
      </c>
      <c r="AD2570" s="165">
        <v>1</v>
      </c>
      <c r="AE2570" s="164" t="s">
        <v>187</v>
      </c>
      <c r="AF2570" s="165">
        <v>31.378373372694899</v>
      </c>
      <c r="AG2570" s="166">
        <v>74.373790699630305</v>
      </c>
      <c r="AO2570" s="121"/>
      <c r="AT2570" s="111"/>
      <c r="AX2570" s="121"/>
    </row>
    <row r="2571" spans="1:50" s="110" customFormat="1" ht="20" customHeight="1">
      <c r="A2571" s="125" t="s">
        <v>231</v>
      </c>
      <c r="B2571" s="126" t="s">
        <v>66</v>
      </c>
      <c r="C2571" s="127">
        <v>19443</v>
      </c>
      <c r="D2571" s="163">
        <v>103468</v>
      </c>
      <c r="E2571" s="164" t="s">
        <v>685</v>
      </c>
      <c r="F2571" s="164" t="s">
        <v>685</v>
      </c>
      <c r="G2571" s="165">
        <v>8600</v>
      </c>
      <c r="H2571" s="165">
        <v>1</v>
      </c>
      <c r="I2571" s="164" t="s">
        <v>187</v>
      </c>
      <c r="J2571" s="164" t="s">
        <v>686</v>
      </c>
      <c r="K2571" s="164" t="s">
        <v>687</v>
      </c>
      <c r="L2571" s="165">
        <v>1</v>
      </c>
      <c r="M2571" s="165">
        <v>6</v>
      </c>
      <c r="N2571" s="164" t="s">
        <v>189</v>
      </c>
      <c r="O2571" s="165">
        <v>0</v>
      </c>
      <c r="P2571" s="165">
        <v>0</v>
      </c>
      <c r="Q2571" s="165">
        <v>21</v>
      </c>
      <c r="R2571" s="164" t="s">
        <v>200</v>
      </c>
      <c r="S2571" s="164" t="s">
        <v>201</v>
      </c>
      <c r="T2571" s="165">
        <v>462</v>
      </c>
      <c r="U2571" s="164" t="s">
        <v>200</v>
      </c>
      <c r="V2571" s="164" t="s">
        <v>202</v>
      </c>
      <c r="W2571" s="165">
        <v>1</v>
      </c>
      <c r="X2571" s="165">
        <v>4</v>
      </c>
      <c r="Y2571" s="164" t="s">
        <v>203</v>
      </c>
      <c r="Z2571" s="164" t="s">
        <v>195</v>
      </c>
      <c r="AA2571" s="164" t="s">
        <v>196</v>
      </c>
      <c r="AB2571" s="164" t="s">
        <v>187</v>
      </c>
      <c r="AC2571" s="164" t="s">
        <v>187</v>
      </c>
      <c r="AD2571" s="165">
        <v>1</v>
      </c>
      <c r="AE2571" s="164" t="s">
        <v>187</v>
      </c>
      <c r="AF2571" s="165">
        <v>33.4441798318</v>
      </c>
      <c r="AG2571" s="166">
        <v>71.511078600800005</v>
      </c>
      <c r="AO2571" s="121"/>
      <c r="AT2571" s="111"/>
      <c r="AX2571" s="121"/>
    </row>
    <row r="2572" spans="1:50" s="110" customFormat="1" ht="20" customHeight="1">
      <c r="A2572" s="125" t="s">
        <v>231</v>
      </c>
      <c r="B2572" s="126" t="s">
        <v>66</v>
      </c>
      <c r="C2572" s="127">
        <v>17722</v>
      </c>
      <c r="D2572" s="163">
        <v>113172</v>
      </c>
      <c r="E2572" s="164" t="s">
        <v>1494</v>
      </c>
      <c r="F2572" s="164" t="s">
        <v>1494</v>
      </c>
      <c r="G2572" s="165">
        <v>8500</v>
      </c>
      <c r="H2572" s="165">
        <v>1</v>
      </c>
      <c r="I2572" s="164" t="s">
        <v>187</v>
      </c>
      <c r="J2572" s="164" t="s">
        <v>1495</v>
      </c>
      <c r="K2572" s="164" t="s">
        <v>1496</v>
      </c>
      <c r="L2572" s="165">
        <v>1</v>
      </c>
      <c r="M2572" s="165">
        <v>6</v>
      </c>
      <c r="N2572" s="164" t="s">
        <v>189</v>
      </c>
      <c r="O2572" s="165">
        <v>0</v>
      </c>
      <c r="P2572" s="165">
        <v>0</v>
      </c>
      <c r="Q2572" s="165">
        <v>21</v>
      </c>
      <c r="R2572" s="164" t="s">
        <v>200</v>
      </c>
      <c r="S2572" s="164" t="s">
        <v>201</v>
      </c>
      <c r="T2572" s="165">
        <v>462</v>
      </c>
      <c r="U2572" s="164" t="s">
        <v>200</v>
      </c>
      <c r="V2572" s="164" t="s">
        <v>202</v>
      </c>
      <c r="W2572" s="165">
        <v>2</v>
      </c>
      <c r="X2572" s="165">
        <v>4</v>
      </c>
      <c r="Y2572" s="164" t="s">
        <v>203</v>
      </c>
      <c r="Z2572" s="164" t="s">
        <v>195</v>
      </c>
      <c r="AA2572" s="164" t="s">
        <v>196</v>
      </c>
      <c r="AB2572" s="164" t="s">
        <v>187</v>
      </c>
      <c r="AC2572" s="164" t="s">
        <v>187</v>
      </c>
      <c r="AD2572" s="165">
        <v>1</v>
      </c>
      <c r="AE2572" s="164" t="s">
        <v>187</v>
      </c>
      <c r="AF2572" s="165">
        <v>25.494604309197801</v>
      </c>
      <c r="AG2572" s="166">
        <v>68.511086425826605</v>
      </c>
      <c r="AO2572" s="121"/>
      <c r="AT2572" s="111"/>
      <c r="AX2572" s="121"/>
    </row>
    <row r="2573" spans="1:50" s="110" customFormat="1" ht="20" customHeight="1">
      <c r="A2573" s="125" t="s">
        <v>231</v>
      </c>
      <c r="B2573" s="126" t="s">
        <v>66</v>
      </c>
      <c r="C2573" s="127">
        <v>17522</v>
      </c>
      <c r="D2573" s="163">
        <v>112941</v>
      </c>
      <c r="E2573" s="164" t="s">
        <v>659</v>
      </c>
      <c r="F2573" s="164" t="s">
        <v>659</v>
      </c>
      <c r="G2573" s="165">
        <v>8400</v>
      </c>
      <c r="H2573" s="165">
        <v>1</v>
      </c>
      <c r="I2573" s="164" t="s">
        <v>187</v>
      </c>
      <c r="J2573" s="164" t="s">
        <v>222</v>
      </c>
      <c r="K2573" s="164" t="s">
        <v>223</v>
      </c>
      <c r="L2573" s="165">
        <v>4</v>
      </c>
      <c r="M2573" s="165">
        <v>6</v>
      </c>
      <c r="N2573" s="164" t="s">
        <v>189</v>
      </c>
      <c r="O2573" s="165">
        <v>0</v>
      </c>
      <c r="P2573" s="165">
        <v>0</v>
      </c>
      <c r="Q2573" s="165">
        <v>21</v>
      </c>
      <c r="R2573" s="164" t="s">
        <v>200</v>
      </c>
      <c r="S2573" s="164" t="s">
        <v>201</v>
      </c>
      <c r="T2573" s="165">
        <v>462</v>
      </c>
      <c r="U2573" s="164" t="s">
        <v>200</v>
      </c>
      <c r="V2573" s="164" t="s">
        <v>202</v>
      </c>
      <c r="W2573" s="165">
        <v>4</v>
      </c>
      <c r="X2573" s="165">
        <v>4</v>
      </c>
      <c r="Y2573" s="164" t="s">
        <v>203</v>
      </c>
      <c r="Z2573" s="164" t="s">
        <v>195</v>
      </c>
      <c r="AA2573" s="164" t="s">
        <v>196</v>
      </c>
      <c r="AB2573" s="164" t="s">
        <v>187</v>
      </c>
      <c r="AC2573" s="164" t="s">
        <v>187</v>
      </c>
      <c r="AD2573" s="165">
        <v>1</v>
      </c>
      <c r="AE2573" s="164" t="s">
        <v>187</v>
      </c>
      <c r="AF2573" s="165">
        <v>25.490969861418499</v>
      </c>
      <c r="AG2573" s="166">
        <v>68.509466328116304</v>
      </c>
      <c r="AO2573" s="121"/>
      <c r="AT2573" s="111"/>
      <c r="AX2573" s="121"/>
    </row>
    <row r="2574" spans="1:50" s="110" customFormat="1" ht="20" customHeight="1">
      <c r="A2574" s="125" t="s">
        <v>231</v>
      </c>
      <c r="B2574" s="126" t="s">
        <v>66</v>
      </c>
      <c r="C2574" s="127">
        <v>19476</v>
      </c>
      <c r="D2574" s="163">
        <v>115240</v>
      </c>
      <c r="E2574" s="164" t="s">
        <v>218</v>
      </c>
      <c r="F2574" s="164" t="s">
        <v>218</v>
      </c>
      <c r="G2574" s="165">
        <v>8200</v>
      </c>
      <c r="H2574" s="165">
        <v>1</v>
      </c>
      <c r="I2574" s="164" t="s">
        <v>187</v>
      </c>
      <c r="J2574" s="164" t="s">
        <v>219</v>
      </c>
      <c r="K2574" s="164" t="s">
        <v>220</v>
      </c>
      <c r="L2574" s="165">
        <v>5</v>
      </c>
      <c r="M2574" s="165">
        <v>6</v>
      </c>
      <c r="N2574" s="164" t="s">
        <v>189</v>
      </c>
      <c r="O2574" s="165">
        <v>0</v>
      </c>
      <c r="P2574" s="165">
        <v>0</v>
      </c>
      <c r="Q2574" s="165">
        <v>21</v>
      </c>
      <c r="R2574" s="164" t="s">
        <v>200</v>
      </c>
      <c r="S2574" s="164" t="s">
        <v>201</v>
      </c>
      <c r="T2574" s="165">
        <v>462</v>
      </c>
      <c r="U2574" s="164" t="s">
        <v>200</v>
      </c>
      <c r="V2574" s="164" t="s">
        <v>202</v>
      </c>
      <c r="W2574" s="165">
        <v>1</v>
      </c>
      <c r="X2574" s="165">
        <v>4</v>
      </c>
      <c r="Y2574" s="164" t="s">
        <v>203</v>
      </c>
      <c r="Z2574" s="164" t="s">
        <v>195</v>
      </c>
      <c r="AA2574" s="164" t="s">
        <v>196</v>
      </c>
      <c r="AB2574" s="164" t="s">
        <v>187</v>
      </c>
      <c r="AC2574" s="164" t="s">
        <v>187</v>
      </c>
      <c r="AD2574" s="165">
        <v>1</v>
      </c>
      <c r="AE2574" s="164" t="s">
        <v>187</v>
      </c>
      <c r="AF2574" s="165">
        <v>25.4984441388062</v>
      </c>
      <c r="AG2574" s="166">
        <v>68.512294615815094</v>
      </c>
      <c r="AO2574" s="121"/>
      <c r="AT2574" s="111"/>
      <c r="AX2574" s="121"/>
    </row>
    <row r="2575" spans="1:50" s="110" customFormat="1" ht="20" customHeight="1">
      <c r="A2575" s="125" t="s">
        <v>231</v>
      </c>
      <c r="B2575" s="126" t="s">
        <v>66</v>
      </c>
      <c r="C2575" s="127">
        <v>16735</v>
      </c>
      <c r="D2575" s="163">
        <v>111978</v>
      </c>
      <c r="E2575" s="164" t="s">
        <v>660</v>
      </c>
      <c r="F2575" s="164" t="s">
        <v>660</v>
      </c>
      <c r="G2575" s="165">
        <v>7900</v>
      </c>
      <c r="H2575" s="165">
        <v>1</v>
      </c>
      <c r="I2575" s="164" t="s">
        <v>187</v>
      </c>
      <c r="J2575" s="164" t="s">
        <v>300</v>
      </c>
      <c r="K2575" s="164" t="s">
        <v>301</v>
      </c>
      <c r="L2575" s="165">
        <v>5</v>
      </c>
      <c r="M2575" s="165">
        <v>6</v>
      </c>
      <c r="N2575" s="164" t="s">
        <v>189</v>
      </c>
      <c r="O2575" s="165">
        <v>0</v>
      </c>
      <c r="P2575" s="165">
        <v>0</v>
      </c>
      <c r="Q2575" s="165">
        <v>21</v>
      </c>
      <c r="R2575" s="164" t="s">
        <v>200</v>
      </c>
      <c r="S2575" s="164" t="s">
        <v>201</v>
      </c>
      <c r="T2575" s="165">
        <v>462</v>
      </c>
      <c r="U2575" s="164" t="s">
        <v>200</v>
      </c>
      <c r="V2575" s="164" t="s">
        <v>202</v>
      </c>
      <c r="W2575" s="165">
        <v>2</v>
      </c>
      <c r="X2575" s="165">
        <v>4</v>
      </c>
      <c r="Y2575" s="164" t="s">
        <v>203</v>
      </c>
      <c r="Z2575" s="164" t="s">
        <v>195</v>
      </c>
      <c r="AA2575" s="164" t="s">
        <v>196</v>
      </c>
      <c r="AB2575" s="164" t="s">
        <v>187</v>
      </c>
      <c r="AC2575" s="164" t="s">
        <v>187</v>
      </c>
      <c r="AD2575" s="165">
        <v>1</v>
      </c>
      <c r="AE2575" s="164" t="s">
        <v>187</v>
      </c>
      <c r="AF2575" s="165">
        <v>33.901066548213699</v>
      </c>
      <c r="AG2575" s="166">
        <v>73.853292394835805</v>
      </c>
      <c r="AO2575" s="121"/>
      <c r="AT2575" s="111"/>
      <c r="AX2575" s="121"/>
    </row>
    <row r="2576" spans="1:50" s="110" customFormat="1" ht="20" customHeight="1">
      <c r="A2576" s="125" t="s">
        <v>231</v>
      </c>
      <c r="B2576" s="126" t="s">
        <v>66</v>
      </c>
      <c r="C2576" s="127">
        <v>17580</v>
      </c>
      <c r="D2576" s="163">
        <v>113007</v>
      </c>
      <c r="E2576" s="164" t="s">
        <v>882</v>
      </c>
      <c r="F2576" s="164" t="s">
        <v>882</v>
      </c>
      <c r="G2576" s="165">
        <v>7700</v>
      </c>
      <c r="H2576" s="165">
        <v>1</v>
      </c>
      <c r="I2576" s="164" t="s">
        <v>187</v>
      </c>
      <c r="J2576" s="164" t="s">
        <v>219</v>
      </c>
      <c r="K2576" s="164" t="s">
        <v>220</v>
      </c>
      <c r="L2576" s="165">
        <v>5</v>
      </c>
      <c r="M2576" s="165">
        <v>6</v>
      </c>
      <c r="N2576" s="164" t="s">
        <v>189</v>
      </c>
      <c r="O2576" s="165">
        <v>0</v>
      </c>
      <c r="P2576" s="165">
        <v>0</v>
      </c>
      <c r="Q2576" s="165">
        <v>21</v>
      </c>
      <c r="R2576" s="164" t="s">
        <v>200</v>
      </c>
      <c r="S2576" s="164" t="s">
        <v>201</v>
      </c>
      <c r="T2576" s="165">
        <v>462</v>
      </c>
      <c r="U2576" s="164" t="s">
        <v>200</v>
      </c>
      <c r="V2576" s="164" t="s">
        <v>202</v>
      </c>
      <c r="W2576" s="165">
        <v>3</v>
      </c>
      <c r="X2576" s="165">
        <v>4</v>
      </c>
      <c r="Y2576" s="164" t="s">
        <v>203</v>
      </c>
      <c r="Z2576" s="164" t="s">
        <v>195</v>
      </c>
      <c r="AA2576" s="164" t="s">
        <v>196</v>
      </c>
      <c r="AB2576" s="164" t="s">
        <v>187</v>
      </c>
      <c r="AC2576" s="164" t="s">
        <v>187</v>
      </c>
      <c r="AD2576" s="165">
        <v>1</v>
      </c>
      <c r="AE2576" s="164" t="s">
        <v>187</v>
      </c>
      <c r="AF2576" s="165">
        <v>25.499928662115401</v>
      </c>
      <c r="AG2576" s="166">
        <v>68.509875414944702</v>
      </c>
      <c r="AO2576" s="121"/>
      <c r="AT2576" s="111"/>
      <c r="AX2576" s="121"/>
    </row>
    <row r="2577" spans="1:50" s="110" customFormat="1" ht="20" customHeight="1">
      <c r="A2577" s="125" t="s">
        <v>231</v>
      </c>
      <c r="B2577" s="126" t="s">
        <v>66</v>
      </c>
      <c r="C2577" s="127">
        <v>19438</v>
      </c>
      <c r="D2577" s="163">
        <v>115606</v>
      </c>
      <c r="E2577" s="164" t="s">
        <v>597</v>
      </c>
      <c r="F2577" s="164" t="s">
        <v>597</v>
      </c>
      <c r="G2577" s="165">
        <v>6400</v>
      </c>
      <c r="H2577" s="165">
        <v>1</v>
      </c>
      <c r="I2577" s="164" t="s">
        <v>187</v>
      </c>
      <c r="J2577" s="164" t="s">
        <v>219</v>
      </c>
      <c r="K2577" s="164" t="s">
        <v>220</v>
      </c>
      <c r="L2577" s="165">
        <v>5</v>
      </c>
      <c r="M2577" s="165">
        <v>6</v>
      </c>
      <c r="N2577" s="164" t="s">
        <v>189</v>
      </c>
      <c r="O2577" s="165">
        <v>0</v>
      </c>
      <c r="P2577" s="165">
        <v>0</v>
      </c>
      <c r="Q2577" s="165">
        <v>21</v>
      </c>
      <c r="R2577" s="164" t="s">
        <v>200</v>
      </c>
      <c r="S2577" s="164" t="s">
        <v>201</v>
      </c>
      <c r="T2577" s="165">
        <v>462</v>
      </c>
      <c r="U2577" s="164" t="s">
        <v>200</v>
      </c>
      <c r="V2577" s="164" t="s">
        <v>202</v>
      </c>
      <c r="W2577" s="165">
        <v>1</v>
      </c>
      <c r="X2577" s="165">
        <v>4</v>
      </c>
      <c r="Y2577" s="164" t="s">
        <v>203</v>
      </c>
      <c r="Z2577" s="164" t="s">
        <v>195</v>
      </c>
      <c r="AA2577" s="164" t="s">
        <v>196</v>
      </c>
      <c r="AB2577" s="164" t="s">
        <v>187</v>
      </c>
      <c r="AC2577" s="164" t="s">
        <v>187</v>
      </c>
      <c r="AD2577" s="165">
        <v>1</v>
      </c>
      <c r="AE2577" s="164" t="s">
        <v>187</v>
      </c>
      <c r="AF2577" s="165">
        <v>27.606752368025202</v>
      </c>
      <c r="AG2577" s="166">
        <v>67.808131627479398</v>
      </c>
      <c r="AO2577" s="121"/>
      <c r="AT2577" s="111"/>
      <c r="AX2577" s="121"/>
    </row>
    <row r="2578" spans="1:50" s="110" customFormat="1" ht="20" customHeight="1">
      <c r="A2578" s="125" t="s">
        <v>231</v>
      </c>
      <c r="B2578" s="126" t="s">
        <v>66</v>
      </c>
      <c r="C2578" s="127">
        <v>14732</v>
      </c>
      <c r="D2578" s="163">
        <v>108661</v>
      </c>
      <c r="E2578" s="164" t="s">
        <v>1339</v>
      </c>
      <c r="F2578" s="164" t="s">
        <v>1339</v>
      </c>
      <c r="G2578" s="165">
        <v>6300</v>
      </c>
      <c r="H2578" s="165">
        <v>1</v>
      </c>
      <c r="I2578" s="164" t="s">
        <v>187</v>
      </c>
      <c r="J2578" s="164" t="s">
        <v>222</v>
      </c>
      <c r="K2578" s="164" t="s">
        <v>223</v>
      </c>
      <c r="L2578" s="165">
        <v>4</v>
      </c>
      <c r="M2578" s="165">
        <v>6</v>
      </c>
      <c r="N2578" s="164" t="s">
        <v>189</v>
      </c>
      <c r="O2578" s="165">
        <v>0</v>
      </c>
      <c r="P2578" s="165">
        <v>0</v>
      </c>
      <c r="Q2578" s="165">
        <v>21</v>
      </c>
      <c r="R2578" s="164" t="s">
        <v>200</v>
      </c>
      <c r="S2578" s="164" t="s">
        <v>201</v>
      </c>
      <c r="T2578" s="165">
        <v>462</v>
      </c>
      <c r="U2578" s="164" t="s">
        <v>200</v>
      </c>
      <c r="V2578" s="164" t="s">
        <v>202</v>
      </c>
      <c r="W2578" s="165">
        <v>2</v>
      </c>
      <c r="X2578" s="165">
        <v>4</v>
      </c>
      <c r="Y2578" s="164" t="s">
        <v>203</v>
      </c>
      <c r="Z2578" s="164" t="s">
        <v>195</v>
      </c>
      <c r="AA2578" s="164" t="s">
        <v>196</v>
      </c>
      <c r="AB2578" s="164" t="s">
        <v>187</v>
      </c>
      <c r="AC2578" s="164" t="s">
        <v>187</v>
      </c>
      <c r="AD2578" s="165">
        <v>1</v>
      </c>
      <c r="AE2578" s="164" t="s">
        <v>187</v>
      </c>
      <c r="AF2578" s="165">
        <v>28.099760000323698</v>
      </c>
      <c r="AG2578" s="166">
        <v>68.545529999609798</v>
      </c>
      <c r="AO2578" s="121"/>
      <c r="AT2578" s="111"/>
      <c r="AX2578" s="121"/>
    </row>
    <row r="2579" spans="1:50" s="110" customFormat="1" ht="20" customHeight="1">
      <c r="A2579" s="125" t="s">
        <v>231</v>
      </c>
      <c r="B2579" s="126" t="s">
        <v>66</v>
      </c>
      <c r="C2579" s="127">
        <v>16703</v>
      </c>
      <c r="D2579" s="163">
        <v>111934</v>
      </c>
      <c r="E2579" s="164" t="s">
        <v>642</v>
      </c>
      <c r="F2579" s="164" t="s">
        <v>642</v>
      </c>
      <c r="G2579" s="165">
        <v>5700</v>
      </c>
      <c r="H2579" s="165">
        <v>1</v>
      </c>
      <c r="I2579" s="164" t="s">
        <v>187</v>
      </c>
      <c r="J2579" s="164" t="s">
        <v>216</v>
      </c>
      <c r="K2579" s="164" t="s">
        <v>217</v>
      </c>
      <c r="L2579" s="165">
        <v>5</v>
      </c>
      <c r="M2579" s="165">
        <v>6</v>
      </c>
      <c r="N2579" s="164" t="s">
        <v>189</v>
      </c>
      <c r="O2579" s="165">
        <v>0</v>
      </c>
      <c r="P2579" s="165">
        <v>0</v>
      </c>
      <c r="Q2579" s="165">
        <v>21</v>
      </c>
      <c r="R2579" s="164" t="s">
        <v>200</v>
      </c>
      <c r="S2579" s="164" t="s">
        <v>201</v>
      </c>
      <c r="T2579" s="165">
        <v>462</v>
      </c>
      <c r="U2579" s="164" t="s">
        <v>200</v>
      </c>
      <c r="V2579" s="164" t="s">
        <v>202</v>
      </c>
      <c r="W2579" s="165">
        <v>2</v>
      </c>
      <c r="X2579" s="165">
        <v>4</v>
      </c>
      <c r="Y2579" s="164" t="s">
        <v>203</v>
      </c>
      <c r="Z2579" s="164" t="s">
        <v>195</v>
      </c>
      <c r="AA2579" s="164" t="s">
        <v>196</v>
      </c>
      <c r="AB2579" s="164" t="s">
        <v>187</v>
      </c>
      <c r="AC2579" s="164" t="s">
        <v>187</v>
      </c>
      <c r="AD2579" s="165">
        <v>1</v>
      </c>
      <c r="AE2579" s="164" t="s">
        <v>187</v>
      </c>
      <c r="AF2579" s="165">
        <v>25.493467386691499</v>
      </c>
      <c r="AG2579" s="166">
        <v>68.509041318102405</v>
      </c>
      <c r="AO2579" s="121"/>
      <c r="AT2579" s="111"/>
      <c r="AX2579" s="121"/>
    </row>
    <row r="2580" spans="1:50" s="110" customFormat="1" ht="20" customHeight="1">
      <c r="A2580" s="125" t="s">
        <v>231</v>
      </c>
      <c r="B2580" s="126" t="s">
        <v>66</v>
      </c>
      <c r="C2580" s="127">
        <v>18102</v>
      </c>
      <c r="D2580" s="163">
        <v>113605</v>
      </c>
      <c r="E2580" s="164" t="s">
        <v>1372</v>
      </c>
      <c r="F2580" s="164" t="s">
        <v>1372</v>
      </c>
      <c r="G2580" s="165">
        <v>5600</v>
      </c>
      <c r="H2580" s="165">
        <v>1</v>
      </c>
      <c r="I2580" s="164" t="s">
        <v>187</v>
      </c>
      <c r="J2580" s="164" t="s">
        <v>222</v>
      </c>
      <c r="K2580" s="164" t="s">
        <v>223</v>
      </c>
      <c r="L2580" s="165">
        <v>4</v>
      </c>
      <c r="M2580" s="165">
        <v>6</v>
      </c>
      <c r="N2580" s="164" t="s">
        <v>189</v>
      </c>
      <c r="O2580" s="165">
        <v>0</v>
      </c>
      <c r="P2580" s="165">
        <v>0</v>
      </c>
      <c r="Q2580" s="165">
        <v>21</v>
      </c>
      <c r="R2580" s="164" t="s">
        <v>200</v>
      </c>
      <c r="S2580" s="164" t="s">
        <v>201</v>
      </c>
      <c r="T2580" s="165">
        <v>462</v>
      </c>
      <c r="U2580" s="164" t="s">
        <v>200</v>
      </c>
      <c r="V2580" s="164" t="s">
        <v>202</v>
      </c>
      <c r="W2580" s="165">
        <v>3</v>
      </c>
      <c r="X2580" s="165">
        <v>4</v>
      </c>
      <c r="Y2580" s="164" t="s">
        <v>203</v>
      </c>
      <c r="Z2580" s="164" t="s">
        <v>195</v>
      </c>
      <c r="AA2580" s="164" t="s">
        <v>196</v>
      </c>
      <c r="AB2580" s="164" t="s">
        <v>187</v>
      </c>
      <c r="AC2580" s="164" t="s">
        <v>187</v>
      </c>
      <c r="AD2580" s="165">
        <v>1</v>
      </c>
      <c r="AE2580" s="164" t="s">
        <v>187</v>
      </c>
      <c r="AF2580" s="165">
        <v>31.358979899274601</v>
      </c>
      <c r="AG2580" s="166">
        <v>73.245502766629698</v>
      </c>
      <c r="AO2580" s="121"/>
      <c r="AT2580" s="111"/>
      <c r="AX2580" s="121"/>
    </row>
    <row r="2581" spans="1:50" s="110" customFormat="1" ht="20" customHeight="1">
      <c r="A2581" s="125" t="s">
        <v>231</v>
      </c>
      <c r="B2581" s="126" t="s">
        <v>66</v>
      </c>
      <c r="C2581" s="127">
        <v>17504</v>
      </c>
      <c r="D2581" s="163">
        <v>112920</v>
      </c>
      <c r="E2581" s="164" t="s">
        <v>582</v>
      </c>
      <c r="F2581" s="164" t="s">
        <v>582</v>
      </c>
      <c r="G2581" s="165">
        <v>5400</v>
      </c>
      <c r="H2581" s="165">
        <v>1</v>
      </c>
      <c r="I2581" s="164" t="s">
        <v>187</v>
      </c>
      <c r="J2581" s="164" t="s">
        <v>216</v>
      </c>
      <c r="K2581" s="164" t="s">
        <v>217</v>
      </c>
      <c r="L2581" s="165">
        <v>5</v>
      </c>
      <c r="M2581" s="165">
        <v>6</v>
      </c>
      <c r="N2581" s="164" t="s">
        <v>189</v>
      </c>
      <c r="O2581" s="165">
        <v>0</v>
      </c>
      <c r="P2581" s="165">
        <v>0</v>
      </c>
      <c r="Q2581" s="165">
        <v>21</v>
      </c>
      <c r="R2581" s="164" t="s">
        <v>200</v>
      </c>
      <c r="S2581" s="164" t="s">
        <v>201</v>
      </c>
      <c r="T2581" s="165">
        <v>462</v>
      </c>
      <c r="U2581" s="164" t="s">
        <v>200</v>
      </c>
      <c r="V2581" s="164" t="s">
        <v>202</v>
      </c>
      <c r="W2581" s="165">
        <v>2</v>
      </c>
      <c r="X2581" s="165">
        <v>4</v>
      </c>
      <c r="Y2581" s="164" t="s">
        <v>203</v>
      </c>
      <c r="Z2581" s="164" t="s">
        <v>195</v>
      </c>
      <c r="AA2581" s="164" t="s">
        <v>196</v>
      </c>
      <c r="AB2581" s="164" t="s">
        <v>187</v>
      </c>
      <c r="AC2581" s="164" t="s">
        <v>187</v>
      </c>
      <c r="AD2581" s="165">
        <v>1</v>
      </c>
      <c r="AE2581" s="164" t="s">
        <v>187</v>
      </c>
      <c r="AF2581" s="165">
        <v>25.499848208052001</v>
      </c>
      <c r="AG2581" s="166">
        <v>68.508082754748401</v>
      </c>
      <c r="AO2581" s="121"/>
      <c r="AT2581" s="111"/>
      <c r="AX2581" s="121"/>
    </row>
    <row r="2582" spans="1:50" s="110" customFormat="1" ht="20" customHeight="1">
      <c r="A2582" s="125" t="s">
        <v>231</v>
      </c>
      <c r="B2582" s="126" t="s">
        <v>66</v>
      </c>
      <c r="C2582" s="127">
        <v>21149</v>
      </c>
      <c r="D2582" s="163">
        <v>117972</v>
      </c>
      <c r="E2582" s="164" t="s">
        <v>883</v>
      </c>
      <c r="F2582" s="164" t="s">
        <v>883</v>
      </c>
      <c r="G2582" s="165">
        <v>5400</v>
      </c>
      <c r="H2582" s="165">
        <v>1</v>
      </c>
      <c r="I2582" s="164" t="s">
        <v>187</v>
      </c>
      <c r="J2582" s="164" t="s">
        <v>219</v>
      </c>
      <c r="K2582" s="164" t="s">
        <v>220</v>
      </c>
      <c r="L2582" s="165">
        <v>5</v>
      </c>
      <c r="M2582" s="165">
        <v>6</v>
      </c>
      <c r="N2582" s="164" t="s">
        <v>189</v>
      </c>
      <c r="O2582" s="165">
        <v>0</v>
      </c>
      <c r="P2582" s="165">
        <v>0</v>
      </c>
      <c r="Q2582" s="165">
        <v>21</v>
      </c>
      <c r="R2582" s="164" t="s">
        <v>200</v>
      </c>
      <c r="S2582" s="164" t="s">
        <v>201</v>
      </c>
      <c r="T2582" s="165">
        <v>462</v>
      </c>
      <c r="U2582" s="164" t="s">
        <v>200</v>
      </c>
      <c r="V2582" s="164" t="s">
        <v>202</v>
      </c>
      <c r="W2582" s="165">
        <v>3</v>
      </c>
      <c r="X2582" s="165">
        <v>4</v>
      </c>
      <c r="Y2582" s="164" t="s">
        <v>203</v>
      </c>
      <c r="Z2582" s="164" t="s">
        <v>195</v>
      </c>
      <c r="AA2582" s="164" t="s">
        <v>196</v>
      </c>
      <c r="AB2582" s="164" t="s">
        <v>187</v>
      </c>
      <c r="AC2582" s="164" t="s">
        <v>187</v>
      </c>
      <c r="AD2582" s="165">
        <v>1</v>
      </c>
      <c r="AE2582" s="164" t="s">
        <v>187</v>
      </c>
      <c r="AF2582" s="165">
        <v>24.999156384801399</v>
      </c>
      <c r="AG2582" s="166">
        <v>66.947486716789598</v>
      </c>
      <c r="AO2582" s="121"/>
      <c r="AT2582" s="111"/>
      <c r="AX2582" s="121"/>
    </row>
    <row r="2583" spans="1:50" s="110" customFormat="1" ht="20" customHeight="1">
      <c r="A2583" s="125" t="s">
        <v>231</v>
      </c>
      <c r="B2583" s="126" t="s">
        <v>66</v>
      </c>
      <c r="C2583" s="127">
        <v>16413</v>
      </c>
      <c r="D2583" s="163">
        <v>111564</v>
      </c>
      <c r="E2583" s="164" t="s">
        <v>488</v>
      </c>
      <c r="F2583" s="164" t="s">
        <v>488</v>
      </c>
      <c r="G2583" s="165">
        <v>5100</v>
      </c>
      <c r="H2583" s="165">
        <v>1</v>
      </c>
      <c r="I2583" s="164" t="s">
        <v>187</v>
      </c>
      <c r="J2583" s="164" t="s">
        <v>219</v>
      </c>
      <c r="K2583" s="164" t="s">
        <v>220</v>
      </c>
      <c r="L2583" s="165">
        <v>5</v>
      </c>
      <c r="M2583" s="165">
        <v>6</v>
      </c>
      <c r="N2583" s="164" t="s">
        <v>189</v>
      </c>
      <c r="O2583" s="165">
        <v>0</v>
      </c>
      <c r="P2583" s="165">
        <v>0</v>
      </c>
      <c r="Q2583" s="165">
        <v>21</v>
      </c>
      <c r="R2583" s="164" t="s">
        <v>200</v>
      </c>
      <c r="S2583" s="164" t="s">
        <v>201</v>
      </c>
      <c r="T2583" s="165">
        <v>462</v>
      </c>
      <c r="U2583" s="164" t="s">
        <v>200</v>
      </c>
      <c r="V2583" s="164" t="s">
        <v>202</v>
      </c>
      <c r="W2583" s="165">
        <v>2</v>
      </c>
      <c r="X2583" s="165">
        <v>4</v>
      </c>
      <c r="Y2583" s="164" t="s">
        <v>203</v>
      </c>
      <c r="Z2583" s="164" t="s">
        <v>195</v>
      </c>
      <c r="AA2583" s="164" t="s">
        <v>196</v>
      </c>
      <c r="AB2583" s="164" t="s">
        <v>187</v>
      </c>
      <c r="AC2583" s="164" t="s">
        <v>187</v>
      </c>
      <c r="AD2583" s="165">
        <v>1</v>
      </c>
      <c r="AE2583" s="164" t="s">
        <v>187</v>
      </c>
      <c r="AF2583" s="165">
        <v>25.4991263092918</v>
      </c>
      <c r="AG2583" s="166">
        <v>68.511037044940807</v>
      </c>
      <c r="AO2583" s="121"/>
      <c r="AT2583" s="111"/>
      <c r="AX2583" s="121"/>
    </row>
    <row r="2584" spans="1:50" s="110" customFormat="1" ht="20" customHeight="1">
      <c r="A2584" s="125" t="s">
        <v>231</v>
      </c>
      <c r="B2584" s="126" t="s">
        <v>66</v>
      </c>
      <c r="C2584" s="127">
        <v>17487</v>
      </c>
      <c r="D2584" s="163">
        <v>112900</v>
      </c>
      <c r="E2584" s="164" t="s">
        <v>448</v>
      </c>
      <c r="F2584" s="164" t="s">
        <v>448</v>
      </c>
      <c r="G2584" s="165">
        <v>4400</v>
      </c>
      <c r="H2584" s="165">
        <v>1</v>
      </c>
      <c r="I2584" s="164" t="s">
        <v>187</v>
      </c>
      <c r="J2584" s="164" t="s">
        <v>222</v>
      </c>
      <c r="K2584" s="164" t="s">
        <v>223</v>
      </c>
      <c r="L2584" s="165">
        <v>4</v>
      </c>
      <c r="M2584" s="165">
        <v>6</v>
      </c>
      <c r="N2584" s="164" t="s">
        <v>189</v>
      </c>
      <c r="O2584" s="165">
        <v>0</v>
      </c>
      <c r="P2584" s="165">
        <v>0</v>
      </c>
      <c r="Q2584" s="165">
        <v>21</v>
      </c>
      <c r="R2584" s="164" t="s">
        <v>200</v>
      </c>
      <c r="S2584" s="164" t="s">
        <v>201</v>
      </c>
      <c r="T2584" s="165">
        <v>462</v>
      </c>
      <c r="U2584" s="164" t="s">
        <v>200</v>
      </c>
      <c r="V2584" s="164" t="s">
        <v>202</v>
      </c>
      <c r="W2584" s="165">
        <v>2</v>
      </c>
      <c r="X2584" s="165">
        <v>4</v>
      </c>
      <c r="Y2584" s="164" t="s">
        <v>203</v>
      </c>
      <c r="Z2584" s="164" t="s">
        <v>195</v>
      </c>
      <c r="AA2584" s="164" t="s">
        <v>196</v>
      </c>
      <c r="AB2584" s="164" t="s">
        <v>187</v>
      </c>
      <c r="AC2584" s="164" t="s">
        <v>187</v>
      </c>
      <c r="AD2584" s="165">
        <v>1</v>
      </c>
      <c r="AE2584" s="164" t="s">
        <v>187</v>
      </c>
      <c r="AF2584" s="165">
        <v>33.524968099887801</v>
      </c>
      <c r="AG2584" s="166">
        <v>73.918292931772697</v>
      </c>
      <c r="AO2584" s="121"/>
      <c r="AT2584" s="111"/>
      <c r="AX2584" s="121"/>
    </row>
    <row r="2585" spans="1:50" s="110" customFormat="1" ht="20" customHeight="1">
      <c r="A2585" s="125" t="s">
        <v>231</v>
      </c>
      <c r="B2585" s="126" t="s">
        <v>66</v>
      </c>
      <c r="C2585" s="127">
        <v>16423</v>
      </c>
      <c r="D2585" s="163">
        <v>111574</v>
      </c>
      <c r="E2585" s="164" t="s">
        <v>485</v>
      </c>
      <c r="F2585" s="164" t="s">
        <v>485</v>
      </c>
      <c r="G2585" s="165">
        <v>3900</v>
      </c>
      <c r="H2585" s="165">
        <v>1</v>
      </c>
      <c r="I2585" s="164" t="s">
        <v>187</v>
      </c>
      <c r="J2585" s="164" t="s">
        <v>219</v>
      </c>
      <c r="K2585" s="164" t="s">
        <v>220</v>
      </c>
      <c r="L2585" s="165">
        <v>5</v>
      </c>
      <c r="M2585" s="165">
        <v>6</v>
      </c>
      <c r="N2585" s="164" t="s">
        <v>189</v>
      </c>
      <c r="O2585" s="165">
        <v>0</v>
      </c>
      <c r="P2585" s="165">
        <v>0</v>
      </c>
      <c r="Q2585" s="165">
        <v>21</v>
      </c>
      <c r="R2585" s="164" t="s">
        <v>200</v>
      </c>
      <c r="S2585" s="164" t="s">
        <v>201</v>
      </c>
      <c r="T2585" s="165">
        <v>462</v>
      </c>
      <c r="U2585" s="164" t="s">
        <v>200</v>
      </c>
      <c r="V2585" s="164" t="s">
        <v>202</v>
      </c>
      <c r="W2585" s="165">
        <v>3</v>
      </c>
      <c r="X2585" s="165">
        <v>4</v>
      </c>
      <c r="Y2585" s="164" t="s">
        <v>203</v>
      </c>
      <c r="Z2585" s="164" t="s">
        <v>195</v>
      </c>
      <c r="AA2585" s="164" t="s">
        <v>196</v>
      </c>
      <c r="AB2585" s="164" t="s">
        <v>187</v>
      </c>
      <c r="AC2585" s="164" t="s">
        <v>187</v>
      </c>
      <c r="AD2585" s="165">
        <v>1</v>
      </c>
      <c r="AE2585" s="164" t="s">
        <v>187</v>
      </c>
      <c r="AF2585" s="165">
        <v>31.446709805585101</v>
      </c>
      <c r="AG2585" s="166">
        <v>72.377425398580399</v>
      </c>
      <c r="AO2585" s="121"/>
      <c r="AT2585" s="111"/>
      <c r="AX2585" s="121"/>
    </row>
    <row r="2586" spans="1:50" s="110" customFormat="1" ht="20" customHeight="1">
      <c r="A2586" s="125" t="s">
        <v>231</v>
      </c>
      <c r="B2586" s="126" t="s">
        <v>66</v>
      </c>
      <c r="C2586" s="127">
        <v>17478</v>
      </c>
      <c r="D2586" s="163">
        <v>112889</v>
      </c>
      <c r="E2586" s="164" t="s">
        <v>327</v>
      </c>
      <c r="F2586" s="164" t="s">
        <v>327</v>
      </c>
      <c r="G2586" s="165">
        <v>3400</v>
      </c>
      <c r="H2586" s="165">
        <v>1</v>
      </c>
      <c r="I2586" s="164" t="s">
        <v>187</v>
      </c>
      <c r="J2586" s="164" t="s">
        <v>216</v>
      </c>
      <c r="K2586" s="164" t="s">
        <v>217</v>
      </c>
      <c r="L2586" s="165">
        <v>5</v>
      </c>
      <c r="M2586" s="165">
        <v>6</v>
      </c>
      <c r="N2586" s="164" t="s">
        <v>189</v>
      </c>
      <c r="O2586" s="165">
        <v>0</v>
      </c>
      <c r="P2586" s="165">
        <v>0</v>
      </c>
      <c r="Q2586" s="165">
        <v>21</v>
      </c>
      <c r="R2586" s="164" t="s">
        <v>200</v>
      </c>
      <c r="S2586" s="164" t="s">
        <v>201</v>
      </c>
      <c r="T2586" s="165">
        <v>462</v>
      </c>
      <c r="U2586" s="164" t="s">
        <v>200</v>
      </c>
      <c r="V2586" s="164" t="s">
        <v>202</v>
      </c>
      <c r="W2586" s="165">
        <v>2</v>
      </c>
      <c r="X2586" s="165">
        <v>4</v>
      </c>
      <c r="Y2586" s="164" t="s">
        <v>203</v>
      </c>
      <c r="Z2586" s="164" t="s">
        <v>195</v>
      </c>
      <c r="AA2586" s="164" t="s">
        <v>196</v>
      </c>
      <c r="AB2586" s="164" t="s">
        <v>187</v>
      </c>
      <c r="AC2586" s="164" t="s">
        <v>187</v>
      </c>
      <c r="AD2586" s="165">
        <v>1</v>
      </c>
      <c r="AE2586" s="164" t="s">
        <v>187</v>
      </c>
      <c r="AF2586" s="165">
        <v>25.497660815806999</v>
      </c>
      <c r="AG2586" s="166">
        <v>68.506898157553394</v>
      </c>
      <c r="AO2586" s="121"/>
      <c r="AT2586" s="111"/>
      <c r="AX2586" s="121"/>
    </row>
    <row r="2587" spans="1:50" s="110" customFormat="1" ht="20" customHeight="1">
      <c r="A2587" s="125" t="s">
        <v>231</v>
      </c>
      <c r="B2587" s="126" t="s">
        <v>66</v>
      </c>
      <c r="C2587" s="127">
        <v>16494</v>
      </c>
      <c r="D2587" s="163">
        <v>111665</v>
      </c>
      <c r="E2587" s="164" t="s">
        <v>525</v>
      </c>
      <c r="F2587" s="164" t="s">
        <v>525</v>
      </c>
      <c r="G2587" s="165">
        <v>3400</v>
      </c>
      <c r="H2587" s="165">
        <v>1</v>
      </c>
      <c r="I2587" s="164" t="s">
        <v>187</v>
      </c>
      <c r="J2587" s="164" t="s">
        <v>216</v>
      </c>
      <c r="K2587" s="164" t="s">
        <v>217</v>
      </c>
      <c r="L2587" s="165">
        <v>5</v>
      </c>
      <c r="M2587" s="165">
        <v>6</v>
      </c>
      <c r="N2587" s="164" t="s">
        <v>189</v>
      </c>
      <c r="O2587" s="165">
        <v>0</v>
      </c>
      <c r="P2587" s="165">
        <v>0</v>
      </c>
      <c r="Q2587" s="165">
        <v>21</v>
      </c>
      <c r="R2587" s="164" t="s">
        <v>200</v>
      </c>
      <c r="S2587" s="164" t="s">
        <v>201</v>
      </c>
      <c r="T2587" s="165">
        <v>462</v>
      </c>
      <c r="U2587" s="164" t="s">
        <v>200</v>
      </c>
      <c r="V2587" s="164" t="s">
        <v>202</v>
      </c>
      <c r="W2587" s="165">
        <v>3</v>
      </c>
      <c r="X2587" s="165">
        <v>4</v>
      </c>
      <c r="Y2587" s="164" t="s">
        <v>203</v>
      </c>
      <c r="Z2587" s="164" t="s">
        <v>195</v>
      </c>
      <c r="AA2587" s="164" t="s">
        <v>196</v>
      </c>
      <c r="AB2587" s="164" t="s">
        <v>187</v>
      </c>
      <c r="AC2587" s="164" t="s">
        <v>187</v>
      </c>
      <c r="AD2587" s="165">
        <v>1</v>
      </c>
      <c r="AE2587" s="164" t="s">
        <v>187</v>
      </c>
      <c r="AF2587" s="165">
        <v>30.081170401502</v>
      </c>
      <c r="AG2587" s="166">
        <v>71.453972316706597</v>
      </c>
      <c r="AO2587" s="121"/>
      <c r="AT2587" s="111"/>
      <c r="AX2587" s="121"/>
    </row>
    <row r="2588" spans="1:50" s="110" customFormat="1" ht="20" customHeight="1">
      <c r="A2588" s="125" t="s">
        <v>231</v>
      </c>
      <c r="B2588" s="126" t="s">
        <v>66</v>
      </c>
      <c r="C2588" s="127">
        <v>19467</v>
      </c>
      <c r="D2588" s="163">
        <v>115612</v>
      </c>
      <c r="E2588" s="164" t="s">
        <v>1446</v>
      </c>
      <c r="F2588" s="164" t="s">
        <v>1446</v>
      </c>
      <c r="G2588" s="165">
        <v>3300</v>
      </c>
      <c r="H2588" s="165">
        <v>1</v>
      </c>
      <c r="I2588" s="164" t="s">
        <v>187</v>
      </c>
      <c r="J2588" s="164" t="s">
        <v>222</v>
      </c>
      <c r="K2588" s="164" t="s">
        <v>223</v>
      </c>
      <c r="L2588" s="165">
        <v>4</v>
      </c>
      <c r="M2588" s="165">
        <v>6</v>
      </c>
      <c r="N2588" s="164" t="s">
        <v>189</v>
      </c>
      <c r="O2588" s="165">
        <v>0</v>
      </c>
      <c r="P2588" s="165">
        <v>0</v>
      </c>
      <c r="Q2588" s="165">
        <v>21</v>
      </c>
      <c r="R2588" s="164" t="s">
        <v>200</v>
      </c>
      <c r="S2588" s="164" t="s">
        <v>201</v>
      </c>
      <c r="T2588" s="165">
        <v>462</v>
      </c>
      <c r="U2588" s="164" t="s">
        <v>200</v>
      </c>
      <c r="V2588" s="164" t="s">
        <v>202</v>
      </c>
      <c r="W2588" s="165">
        <v>1</v>
      </c>
      <c r="X2588" s="165">
        <v>4</v>
      </c>
      <c r="Y2588" s="164" t="s">
        <v>203</v>
      </c>
      <c r="Z2588" s="164" t="s">
        <v>195</v>
      </c>
      <c r="AA2588" s="164" t="s">
        <v>196</v>
      </c>
      <c r="AB2588" s="164" t="s">
        <v>187</v>
      </c>
      <c r="AC2588" s="164" t="s">
        <v>187</v>
      </c>
      <c r="AD2588" s="165">
        <v>1</v>
      </c>
      <c r="AE2588" s="164" t="s">
        <v>187</v>
      </c>
      <c r="AF2588" s="165">
        <v>28.469129145919101</v>
      </c>
      <c r="AG2588" s="166">
        <v>70.484817717617204</v>
      </c>
      <c r="AO2588" s="121"/>
      <c r="AT2588" s="111"/>
      <c r="AX2588" s="121"/>
    </row>
    <row r="2589" spans="1:50" s="110" customFormat="1" ht="20" customHeight="1">
      <c r="A2589" s="125" t="s">
        <v>231</v>
      </c>
      <c r="B2589" s="126" t="s">
        <v>66</v>
      </c>
      <c r="C2589" s="127">
        <v>17590</v>
      </c>
      <c r="D2589" s="163">
        <v>113019</v>
      </c>
      <c r="E2589" s="164" t="s">
        <v>926</v>
      </c>
      <c r="F2589" s="164" t="s">
        <v>926</v>
      </c>
      <c r="G2589" s="165">
        <v>2900</v>
      </c>
      <c r="H2589" s="165">
        <v>1</v>
      </c>
      <c r="I2589" s="164" t="s">
        <v>187</v>
      </c>
      <c r="J2589" s="164" t="s">
        <v>222</v>
      </c>
      <c r="K2589" s="164" t="s">
        <v>223</v>
      </c>
      <c r="L2589" s="165">
        <v>4</v>
      </c>
      <c r="M2589" s="165">
        <v>6</v>
      </c>
      <c r="N2589" s="164" t="s">
        <v>189</v>
      </c>
      <c r="O2589" s="165">
        <v>0</v>
      </c>
      <c r="P2589" s="165">
        <v>0</v>
      </c>
      <c r="Q2589" s="165">
        <v>21</v>
      </c>
      <c r="R2589" s="164" t="s">
        <v>200</v>
      </c>
      <c r="S2589" s="164" t="s">
        <v>201</v>
      </c>
      <c r="T2589" s="165">
        <v>462</v>
      </c>
      <c r="U2589" s="164" t="s">
        <v>200</v>
      </c>
      <c r="V2589" s="164" t="s">
        <v>202</v>
      </c>
      <c r="W2589" s="165">
        <v>2</v>
      </c>
      <c r="X2589" s="165">
        <v>4</v>
      </c>
      <c r="Y2589" s="164" t="s">
        <v>203</v>
      </c>
      <c r="Z2589" s="164" t="s">
        <v>195</v>
      </c>
      <c r="AA2589" s="164" t="s">
        <v>196</v>
      </c>
      <c r="AB2589" s="164" t="s">
        <v>187</v>
      </c>
      <c r="AC2589" s="164" t="s">
        <v>187</v>
      </c>
      <c r="AD2589" s="165">
        <v>1</v>
      </c>
      <c r="AE2589" s="164" t="s">
        <v>187</v>
      </c>
      <c r="AF2589" s="165">
        <v>30.480523296731299</v>
      </c>
      <c r="AG2589" s="166">
        <v>70.429492743806193</v>
      </c>
      <c r="AO2589" s="121"/>
      <c r="AT2589" s="111"/>
      <c r="AX2589" s="121"/>
    </row>
    <row r="2590" spans="1:50" s="110" customFormat="1" ht="20" customHeight="1">
      <c r="A2590" s="125" t="s">
        <v>231</v>
      </c>
      <c r="B2590" s="126" t="s">
        <v>66</v>
      </c>
      <c r="C2590" s="127">
        <v>17476</v>
      </c>
      <c r="D2590" s="163">
        <v>112886</v>
      </c>
      <c r="E2590" s="164" t="s">
        <v>311</v>
      </c>
      <c r="F2590" s="164" t="s">
        <v>311</v>
      </c>
      <c r="G2590" s="165">
        <v>2600</v>
      </c>
      <c r="H2590" s="165">
        <v>1</v>
      </c>
      <c r="I2590" s="164" t="s">
        <v>187</v>
      </c>
      <c r="J2590" s="164" t="s">
        <v>216</v>
      </c>
      <c r="K2590" s="164" t="s">
        <v>217</v>
      </c>
      <c r="L2590" s="165">
        <v>5</v>
      </c>
      <c r="M2590" s="165">
        <v>6</v>
      </c>
      <c r="N2590" s="164" t="s">
        <v>189</v>
      </c>
      <c r="O2590" s="165">
        <v>0</v>
      </c>
      <c r="P2590" s="165">
        <v>0</v>
      </c>
      <c r="Q2590" s="165">
        <v>21</v>
      </c>
      <c r="R2590" s="164" t="s">
        <v>200</v>
      </c>
      <c r="S2590" s="164" t="s">
        <v>201</v>
      </c>
      <c r="T2590" s="165">
        <v>462</v>
      </c>
      <c r="U2590" s="164" t="s">
        <v>200</v>
      </c>
      <c r="V2590" s="164" t="s">
        <v>202</v>
      </c>
      <c r="W2590" s="165">
        <v>3</v>
      </c>
      <c r="X2590" s="165">
        <v>4</v>
      </c>
      <c r="Y2590" s="164" t="s">
        <v>203</v>
      </c>
      <c r="Z2590" s="164" t="s">
        <v>195</v>
      </c>
      <c r="AA2590" s="164" t="s">
        <v>196</v>
      </c>
      <c r="AB2590" s="164" t="s">
        <v>187</v>
      </c>
      <c r="AC2590" s="164" t="s">
        <v>187</v>
      </c>
      <c r="AD2590" s="165">
        <v>1</v>
      </c>
      <c r="AE2590" s="164" t="s">
        <v>187</v>
      </c>
      <c r="AF2590" s="165">
        <v>25.495553047319799</v>
      </c>
      <c r="AG2590" s="166">
        <v>68.506961155068495</v>
      </c>
      <c r="AO2590" s="121"/>
      <c r="AT2590" s="111"/>
      <c r="AX2590" s="121"/>
    </row>
    <row r="2591" spans="1:50" s="110" customFormat="1" ht="20" customHeight="1">
      <c r="A2591" s="125" t="s">
        <v>231</v>
      </c>
      <c r="B2591" s="126" t="s">
        <v>66</v>
      </c>
      <c r="C2591" s="127">
        <v>17514</v>
      </c>
      <c r="D2591" s="163">
        <v>112931</v>
      </c>
      <c r="E2591" s="164" t="s">
        <v>611</v>
      </c>
      <c r="F2591" s="164" t="s">
        <v>611</v>
      </c>
      <c r="G2591" s="165">
        <v>2500</v>
      </c>
      <c r="H2591" s="165">
        <v>1</v>
      </c>
      <c r="I2591" s="164" t="s">
        <v>187</v>
      </c>
      <c r="J2591" s="164" t="s">
        <v>222</v>
      </c>
      <c r="K2591" s="164" t="s">
        <v>223</v>
      </c>
      <c r="L2591" s="165">
        <v>4</v>
      </c>
      <c r="M2591" s="165">
        <v>6</v>
      </c>
      <c r="N2591" s="164" t="s">
        <v>189</v>
      </c>
      <c r="O2591" s="165">
        <v>0</v>
      </c>
      <c r="P2591" s="165">
        <v>0</v>
      </c>
      <c r="Q2591" s="165">
        <v>21</v>
      </c>
      <c r="R2591" s="164" t="s">
        <v>200</v>
      </c>
      <c r="S2591" s="164" t="s">
        <v>201</v>
      </c>
      <c r="T2591" s="165">
        <v>462</v>
      </c>
      <c r="U2591" s="164" t="s">
        <v>200</v>
      </c>
      <c r="V2591" s="164" t="s">
        <v>202</v>
      </c>
      <c r="W2591" s="165">
        <v>1</v>
      </c>
      <c r="X2591" s="165">
        <v>4</v>
      </c>
      <c r="Y2591" s="164" t="s">
        <v>203</v>
      </c>
      <c r="Z2591" s="164" t="s">
        <v>195</v>
      </c>
      <c r="AA2591" s="164" t="s">
        <v>196</v>
      </c>
      <c r="AB2591" s="164" t="s">
        <v>187</v>
      </c>
      <c r="AC2591" s="164" t="s">
        <v>187</v>
      </c>
      <c r="AD2591" s="165">
        <v>1</v>
      </c>
      <c r="AE2591" s="164" t="s">
        <v>187</v>
      </c>
      <c r="AF2591" s="165">
        <v>28.467746315742399</v>
      </c>
      <c r="AG2591" s="166">
        <v>70.483465419145105</v>
      </c>
      <c r="AO2591" s="121"/>
      <c r="AT2591" s="111"/>
      <c r="AX2591" s="121"/>
    </row>
    <row r="2592" spans="1:50" s="110" customFormat="1" ht="20" customHeight="1">
      <c r="A2592" s="125" t="s">
        <v>231</v>
      </c>
      <c r="B2592" s="126" t="s">
        <v>66</v>
      </c>
      <c r="C2592" s="127">
        <v>17662</v>
      </c>
      <c r="D2592" s="163">
        <v>113102</v>
      </c>
      <c r="E2592" s="164" t="s">
        <v>1193</v>
      </c>
      <c r="F2592" s="164" t="s">
        <v>1193</v>
      </c>
      <c r="G2592" s="165">
        <v>2500</v>
      </c>
      <c r="H2592" s="165">
        <v>1</v>
      </c>
      <c r="I2592" s="164" t="s">
        <v>187</v>
      </c>
      <c r="J2592" s="164" t="s">
        <v>222</v>
      </c>
      <c r="K2592" s="164" t="s">
        <v>223</v>
      </c>
      <c r="L2592" s="165">
        <v>4</v>
      </c>
      <c r="M2592" s="165">
        <v>6</v>
      </c>
      <c r="N2592" s="164" t="s">
        <v>189</v>
      </c>
      <c r="O2592" s="165">
        <v>0</v>
      </c>
      <c r="P2592" s="165">
        <v>0</v>
      </c>
      <c r="Q2592" s="165">
        <v>21</v>
      </c>
      <c r="R2592" s="164" t="s">
        <v>200</v>
      </c>
      <c r="S2592" s="164" t="s">
        <v>201</v>
      </c>
      <c r="T2592" s="165">
        <v>462</v>
      </c>
      <c r="U2592" s="164" t="s">
        <v>200</v>
      </c>
      <c r="V2592" s="164" t="s">
        <v>202</v>
      </c>
      <c r="W2592" s="165">
        <v>3</v>
      </c>
      <c r="X2592" s="165">
        <v>4</v>
      </c>
      <c r="Y2592" s="164" t="s">
        <v>203</v>
      </c>
      <c r="Z2592" s="164" t="s">
        <v>195</v>
      </c>
      <c r="AA2592" s="164" t="s">
        <v>196</v>
      </c>
      <c r="AB2592" s="164" t="s">
        <v>187</v>
      </c>
      <c r="AC2592" s="164" t="s">
        <v>187</v>
      </c>
      <c r="AD2592" s="165">
        <v>1</v>
      </c>
      <c r="AE2592" s="164" t="s">
        <v>187</v>
      </c>
      <c r="AF2592" s="165">
        <v>28.470663425007999</v>
      </c>
      <c r="AG2592" s="166">
        <v>70.481983638934196</v>
      </c>
      <c r="AO2592" s="121"/>
      <c r="AT2592" s="111"/>
      <c r="AX2592" s="121"/>
    </row>
    <row r="2593" spans="1:50" s="110" customFormat="1" ht="20" customHeight="1">
      <c r="A2593" s="125" t="s">
        <v>231</v>
      </c>
      <c r="B2593" s="126" t="s">
        <v>66</v>
      </c>
      <c r="C2593" s="127">
        <v>17663</v>
      </c>
      <c r="D2593" s="163">
        <v>113103</v>
      </c>
      <c r="E2593" s="164" t="s">
        <v>1194</v>
      </c>
      <c r="F2593" s="164" t="s">
        <v>1194</v>
      </c>
      <c r="G2593" s="165">
        <v>2300</v>
      </c>
      <c r="H2593" s="165">
        <v>1</v>
      </c>
      <c r="I2593" s="164" t="s">
        <v>187</v>
      </c>
      <c r="J2593" s="164" t="s">
        <v>216</v>
      </c>
      <c r="K2593" s="164" t="s">
        <v>217</v>
      </c>
      <c r="L2593" s="165">
        <v>5</v>
      </c>
      <c r="M2593" s="165">
        <v>6</v>
      </c>
      <c r="N2593" s="164" t="s">
        <v>189</v>
      </c>
      <c r="O2593" s="165">
        <v>0</v>
      </c>
      <c r="P2593" s="165">
        <v>0</v>
      </c>
      <c r="Q2593" s="165">
        <v>21</v>
      </c>
      <c r="R2593" s="164" t="s">
        <v>200</v>
      </c>
      <c r="S2593" s="164" t="s">
        <v>201</v>
      </c>
      <c r="T2593" s="165">
        <v>462</v>
      </c>
      <c r="U2593" s="164" t="s">
        <v>200</v>
      </c>
      <c r="V2593" s="164" t="s">
        <v>202</v>
      </c>
      <c r="W2593" s="165">
        <v>2</v>
      </c>
      <c r="X2593" s="165">
        <v>4</v>
      </c>
      <c r="Y2593" s="164" t="s">
        <v>203</v>
      </c>
      <c r="Z2593" s="164" t="s">
        <v>195</v>
      </c>
      <c r="AA2593" s="164" t="s">
        <v>196</v>
      </c>
      <c r="AB2593" s="164" t="s">
        <v>187</v>
      </c>
      <c r="AC2593" s="164" t="s">
        <v>187</v>
      </c>
      <c r="AD2593" s="165">
        <v>1</v>
      </c>
      <c r="AE2593" s="164" t="s">
        <v>187</v>
      </c>
      <c r="AF2593" s="165">
        <v>24.911898917174799</v>
      </c>
      <c r="AG2593" s="166">
        <v>67.076756444898095</v>
      </c>
      <c r="AO2593" s="121"/>
      <c r="AT2593" s="111"/>
      <c r="AX2593" s="121"/>
    </row>
    <row r="2594" spans="1:50" s="110" customFormat="1" ht="20" customHeight="1">
      <c r="A2594" s="125" t="s">
        <v>231</v>
      </c>
      <c r="B2594" s="126" t="s">
        <v>66</v>
      </c>
      <c r="C2594" s="127">
        <v>19469</v>
      </c>
      <c r="D2594" s="163">
        <v>115614</v>
      </c>
      <c r="E2594" s="164" t="s">
        <v>1471</v>
      </c>
      <c r="F2594" s="164" t="s">
        <v>1471</v>
      </c>
      <c r="G2594" s="165">
        <v>2200</v>
      </c>
      <c r="H2594" s="165">
        <v>1</v>
      </c>
      <c r="I2594" s="164" t="s">
        <v>187</v>
      </c>
      <c r="J2594" s="164" t="s">
        <v>213</v>
      </c>
      <c r="K2594" s="164" t="s">
        <v>214</v>
      </c>
      <c r="L2594" s="165">
        <v>1</v>
      </c>
      <c r="M2594" s="165">
        <v>6</v>
      </c>
      <c r="N2594" s="164" t="s">
        <v>189</v>
      </c>
      <c r="O2594" s="165">
        <v>0</v>
      </c>
      <c r="P2594" s="165">
        <v>0</v>
      </c>
      <c r="Q2594" s="165">
        <v>21</v>
      </c>
      <c r="R2594" s="164" t="s">
        <v>200</v>
      </c>
      <c r="S2594" s="164" t="s">
        <v>201</v>
      </c>
      <c r="T2594" s="165">
        <v>462</v>
      </c>
      <c r="U2594" s="164" t="s">
        <v>200</v>
      </c>
      <c r="V2594" s="164" t="s">
        <v>202</v>
      </c>
      <c r="W2594" s="165">
        <v>1</v>
      </c>
      <c r="X2594" s="165">
        <v>4</v>
      </c>
      <c r="Y2594" s="164" t="s">
        <v>203</v>
      </c>
      <c r="Z2594" s="164" t="s">
        <v>195</v>
      </c>
      <c r="AA2594" s="164" t="s">
        <v>196</v>
      </c>
      <c r="AB2594" s="164" t="s">
        <v>187</v>
      </c>
      <c r="AC2594" s="164" t="s">
        <v>187</v>
      </c>
      <c r="AD2594" s="165">
        <v>1</v>
      </c>
      <c r="AE2594" s="164" t="s">
        <v>187</v>
      </c>
      <c r="AF2594" s="165">
        <v>33.708147530532898</v>
      </c>
      <c r="AG2594" s="166">
        <v>70.320457179282201</v>
      </c>
      <c r="AO2594" s="121"/>
      <c r="AT2594" s="111"/>
      <c r="AX2594" s="121"/>
    </row>
    <row r="2595" spans="1:50" s="110" customFormat="1" ht="20" customHeight="1">
      <c r="A2595" s="125" t="s">
        <v>231</v>
      </c>
      <c r="B2595" s="126" t="s">
        <v>66</v>
      </c>
      <c r="C2595" s="127">
        <v>17596</v>
      </c>
      <c r="D2595" s="163">
        <v>113027</v>
      </c>
      <c r="E2595" s="164" t="s">
        <v>921</v>
      </c>
      <c r="F2595" s="164" t="s">
        <v>921</v>
      </c>
      <c r="G2595" s="165">
        <v>2100</v>
      </c>
      <c r="H2595" s="165">
        <v>1</v>
      </c>
      <c r="I2595" s="164" t="s">
        <v>187</v>
      </c>
      <c r="J2595" s="164" t="s">
        <v>216</v>
      </c>
      <c r="K2595" s="164" t="s">
        <v>217</v>
      </c>
      <c r="L2595" s="165">
        <v>5</v>
      </c>
      <c r="M2595" s="165">
        <v>6</v>
      </c>
      <c r="N2595" s="164" t="s">
        <v>189</v>
      </c>
      <c r="O2595" s="165">
        <v>0</v>
      </c>
      <c r="P2595" s="165">
        <v>0</v>
      </c>
      <c r="Q2595" s="165">
        <v>21</v>
      </c>
      <c r="R2595" s="164" t="s">
        <v>200</v>
      </c>
      <c r="S2595" s="164" t="s">
        <v>201</v>
      </c>
      <c r="T2595" s="165">
        <v>462</v>
      </c>
      <c r="U2595" s="164" t="s">
        <v>200</v>
      </c>
      <c r="V2595" s="164" t="s">
        <v>202</v>
      </c>
      <c r="W2595" s="165">
        <v>2</v>
      </c>
      <c r="X2595" s="165">
        <v>4</v>
      </c>
      <c r="Y2595" s="164" t="s">
        <v>203</v>
      </c>
      <c r="Z2595" s="164" t="s">
        <v>195</v>
      </c>
      <c r="AA2595" s="164" t="s">
        <v>196</v>
      </c>
      <c r="AB2595" s="164" t="s">
        <v>187</v>
      </c>
      <c r="AC2595" s="164" t="s">
        <v>187</v>
      </c>
      <c r="AD2595" s="165">
        <v>1</v>
      </c>
      <c r="AE2595" s="164" t="s">
        <v>187</v>
      </c>
      <c r="AF2595" s="165">
        <v>33.520051991497702</v>
      </c>
      <c r="AG2595" s="166">
        <v>73.926835190859407</v>
      </c>
      <c r="AO2595" s="121"/>
      <c r="AT2595" s="111"/>
      <c r="AX2595" s="121"/>
    </row>
    <row r="2596" spans="1:50" s="110" customFormat="1" ht="20" customHeight="1">
      <c r="A2596" s="125" t="s">
        <v>231</v>
      </c>
      <c r="B2596" s="126" t="s">
        <v>66</v>
      </c>
      <c r="C2596" s="127">
        <v>16235</v>
      </c>
      <c r="D2596" s="163">
        <v>111353</v>
      </c>
      <c r="E2596" s="164" t="s">
        <v>292</v>
      </c>
      <c r="F2596" s="164" t="s">
        <v>292</v>
      </c>
      <c r="G2596" s="165">
        <v>2000</v>
      </c>
      <c r="H2596" s="165">
        <v>1</v>
      </c>
      <c r="I2596" s="164" t="s">
        <v>187</v>
      </c>
      <c r="J2596" s="164" t="s">
        <v>293</v>
      </c>
      <c r="K2596" s="164" t="s">
        <v>294</v>
      </c>
      <c r="L2596" s="165">
        <v>3</v>
      </c>
      <c r="M2596" s="165">
        <v>6</v>
      </c>
      <c r="N2596" s="164" t="s">
        <v>189</v>
      </c>
      <c r="O2596" s="165">
        <v>0</v>
      </c>
      <c r="P2596" s="165">
        <v>0</v>
      </c>
      <c r="Q2596" s="165">
        <v>21</v>
      </c>
      <c r="R2596" s="164" t="s">
        <v>200</v>
      </c>
      <c r="S2596" s="164" t="s">
        <v>201</v>
      </c>
      <c r="T2596" s="165">
        <v>462</v>
      </c>
      <c r="U2596" s="164" t="s">
        <v>200</v>
      </c>
      <c r="V2596" s="164" t="s">
        <v>202</v>
      </c>
      <c r="W2596" s="165">
        <v>2</v>
      </c>
      <c r="X2596" s="165">
        <v>4</v>
      </c>
      <c r="Y2596" s="164" t="s">
        <v>203</v>
      </c>
      <c r="Z2596" s="164" t="s">
        <v>195</v>
      </c>
      <c r="AA2596" s="164" t="s">
        <v>196</v>
      </c>
      <c r="AB2596" s="164" t="s">
        <v>187</v>
      </c>
      <c r="AC2596" s="164" t="s">
        <v>187</v>
      </c>
      <c r="AD2596" s="165">
        <v>1</v>
      </c>
      <c r="AE2596" s="164" t="s">
        <v>187</v>
      </c>
      <c r="AF2596" s="165">
        <v>35.650449842890602</v>
      </c>
      <c r="AG2596" s="166">
        <v>75.574243020620003</v>
      </c>
      <c r="AO2596" s="121"/>
      <c r="AT2596" s="111"/>
      <c r="AX2596" s="121"/>
    </row>
    <row r="2597" spans="1:50" s="110" customFormat="1" ht="20" customHeight="1">
      <c r="A2597" s="125" t="s">
        <v>231</v>
      </c>
      <c r="B2597" s="126" t="s">
        <v>66</v>
      </c>
      <c r="C2597" s="127">
        <v>17673</v>
      </c>
      <c r="D2597" s="163">
        <v>113116</v>
      </c>
      <c r="E2597" s="164" t="s">
        <v>1315</v>
      </c>
      <c r="F2597" s="164" t="s">
        <v>1315</v>
      </c>
      <c r="G2597" s="165">
        <v>2000</v>
      </c>
      <c r="H2597" s="165">
        <v>1</v>
      </c>
      <c r="I2597" s="164" t="s">
        <v>187</v>
      </c>
      <c r="J2597" s="164" t="s">
        <v>222</v>
      </c>
      <c r="K2597" s="164" t="s">
        <v>223</v>
      </c>
      <c r="L2597" s="165">
        <v>4</v>
      </c>
      <c r="M2597" s="165">
        <v>6</v>
      </c>
      <c r="N2597" s="164" t="s">
        <v>189</v>
      </c>
      <c r="O2597" s="165">
        <v>0</v>
      </c>
      <c r="P2597" s="165">
        <v>0</v>
      </c>
      <c r="Q2597" s="165">
        <v>21</v>
      </c>
      <c r="R2597" s="164" t="s">
        <v>200</v>
      </c>
      <c r="S2597" s="164" t="s">
        <v>201</v>
      </c>
      <c r="T2597" s="165">
        <v>462</v>
      </c>
      <c r="U2597" s="164" t="s">
        <v>200</v>
      </c>
      <c r="V2597" s="164" t="s">
        <v>202</v>
      </c>
      <c r="W2597" s="165">
        <v>2</v>
      </c>
      <c r="X2597" s="165">
        <v>4</v>
      </c>
      <c r="Y2597" s="164" t="s">
        <v>203</v>
      </c>
      <c r="Z2597" s="164" t="s">
        <v>195</v>
      </c>
      <c r="AA2597" s="164" t="s">
        <v>196</v>
      </c>
      <c r="AB2597" s="164" t="s">
        <v>187</v>
      </c>
      <c r="AC2597" s="164" t="s">
        <v>187</v>
      </c>
      <c r="AD2597" s="165">
        <v>1</v>
      </c>
      <c r="AE2597" s="164" t="s">
        <v>187</v>
      </c>
      <c r="AF2597" s="165">
        <v>28.471753454791699</v>
      </c>
      <c r="AG2597" s="166">
        <v>70.484514060036403</v>
      </c>
      <c r="AO2597" s="121"/>
      <c r="AT2597" s="111"/>
      <c r="AX2597" s="121"/>
    </row>
    <row r="2598" spans="1:50" s="110" customFormat="1" ht="20" customHeight="1">
      <c r="A2598" s="125" t="s">
        <v>231</v>
      </c>
      <c r="B2598" s="126" t="s">
        <v>66</v>
      </c>
      <c r="C2598" s="127">
        <v>17545</v>
      </c>
      <c r="D2598" s="163">
        <v>112967</v>
      </c>
      <c r="E2598" s="164" t="s">
        <v>716</v>
      </c>
      <c r="F2598" s="164" t="s">
        <v>716</v>
      </c>
      <c r="G2598" s="165">
        <v>1900</v>
      </c>
      <c r="H2598" s="165">
        <v>1</v>
      </c>
      <c r="I2598" s="164" t="s">
        <v>187</v>
      </c>
      <c r="J2598" s="164" t="s">
        <v>216</v>
      </c>
      <c r="K2598" s="164" t="s">
        <v>217</v>
      </c>
      <c r="L2598" s="165">
        <v>5</v>
      </c>
      <c r="M2598" s="165">
        <v>6</v>
      </c>
      <c r="N2598" s="164" t="s">
        <v>189</v>
      </c>
      <c r="O2598" s="165">
        <v>0</v>
      </c>
      <c r="P2598" s="165">
        <v>0</v>
      </c>
      <c r="Q2598" s="165">
        <v>21</v>
      </c>
      <c r="R2598" s="164" t="s">
        <v>200</v>
      </c>
      <c r="S2598" s="164" t="s">
        <v>201</v>
      </c>
      <c r="T2598" s="165">
        <v>462</v>
      </c>
      <c r="U2598" s="164" t="s">
        <v>200</v>
      </c>
      <c r="V2598" s="164" t="s">
        <v>202</v>
      </c>
      <c r="W2598" s="165">
        <v>2</v>
      </c>
      <c r="X2598" s="165">
        <v>4</v>
      </c>
      <c r="Y2598" s="164" t="s">
        <v>203</v>
      </c>
      <c r="Z2598" s="164" t="s">
        <v>195</v>
      </c>
      <c r="AA2598" s="164" t="s">
        <v>196</v>
      </c>
      <c r="AB2598" s="164" t="s">
        <v>187</v>
      </c>
      <c r="AC2598" s="164" t="s">
        <v>187</v>
      </c>
      <c r="AD2598" s="165">
        <v>1</v>
      </c>
      <c r="AE2598" s="164" t="s">
        <v>187</v>
      </c>
      <c r="AF2598" s="165">
        <v>25.494390768262001</v>
      </c>
      <c r="AG2598" s="166">
        <v>68.506749416462597</v>
      </c>
      <c r="AO2598" s="121"/>
      <c r="AT2598" s="111"/>
      <c r="AX2598" s="121"/>
    </row>
    <row r="2599" spans="1:50" s="110" customFormat="1" ht="20" customHeight="1">
      <c r="A2599" s="125" t="s">
        <v>231</v>
      </c>
      <c r="B2599" s="126" t="s">
        <v>66</v>
      </c>
      <c r="C2599" s="127">
        <v>20278</v>
      </c>
      <c r="D2599" s="163">
        <v>115222</v>
      </c>
      <c r="E2599" s="164" t="s">
        <v>1528</v>
      </c>
      <c r="F2599" s="164" t="s">
        <v>1528</v>
      </c>
      <c r="G2599" s="165">
        <v>1900</v>
      </c>
      <c r="H2599" s="165">
        <v>1</v>
      </c>
      <c r="I2599" s="164" t="s">
        <v>187</v>
      </c>
      <c r="J2599" s="164" t="s">
        <v>1092</v>
      </c>
      <c r="K2599" s="164" t="s">
        <v>1093</v>
      </c>
      <c r="L2599" s="165">
        <v>3</v>
      </c>
      <c r="M2599" s="165">
        <v>6</v>
      </c>
      <c r="N2599" s="164" t="s">
        <v>189</v>
      </c>
      <c r="O2599" s="165">
        <v>0</v>
      </c>
      <c r="P2599" s="165">
        <v>0</v>
      </c>
      <c r="Q2599" s="165">
        <v>21</v>
      </c>
      <c r="R2599" s="164" t="s">
        <v>200</v>
      </c>
      <c r="S2599" s="164" t="s">
        <v>201</v>
      </c>
      <c r="T2599" s="165">
        <v>462</v>
      </c>
      <c r="U2599" s="164" t="s">
        <v>200</v>
      </c>
      <c r="V2599" s="164" t="s">
        <v>202</v>
      </c>
      <c r="W2599" s="165">
        <v>1</v>
      </c>
      <c r="X2599" s="165">
        <v>4</v>
      </c>
      <c r="Y2599" s="164" t="s">
        <v>203</v>
      </c>
      <c r="Z2599" s="164" t="s">
        <v>195</v>
      </c>
      <c r="AA2599" s="164" t="s">
        <v>196</v>
      </c>
      <c r="AB2599" s="164" t="s">
        <v>187</v>
      </c>
      <c r="AC2599" s="164" t="s">
        <v>187</v>
      </c>
      <c r="AD2599" s="165">
        <v>1</v>
      </c>
      <c r="AE2599" s="164" t="s">
        <v>187</v>
      </c>
      <c r="AF2599" s="165">
        <v>35.499760000000002</v>
      </c>
      <c r="AG2599" s="166">
        <v>75.85772</v>
      </c>
      <c r="AO2599" s="121"/>
      <c r="AT2599" s="111"/>
      <c r="AX2599" s="121"/>
    </row>
    <row r="2600" spans="1:50" s="110" customFormat="1" ht="20" customHeight="1">
      <c r="A2600" s="125" t="s">
        <v>231</v>
      </c>
      <c r="B2600" s="126" t="s">
        <v>66</v>
      </c>
      <c r="C2600" s="127">
        <v>17488</v>
      </c>
      <c r="D2600" s="163">
        <v>112901</v>
      </c>
      <c r="E2600" s="164" t="s">
        <v>450</v>
      </c>
      <c r="F2600" s="164" t="s">
        <v>450</v>
      </c>
      <c r="G2600" s="165">
        <v>1800</v>
      </c>
      <c r="H2600" s="165">
        <v>1</v>
      </c>
      <c r="I2600" s="164" t="s">
        <v>187</v>
      </c>
      <c r="J2600" s="164" t="s">
        <v>219</v>
      </c>
      <c r="K2600" s="164" t="s">
        <v>220</v>
      </c>
      <c r="L2600" s="165">
        <v>5</v>
      </c>
      <c r="M2600" s="165">
        <v>6</v>
      </c>
      <c r="N2600" s="164" t="s">
        <v>189</v>
      </c>
      <c r="O2600" s="165">
        <v>0</v>
      </c>
      <c r="P2600" s="165">
        <v>0</v>
      </c>
      <c r="Q2600" s="165">
        <v>21</v>
      </c>
      <c r="R2600" s="164" t="s">
        <v>200</v>
      </c>
      <c r="S2600" s="164" t="s">
        <v>201</v>
      </c>
      <c r="T2600" s="165">
        <v>462</v>
      </c>
      <c r="U2600" s="164" t="s">
        <v>200</v>
      </c>
      <c r="V2600" s="164" t="s">
        <v>202</v>
      </c>
      <c r="W2600" s="165">
        <v>2</v>
      </c>
      <c r="X2600" s="165">
        <v>4</v>
      </c>
      <c r="Y2600" s="164" t="s">
        <v>203</v>
      </c>
      <c r="Z2600" s="164" t="s">
        <v>195</v>
      </c>
      <c r="AA2600" s="164" t="s">
        <v>196</v>
      </c>
      <c r="AB2600" s="164" t="s">
        <v>187</v>
      </c>
      <c r="AC2600" s="164" t="s">
        <v>187</v>
      </c>
      <c r="AD2600" s="165">
        <v>1</v>
      </c>
      <c r="AE2600" s="164" t="s">
        <v>187</v>
      </c>
      <c r="AF2600" s="165">
        <v>27.608509297970699</v>
      </c>
      <c r="AG2600" s="166">
        <v>67.807515152625598</v>
      </c>
      <c r="AO2600" s="121"/>
      <c r="AT2600" s="111"/>
      <c r="AX2600" s="121"/>
    </row>
    <row r="2601" spans="1:50" s="110" customFormat="1" ht="20" customHeight="1">
      <c r="A2601" s="125" t="s">
        <v>231</v>
      </c>
      <c r="B2601" s="126" t="s">
        <v>66</v>
      </c>
      <c r="C2601" s="127">
        <v>16792</v>
      </c>
      <c r="D2601" s="163">
        <v>112054</v>
      </c>
      <c r="E2601" s="164" t="s">
        <v>701</v>
      </c>
      <c r="F2601" s="164" t="s">
        <v>701</v>
      </c>
      <c r="G2601" s="165">
        <v>1800</v>
      </c>
      <c r="H2601" s="165">
        <v>1</v>
      </c>
      <c r="I2601" s="164" t="s">
        <v>187</v>
      </c>
      <c r="J2601" s="164" t="s">
        <v>216</v>
      </c>
      <c r="K2601" s="164" t="s">
        <v>217</v>
      </c>
      <c r="L2601" s="165">
        <v>5</v>
      </c>
      <c r="M2601" s="165">
        <v>6</v>
      </c>
      <c r="N2601" s="164" t="s">
        <v>189</v>
      </c>
      <c r="O2601" s="165">
        <v>0</v>
      </c>
      <c r="P2601" s="165">
        <v>0</v>
      </c>
      <c r="Q2601" s="165">
        <v>21</v>
      </c>
      <c r="R2601" s="164" t="s">
        <v>200</v>
      </c>
      <c r="S2601" s="164" t="s">
        <v>201</v>
      </c>
      <c r="T2601" s="165">
        <v>462</v>
      </c>
      <c r="U2601" s="164" t="s">
        <v>200</v>
      </c>
      <c r="V2601" s="164" t="s">
        <v>202</v>
      </c>
      <c r="W2601" s="165">
        <v>2</v>
      </c>
      <c r="X2601" s="165">
        <v>4</v>
      </c>
      <c r="Y2601" s="164" t="s">
        <v>203</v>
      </c>
      <c r="Z2601" s="164" t="s">
        <v>195</v>
      </c>
      <c r="AA2601" s="164" t="s">
        <v>196</v>
      </c>
      <c r="AB2601" s="164" t="s">
        <v>187</v>
      </c>
      <c r="AC2601" s="164" t="s">
        <v>187</v>
      </c>
      <c r="AD2601" s="165">
        <v>1</v>
      </c>
      <c r="AE2601" s="164" t="s">
        <v>187</v>
      </c>
      <c r="AF2601" s="165">
        <v>25.5003015024013</v>
      </c>
      <c r="AG2601" s="166">
        <v>68.513867462941107</v>
      </c>
      <c r="AO2601" s="121"/>
      <c r="AT2601" s="111"/>
      <c r="AX2601" s="121"/>
    </row>
    <row r="2602" spans="1:50" s="110" customFormat="1" ht="20" customHeight="1">
      <c r="A2602" s="125" t="s">
        <v>231</v>
      </c>
      <c r="B2602" s="126" t="s">
        <v>66</v>
      </c>
      <c r="C2602" s="127">
        <v>19455</v>
      </c>
      <c r="D2602" s="163">
        <v>115596</v>
      </c>
      <c r="E2602" s="164" t="s">
        <v>1113</v>
      </c>
      <c r="F2602" s="164" t="s">
        <v>1113</v>
      </c>
      <c r="G2602" s="165">
        <v>1800</v>
      </c>
      <c r="H2602" s="165">
        <v>1</v>
      </c>
      <c r="I2602" s="164" t="s">
        <v>187</v>
      </c>
      <c r="J2602" s="164" t="s">
        <v>222</v>
      </c>
      <c r="K2602" s="164" t="s">
        <v>223</v>
      </c>
      <c r="L2602" s="165">
        <v>4</v>
      </c>
      <c r="M2602" s="165">
        <v>6</v>
      </c>
      <c r="N2602" s="164" t="s">
        <v>189</v>
      </c>
      <c r="O2602" s="165">
        <v>0</v>
      </c>
      <c r="P2602" s="165">
        <v>0</v>
      </c>
      <c r="Q2602" s="165">
        <v>21</v>
      </c>
      <c r="R2602" s="164" t="s">
        <v>200</v>
      </c>
      <c r="S2602" s="164" t="s">
        <v>201</v>
      </c>
      <c r="T2602" s="165">
        <v>462</v>
      </c>
      <c r="U2602" s="164" t="s">
        <v>200</v>
      </c>
      <c r="V2602" s="164" t="s">
        <v>202</v>
      </c>
      <c r="W2602" s="165">
        <v>1</v>
      </c>
      <c r="X2602" s="165">
        <v>4</v>
      </c>
      <c r="Y2602" s="164" t="s">
        <v>203</v>
      </c>
      <c r="Z2602" s="164" t="s">
        <v>195</v>
      </c>
      <c r="AA2602" s="164" t="s">
        <v>196</v>
      </c>
      <c r="AB2602" s="164" t="s">
        <v>187</v>
      </c>
      <c r="AC2602" s="164" t="s">
        <v>187</v>
      </c>
      <c r="AD2602" s="165">
        <v>1</v>
      </c>
      <c r="AE2602" s="164" t="s">
        <v>187</v>
      </c>
      <c r="AF2602" s="165">
        <v>28.469333015800299</v>
      </c>
      <c r="AG2602" s="166">
        <v>70.482832504915706</v>
      </c>
      <c r="AO2602" s="121"/>
      <c r="AT2602" s="111"/>
      <c r="AX2602" s="121"/>
    </row>
    <row r="2603" spans="1:50" s="110" customFormat="1" ht="20" customHeight="1">
      <c r="A2603" s="125" t="s">
        <v>231</v>
      </c>
      <c r="B2603" s="126" t="s">
        <v>66</v>
      </c>
      <c r="C2603" s="127">
        <v>17693</v>
      </c>
      <c r="D2603" s="163">
        <v>113138</v>
      </c>
      <c r="E2603" s="164" t="s">
        <v>1445</v>
      </c>
      <c r="F2603" s="164" t="s">
        <v>1445</v>
      </c>
      <c r="G2603" s="165">
        <v>1800</v>
      </c>
      <c r="H2603" s="165">
        <v>1</v>
      </c>
      <c r="I2603" s="164" t="s">
        <v>187</v>
      </c>
      <c r="J2603" s="164" t="s">
        <v>222</v>
      </c>
      <c r="K2603" s="164" t="s">
        <v>223</v>
      </c>
      <c r="L2603" s="165">
        <v>4</v>
      </c>
      <c r="M2603" s="165">
        <v>6</v>
      </c>
      <c r="N2603" s="164" t="s">
        <v>189</v>
      </c>
      <c r="O2603" s="165">
        <v>0</v>
      </c>
      <c r="P2603" s="165">
        <v>0</v>
      </c>
      <c r="Q2603" s="165">
        <v>21</v>
      </c>
      <c r="R2603" s="164" t="s">
        <v>200</v>
      </c>
      <c r="S2603" s="164" t="s">
        <v>201</v>
      </c>
      <c r="T2603" s="165">
        <v>462</v>
      </c>
      <c r="U2603" s="164" t="s">
        <v>200</v>
      </c>
      <c r="V2603" s="164" t="s">
        <v>202</v>
      </c>
      <c r="W2603" s="165">
        <v>2</v>
      </c>
      <c r="X2603" s="165">
        <v>4</v>
      </c>
      <c r="Y2603" s="164" t="s">
        <v>203</v>
      </c>
      <c r="Z2603" s="164" t="s">
        <v>195</v>
      </c>
      <c r="AA2603" s="164" t="s">
        <v>196</v>
      </c>
      <c r="AB2603" s="164" t="s">
        <v>187</v>
      </c>
      <c r="AC2603" s="164" t="s">
        <v>187</v>
      </c>
      <c r="AD2603" s="165">
        <v>1</v>
      </c>
      <c r="AE2603" s="164" t="s">
        <v>187</v>
      </c>
      <c r="AF2603" s="165">
        <v>30.082859420883601</v>
      </c>
      <c r="AG2603" s="166">
        <v>71.456771130787601</v>
      </c>
      <c r="AO2603" s="121"/>
      <c r="AT2603" s="111"/>
      <c r="AX2603" s="121"/>
    </row>
    <row r="2604" spans="1:50" s="110" customFormat="1" ht="20" customHeight="1">
      <c r="A2604" s="125" t="s">
        <v>231</v>
      </c>
      <c r="B2604" s="126" t="s">
        <v>66</v>
      </c>
      <c r="C2604" s="127">
        <v>19475</v>
      </c>
      <c r="D2604" s="163">
        <v>115237</v>
      </c>
      <c r="E2604" s="164" t="s">
        <v>212</v>
      </c>
      <c r="F2604" s="164" t="s">
        <v>212</v>
      </c>
      <c r="G2604" s="165">
        <v>1700</v>
      </c>
      <c r="H2604" s="165">
        <v>1</v>
      </c>
      <c r="I2604" s="164" t="s">
        <v>187</v>
      </c>
      <c r="J2604" s="164" t="s">
        <v>213</v>
      </c>
      <c r="K2604" s="164" t="s">
        <v>214</v>
      </c>
      <c r="L2604" s="165">
        <v>1</v>
      </c>
      <c r="M2604" s="165">
        <v>6</v>
      </c>
      <c r="N2604" s="164" t="s">
        <v>189</v>
      </c>
      <c r="O2604" s="165">
        <v>0</v>
      </c>
      <c r="P2604" s="165">
        <v>0</v>
      </c>
      <c r="Q2604" s="165">
        <v>21</v>
      </c>
      <c r="R2604" s="164" t="s">
        <v>200</v>
      </c>
      <c r="S2604" s="164" t="s">
        <v>201</v>
      </c>
      <c r="T2604" s="165">
        <v>462</v>
      </c>
      <c r="U2604" s="164" t="s">
        <v>200</v>
      </c>
      <c r="V2604" s="164" t="s">
        <v>202</v>
      </c>
      <c r="W2604" s="165">
        <v>1</v>
      </c>
      <c r="X2604" s="165">
        <v>4</v>
      </c>
      <c r="Y2604" s="164" t="s">
        <v>203</v>
      </c>
      <c r="Z2604" s="164" t="s">
        <v>195</v>
      </c>
      <c r="AA2604" s="164" t="s">
        <v>196</v>
      </c>
      <c r="AB2604" s="164" t="s">
        <v>187</v>
      </c>
      <c r="AC2604" s="164" t="s">
        <v>209</v>
      </c>
      <c r="AD2604" s="165">
        <v>1</v>
      </c>
      <c r="AE2604" s="164" t="s">
        <v>187</v>
      </c>
      <c r="AF2604" s="165">
        <v>33.705899576119499</v>
      </c>
      <c r="AG2604" s="166">
        <v>70.312910425577101</v>
      </c>
      <c r="AO2604" s="121"/>
      <c r="AT2604" s="111"/>
      <c r="AX2604" s="121"/>
    </row>
    <row r="2605" spans="1:50" s="110" customFormat="1" ht="20" customHeight="1">
      <c r="A2605" s="125" t="s">
        <v>231</v>
      </c>
      <c r="B2605" s="126" t="s">
        <v>66</v>
      </c>
      <c r="C2605" s="127">
        <v>17518</v>
      </c>
      <c r="D2605" s="163">
        <v>112935</v>
      </c>
      <c r="E2605" s="164" t="s">
        <v>641</v>
      </c>
      <c r="F2605" s="164" t="s">
        <v>641</v>
      </c>
      <c r="G2605" s="165">
        <v>1700</v>
      </c>
      <c r="H2605" s="165">
        <v>1</v>
      </c>
      <c r="I2605" s="164" t="s">
        <v>187</v>
      </c>
      <c r="J2605" s="164" t="s">
        <v>216</v>
      </c>
      <c r="K2605" s="164" t="s">
        <v>217</v>
      </c>
      <c r="L2605" s="165">
        <v>5</v>
      </c>
      <c r="M2605" s="165">
        <v>6</v>
      </c>
      <c r="N2605" s="164" t="s">
        <v>189</v>
      </c>
      <c r="O2605" s="165">
        <v>0</v>
      </c>
      <c r="P2605" s="165">
        <v>0</v>
      </c>
      <c r="Q2605" s="165">
        <v>21</v>
      </c>
      <c r="R2605" s="164" t="s">
        <v>200</v>
      </c>
      <c r="S2605" s="164" t="s">
        <v>201</v>
      </c>
      <c r="T2605" s="165">
        <v>462</v>
      </c>
      <c r="U2605" s="164" t="s">
        <v>200</v>
      </c>
      <c r="V2605" s="164" t="s">
        <v>202</v>
      </c>
      <c r="W2605" s="165">
        <v>2</v>
      </c>
      <c r="X2605" s="165">
        <v>4</v>
      </c>
      <c r="Y2605" s="164" t="s">
        <v>203</v>
      </c>
      <c r="Z2605" s="164" t="s">
        <v>195</v>
      </c>
      <c r="AA2605" s="164" t="s">
        <v>196</v>
      </c>
      <c r="AB2605" s="164" t="s">
        <v>187</v>
      </c>
      <c r="AC2605" s="164" t="s">
        <v>187</v>
      </c>
      <c r="AD2605" s="165">
        <v>1</v>
      </c>
      <c r="AE2605" s="164" t="s">
        <v>187</v>
      </c>
      <c r="AF2605" s="165">
        <v>25.496107970334702</v>
      </c>
      <c r="AG2605" s="166">
        <v>68.513429486793797</v>
      </c>
      <c r="AO2605" s="121"/>
      <c r="AT2605" s="111"/>
      <c r="AX2605" s="121"/>
    </row>
    <row r="2606" spans="1:50" s="110" customFormat="1" ht="20" customHeight="1">
      <c r="A2606" s="125" t="s">
        <v>231</v>
      </c>
      <c r="B2606" s="126" t="s">
        <v>66</v>
      </c>
      <c r="C2606" s="127">
        <v>18036</v>
      </c>
      <c r="D2606" s="163">
        <v>113531</v>
      </c>
      <c r="E2606" s="164" t="s">
        <v>1346</v>
      </c>
      <c r="F2606" s="164" t="s">
        <v>1346</v>
      </c>
      <c r="G2606" s="165">
        <v>1700</v>
      </c>
      <c r="H2606" s="165">
        <v>1</v>
      </c>
      <c r="I2606" s="164" t="s">
        <v>187</v>
      </c>
      <c r="J2606" s="164" t="s">
        <v>1092</v>
      </c>
      <c r="K2606" s="164" t="s">
        <v>1093</v>
      </c>
      <c r="L2606" s="165">
        <v>3</v>
      </c>
      <c r="M2606" s="165">
        <v>6</v>
      </c>
      <c r="N2606" s="164" t="s">
        <v>189</v>
      </c>
      <c r="O2606" s="165">
        <v>0</v>
      </c>
      <c r="P2606" s="165">
        <v>0</v>
      </c>
      <c r="Q2606" s="165">
        <v>21</v>
      </c>
      <c r="R2606" s="164" t="s">
        <v>200</v>
      </c>
      <c r="S2606" s="164" t="s">
        <v>201</v>
      </c>
      <c r="T2606" s="165">
        <v>462</v>
      </c>
      <c r="U2606" s="164" t="s">
        <v>200</v>
      </c>
      <c r="V2606" s="164" t="s">
        <v>202</v>
      </c>
      <c r="W2606" s="165">
        <v>2</v>
      </c>
      <c r="X2606" s="165">
        <v>4</v>
      </c>
      <c r="Y2606" s="164" t="s">
        <v>203</v>
      </c>
      <c r="Z2606" s="164" t="s">
        <v>195</v>
      </c>
      <c r="AA2606" s="164" t="s">
        <v>196</v>
      </c>
      <c r="AB2606" s="164" t="s">
        <v>187</v>
      </c>
      <c r="AC2606" s="164" t="s">
        <v>187</v>
      </c>
      <c r="AD2606" s="165">
        <v>1</v>
      </c>
      <c r="AE2606" s="164" t="s">
        <v>187</v>
      </c>
      <c r="AF2606" s="165">
        <v>36.4300433198527</v>
      </c>
      <c r="AG2606" s="166">
        <v>74.617787922262096</v>
      </c>
      <c r="AO2606" s="121"/>
      <c r="AT2606" s="111"/>
      <c r="AX2606" s="121"/>
    </row>
    <row r="2607" spans="1:50" s="110" customFormat="1" ht="20" customHeight="1">
      <c r="A2607" s="125" t="s">
        <v>231</v>
      </c>
      <c r="B2607" s="126" t="s">
        <v>66</v>
      </c>
      <c r="C2607" s="127">
        <v>17646</v>
      </c>
      <c r="D2607" s="163">
        <v>113083</v>
      </c>
      <c r="E2607" s="164" t="s">
        <v>1137</v>
      </c>
      <c r="F2607" s="164" t="s">
        <v>1137</v>
      </c>
      <c r="G2607" s="165">
        <v>1600</v>
      </c>
      <c r="H2607" s="165">
        <v>1</v>
      </c>
      <c r="I2607" s="164" t="s">
        <v>187</v>
      </c>
      <c r="J2607" s="164" t="s">
        <v>219</v>
      </c>
      <c r="K2607" s="164" t="s">
        <v>220</v>
      </c>
      <c r="L2607" s="165">
        <v>5</v>
      </c>
      <c r="M2607" s="165">
        <v>6</v>
      </c>
      <c r="N2607" s="164" t="s">
        <v>189</v>
      </c>
      <c r="O2607" s="165">
        <v>0</v>
      </c>
      <c r="P2607" s="165">
        <v>0</v>
      </c>
      <c r="Q2607" s="165">
        <v>21</v>
      </c>
      <c r="R2607" s="164" t="s">
        <v>200</v>
      </c>
      <c r="S2607" s="164" t="s">
        <v>201</v>
      </c>
      <c r="T2607" s="165">
        <v>462</v>
      </c>
      <c r="U2607" s="164" t="s">
        <v>200</v>
      </c>
      <c r="V2607" s="164" t="s">
        <v>202</v>
      </c>
      <c r="W2607" s="165">
        <v>2</v>
      </c>
      <c r="X2607" s="165">
        <v>4</v>
      </c>
      <c r="Y2607" s="164" t="s">
        <v>203</v>
      </c>
      <c r="Z2607" s="164" t="s">
        <v>195</v>
      </c>
      <c r="AA2607" s="164" t="s">
        <v>196</v>
      </c>
      <c r="AB2607" s="164" t="s">
        <v>187</v>
      </c>
      <c r="AC2607" s="164" t="s">
        <v>187</v>
      </c>
      <c r="AD2607" s="165">
        <v>1</v>
      </c>
      <c r="AE2607" s="164" t="s">
        <v>187</v>
      </c>
      <c r="AF2607" s="165">
        <v>24.911985845254499</v>
      </c>
      <c r="AG2607" s="166">
        <v>67.076595121002597</v>
      </c>
      <c r="AO2607" s="121"/>
      <c r="AT2607" s="111"/>
      <c r="AX2607" s="121"/>
    </row>
    <row r="2608" spans="1:50" s="110" customFormat="1" ht="20" customHeight="1">
      <c r="A2608" s="125" t="s">
        <v>231</v>
      </c>
      <c r="B2608" s="126" t="s">
        <v>66</v>
      </c>
      <c r="C2608" s="127">
        <v>17694</v>
      </c>
      <c r="D2608" s="163">
        <v>113140</v>
      </c>
      <c r="E2608" s="164" t="s">
        <v>1449</v>
      </c>
      <c r="F2608" s="164" t="s">
        <v>1449</v>
      </c>
      <c r="G2608" s="165">
        <v>1600</v>
      </c>
      <c r="H2608" s="165">
        <v>1</v>
      </c>
      <c r="I2608" s="164" t="s">
        <v>187</v>
      </c>
      <c r="J2608" s="164" t="s">
        <v>222</v>
      </c>
      <c r="K2608" s="164" t="s">
        <v>223</v>
      </c>
      <c r="L2608" s="165">
        <v>4</v>
      </c>
      <c r="M2608" s="165">
        <v>6</v>
      </c>
      <c r="N2608" s="164" t="s">
        <v>189</v>
      </c>
      <c r="O2608" s="165">
        <v>0</v>
      </c>
      <c r="P2608" s="165">
        <v>0</v>
      </c>
      <c r="Q2608" s="165">
        <v>21</v>
      </c>
      <c r="R2608" s="164" t="s">
        <v>200</v>
      </c>
      <c r="S2608" s="164" t="s">
        <v>201</v>
      </c>
      <c r="T2608" s="165">
        <v>462</v>
      </c>
      <c r="U2608" s="164" t="s">
        <v>200</v>
      </c>
      <c r="V2608" s="164" t="s">
        <v>202</v>
      </c>
      <c r="W2608" s="165">
        <v>2</v>
      </c>
      <c r="X2608" s="165">
        <v>4</v>
      </c>
      <c r="Y2608" s="164" t="s">
        <v>203</v>
      </c>
      <c r="Z2608" s="164" t="s">
        <v>195</v>
      </c>
      <c r="AA2608" s="164" t="s">
        <v>196</v>
      </c>
      <c r="AB2608" s="164" t="s">
        <v>187</v>
      </c>
      <c r="AC2608" s="164" t="s">
        <v>187</v>
      </c>
      <c r="AD2608" s="165">
        <v>1</v>
      </c>
      <c r="AE2608" s="164" t="s">
        <v>187</v>
      </c>
      <c r="AF2608" s="165">
        <v>28.463342821376202</v>
      </c>
      <c r="AG2608" s="166">
        <v>70.483692492845606</v>
      </c>
      <c r="AO2608" s="121"/>
      <c r="AT2608" s="111"/>
      <c r="AX2608" s="121"/>
    </row>
    <row r="2609" spans="1:50" s="110" customFormat="1" ht="20" customHeight="1">
      <c r="A2609" s="125" t="s">
        <v>231</v>
      </c>
      <c r="B2609" s="126" t="s">
        <v>66</v>
      </c>
      <c r="C2609" s="127">
        <v>19460</v>
      </c>
      <c r="D2609" s="163">
        <v>115603</v>
      </c>
      <c r="E2609" s="164" t="s">
        <v>1207</v>
      </c>
      <c r="F2609" s="164" t="s">
        <v>1207</v>
      </c>
      <c r="G2609" s="165">
        <v>1400</v>
      </c>
      <c r="H2609" s="165">
        <v>1</v>
      </c>
      <c r="I2609" s="164" t="s">
        <v>187</v>
      </c>
      <c r="J2609" s="164" t="s">
        <v>222</v>
      </c>
      <c r="K2609" s="164" t="s">
        <v>223</v>
      </c>
      <c r="L2609" s="165">
        <v>4</v>
      </c>
      <c r="M2609" s="165">
        <v>6</v>
      </c>
      <c r="N2609" s="164" t="s">
        <v>189</v>
      </c>
      <c r="O2609" s="165">
        <v>0</v>
      </c>
      <c r="P2609" s="165">
        <v>0</v>
      </c>
      <c r="Q2609" s="165">
        <v>21</v>
      </c>
      <c r="R2609" s="164" t="s">
        <v>200</v>
      </c>
      <c r="S2609" s="164" t="s">
        <v>201</v>
      </c>
      <c r="T2609" s="165">
        <v>462</v>
      </c>
      <c r="U2609" s="164" t="s">
        <v>200</v>
      </c>
      <c r="V2609" s="164" t="s">
        <v>202</v>
      </c>
      <c r="W2609" s="165">
        <v>1</v>
      </c>
      <c r="X2609" s="165">
        <v>4</v>
      </c>
      <c r="Y2609" s="164" t="s">
        <v>203</v>
      </c>
      <c r="Z2609" s="164" t="s">
        <v>195</v>
      </c>
      <c r="AA2609" s="164" t="s">
        <v>196</v>
      </c>
      <c r="AB2609" s="164" t="s">
        <v>187</v>
      </c>
      <c r="AC2609" s="164" t="s">
        <v>187</v>
      </c>
      <c r="AD2609" s="165">
        <v>1</v>
      </c>
      <c r="AE2609" s="164" t="s">
        <v>187</v>
      </c>
      <c r="AF2609" s="165">
        <v>32.853376825286801</v>
      </c>
      <c r="AG2609" s="166">
        <v>73.340791281624305</v>
      </c>
      <c r="AO2609" s="121"/>
      <c r="AT2609" s="111"/>
      <c r="AX2609" s="121"/>
    </row>
    <row r="2610" spans="1:50" s="110" customFormat="1" ht="20" customHeight="1">
      <c r="A2610" s="125" t="s">
        <v>231</v>
      </c>
      <c r="B2610" s="126" t="s">
        <v>66</v>
      </c>
      <c r="C2610" s="127">
        <v>19468</v>
      </c>
      <c r="D2610" s="163">
        <v>115613</v>
      </c>
      <c r="E2610" s="164" t="s">
        <v>1450</v>
      </c>
      <c r="F2610" s="164" t="s">
        <v>1450</v>
      </c>
      <c r="G2610" s="165">
        <v>1400</v>
      </c>
      <c r="H2610" s="165">
        <v>1</v>
      </c>
      <c r="I2610" s="164" t="s">
        <v>187</v>
      </c>
      <c r="J2610" s="164" t="s">
        <v>222</v>
      </c>
      <c r="K2610" s="164" t="s">
        <v>223</v>
      </c>
      <c r="L2610" s="165">
        <v>4</v>
      </c>
      <c r="M2610" s="165">
        <v>6</v>
      </c>
      <c r="N2610" s="164" t="s">
        <v>189</v>
      </c>
      <c r="O2610" s="165">
        <v>0</v>
      </c>
      <c r="P2610" s="165">
        <v>0</v>
      </c>
      <c r="Q2610" s="165">
        <v>21</v>
      </c>
      <c r="R2610" s="164" t="s">
        <v>200</v>
      </c>
      <c r="S2610" s="164" t="s">
        <v>201</v>
      </c>
      <c r="T2610" s="165">
        <v>462</v>
      </c>
      <c r="U2610" s="164" t="s">
        <v>200</v>
      </c>
      <c r="V2610" s="164" t="s">
        <v>202</v>
      </c>
      <c r="W2610" s="165">
        <v>1</v>
      </c>
      <c r="X2610" s="165">
        <v>4</v>
      </c>
      <c r="Y2610" s="164" t="s">
        <v>203</v>
      </c>
      <c r="Z2610" s="164" t="s">
        <v>195</v>
      </c>
      <c r="AA2610" s="164" t="s">
        <v>196</v>
      </c>
      <c r="AB2610" s="164" t="s">
        <v>187</v>
      </c>
      <c r="AC2610" s="164" t="s">
        <v>187</v>
      </c>
      <c r="AD2610" s="165">
        <v>1</v>
      </c>
      <c r="AE2610" s="164" t="s">
        <v>187</v>
      </c>
      <c r="AF2610" s="165">
        <v>30.078871464005701</v>
      </c>
      <c r="AG2610" s="166">
        <v>71.455651175458101</v>
      </c>
      <c r="AO2610" s="121"/>
      <c r="AT2610" s="111"/>
      <c r="AX2610" s="121"/>
    </row>
    <row r="2611" spans="1:50" s="110" customFormat="1" ht="20" customHeight="1">
      <c r="A2611" s="125" t="s">
        <v>231</v>
      </c>
      <c r="B2611" s="126" t="s">
        <v>66</v>
      </c>
      <c r="C2611" s="127">
        <v>16175</v>
      </c>
      <c r="D2611" s="163">
        <v>111277</v>
      </c>
      <c r="E2611" s="164" t="s">
        <v>215</v>
      </c>
      <c r="F2611" s="164" t="s">
        <v>215</v>
      </c>
      <c r="G2611" s="165">
        <v>1300</v>
      </c>
      <c r="H2611" s="165">
        <v>1</v>
      </c>
      <c r="I2611" s="164" t="s">
        <v>187</v>
      </c>
      <c r="J2611" s="164" t="s">
        <v>216</v>
      </c>
      <c r="K2611" s="164" t="s">
        <v>217</v>
      </c>
      <c r="L2611" s="165">
        <v>5</v>
      </c>
      <c r="M2611" s="165">
        <v>6</v>
      </c>
      <c r="N2611" s="164" t="s">
        <v>189</v>
      </c>
      <c r="O2611" s="165">
        <v>0</v>
      </c>
      <c r="P2611" s="165">
        <v>0</v>
      </c>
      <c r="Q2611" s="165">
        <v>21</v>
      </c>
      <c r="R2611" s="164" t="s">
        <v>200</v>
      </c>
      <c r="S2611" s="164" t="s">
        <v>201</v>
      </c>
      <c r="T2611" s="165">
        <v>462</v>
      </c>
      <c r="U2611" s="164" t="s">
        <v>200</v>
      </c>
      <c r="V2611" s="164" t="s">
        <v>202</v>
      </c>
      <c r="W2611" s="165">
        <v>2</v>
      </c>
      <c r="X2611" s="165">
        <v>4</v>
      </c>
      <c r="Y2611" s="164" t="s">
        <v>203</v>
      </c>
      <c r="Z2611" s="164" t="s">
        <v>195</v>
      </c>
      <c r="AA2611" s="164" t="s">
        <v>196</v>
      </c>
      <c r="AB2611" s="164" t="s">
        <v>187</v>
      </c>
      <c r="AC2611" s="164" t="s">
        <v>187</v>
      </c>
      <c r="AD2611" s="165">
        <v>1</v>
      </c>
      <c r="AE2611" s="164" t="s">
        <v>187</v>
      </c>
      <c r="AF2611" s="165">
        <v>26.010679932599999</v>
      </c>
      <c r="AG2611" s="166">
        <v>69.236487673799999</v>
      </c>
      <c r="AO2611" s="121"/>
      <c r="AT2611" s="111"/>
      <c r="AX2611" s="121"/>
    </row>
    <row r="2612" spans="1:50" s="110" customFormat="1" ht="20" customHeight="1">
      <c r="A2612" s="125" t="s">
        <v>231</v>
      </c>
      <c r="B2612" s="126" t="s">
        <v>66</v>
      </c>
      <c r="C2612" s="127">
        <v>17510</v>
      </c>
      <c r="D2612" s="163">
        <v>112926</v>
      </c>
      <c r="E2612" s="164" t="s">
        <v>594</v>
      </c>
      <c r="F2612" s="164" t="s">
        <v>594</v>
      </c>
      <c r="G2612" s="165">
        <v>1300</v>
      </c>
      <c r="H2612" s="165">
        <v>1</v>
      </c>
      <c r="I2612" s="164" t="s">
        <v>187</v>
      </c>
      <c r="J2612" s="164" t="s">
        <v>222</v>
      </c>
      <c r="K2612" s="164" t="s">
        <v>223</v>
      </c>
      <c r="L2612" s="165">
        <v>4</v>
      </c>
      <c r="M2612" s="165">
        <v>6</v>
      </c>
      <c r="N2612" s="164" t="s">
        <v>189</v>
      </c>
      <c r="O2612" s="165">
        <v>0</v>
      </c>
      <c r="P2612" s="165">
        <v>0</v>
      </c>
      <c r="Q2612" s="165">
        <v>21</v>
      </c>
      <c r="R2612" s="164" t="s">
        <v>200</v>
      </c>
      <c r="S2612" s="164" t="s">
        <v>201</v>
      </c>
      <c r="T2612" s="165">
        <v>462</v>
      </c>
      <c r="U2612" s="164" t="s">
        <v>200</v>
      </c>
      <c r="V2612" s="164" t="s">
        <v>202</v>
      </c>
      <c r="W2612" s="165">
        <v>2</v>
      </c>
      <c r="X2612" s="165">
        <v>4</v>
      </c>
      <c r="Y2612" s="164" t="s">
        <v>203</v>
      </c>
      <c r="Z2612" s="164" t="s">
        <v>195</v>
      </c>
      <c r="AA2612" s="164" t="s">
        <v>196</v>
      </c>
      <c r="AB2612" s="164" t="s">
        <v>187</v>
      </c>
      <c r="AC2612" s="164" t="s">
        <v>187</v>
      </c>
      <c r="AD2612" s="165">
        <v>1</v>
      </c>
      <c r="AE2612" s="164" t="s">
        <v>187</v>
      </c>
      <c r="AF2612" s="165">
        <v>28.466924768033302</v>
      </c>
      <c r="AG2612" s="166">
        <v>70.478266154481304</v>
      </c>
      <c r="AO2612" s="121"/>
      <c r="AT2612" s="111"/>
      <c r="AX2612" s="121"/>
    </row>
    <row r="2613" spans="1:50" s="110" customFormat="1" ht="20" customHeight="1">
      <c r="A2613" s="125" t="s">
        <v>231</v>
      </c>
      <c r="B2613" s="126" t="s">
        <v>66</v>
      </c>
      <c r="C2613" s="127">
        <v>19315</v>
      </c>
      <c r="D2613" s="163">
        <v>115553</v>
      </c>
      <c r="E2613" s="164" t="s">
        <v>1341</v>
      </c>
      <c r="F2613" s="164" t="s">
        <v>1341</v>
      </c>
      <c r="G2613" s="165">
        <v>1300</v>
      </c>
      <c r="H2613" s="165">
        <v>1</v>
      </c>
      <c r="I2613" s="164" t="s">
        <v>187</v>
      </c>
      <c r="J2613" s="164" t="s">
        <v>222</v>
      </c>
      <c r="K2613" s="164" t="s">
        <v>223</v>
      </c>
      <c r="L2613" s="165">
        <v>4</v>
      </c>
      <c r="M2613" s="165">
        <v>6</v>
      </c>
      <c r="N2613" s="164" t="s">
        <v>189</v>
      </c>
      <c r="O2613" s="165">
        <v>0</v>
      </c>
      <c r="P2613" s="165">
        <v>0</v>
      </c>
      <c r="Q2613" s="165">
        <v>21</v>
      </c>
      <c r="R2613" s="164" t="s">
        <v>200</v>
      </c>
      <c r="S2613" s="164" t="s">
        <v>201</v>
      </c>
      <c r="T2613" s="165">
        <v>462</v>
      </c>
      <c r="U2613" s="164" t="s">
        <v>200</v>
      </c>
      <c r="V2613" s="164" t="s">
        <v>202</v>
      </c>
      <c r="W2613" s="165">
        <v>2</v>
      </c>
      <c r="X2613" s="165">
        <v>4</v>
      </c>
      <c r="Y2613" s="164" t="s">
        <v>203</v>
      </c>
      <c r="Z2613" s="164" t="s">
        <v>195</v>
      </c>
      <c r="AA2613" s="164" t="s">
        <v>196</v>
      </c>
      <c r="AB2613" s="164" t="s">
        <v>187</v>
      </c>
      <c r="AC2613" s="164" t="s">
        <v>187</v>
      </c>
      <c r="AD2613" s="165">
        <v>1</v>
      </c>
      <c r="AE2613" s="164" t="s">
        <v>187</v>
      </c>
      <c r="AF2613" s="165">
        <v>32.680694015612097</v>
      </c>
      <c r="AG2613" s="166">
        <v>71.531163250998503</v>
      </c>
      <c r="AO2613" s="121"/>
      <c r="AT2613" s="111"/>
      <c r="AX2613" s="121"/>
    </row>
    <row r="2614" spans="1:50" s="110" customFormat="1" ht="20" customHeight="1">
      <c r="A2614" s="125" t="s">
        <v>231</v>
      </c>
      <c r="B2614" s="126" t="s">
        <v>66</v>
      </c>
      <c r="C2614" s="127">
        <v>16260</v>
      </c>
      <c r="D2614" s="163">
        <v>111382</v>
      </c>
      <c r="E2614" s="164" t="s">
        <v>298</v>
      </c>
      <c r="F2614" s="164" t="s">
        <v>298</v>
      </c>
      <c r="G2614" s="165">
        <v>1100</v>
      </c>
      <c r="H2614" s="165">
        <v>1</v>
      </c>
      <c r="I2614" s="164" t="s">
        <v>187</v>
      </c>
      <c r="J2614" s="164" t="s">
        <v>219</v>
      </c>
      <c r="K2614" s="164" t="s">
        <v>220</v>
      </c>
      <c r="L2614" s="165">
        <v>5</v>
      </c>
      <c r="M2614" s="165">
        <v>6</v>
      </c>
      <c r="N2614" s="164" t="s">
        <v>189</v>
      </c>
      <c r="O2614" s="165">
        <v>0</v>
      </c>
      <c r="P2614" s="165">
        <v>0</v>
      </c>
      <c r="Q2614" s="165">
        <v>21</v>
      </c>
      <c r="R2614" s="164" t="s">
        <v>200</v>
      </c>
      <c r="S2614" s="164" t="s">
        <v>201</v>
      </c>
      <c r="T2614" s="165">
        <v>462</v>
      </c>
      <c r="U2614" s="164" t="s">
        <v>200</v>
      </c>
      <c r="V2614" s="164" t="s">
        <v>202</v>
      </c>
      <c r="W2614" s="165">
        <v>2</v>
      </c>
      <c r="X2614" s="165">
        <v>4</v>
      </c>
      <c r="Y2614" s="164" t="s">
        <v>203</v>
      </c>
      <c r="Z2614" s="164" t="s">
        <v>195</v>
      </c>
      <c r="AA2614" s="164" t="s">
        <v>196</v>
      </c>
      <c r="AB2614" s="164" t="s">
        <v>187</v>
      </c>
      <c r="AC2614" s="164" t="s">
        <v>187</v>
      </c>
      <c r="AD2614" s="165">
        <v>1</v>
      </c>
      <c r="AE2614" s="164" t="s">
        <v>187</v>
      </c>
      <c r="AF2614" s="165">
        <v>25.498368794415899</v>
      </c>
      <c r="AG2614" s="166">
        <v>68.511628071564303</v>
      </c>
      <c r="AO2614" s="121"/>
      <c r="AT2614" s="111"/>
      <c r="AX2614" s="121"/>
    </row>
    <row r="2615" spans="1:50" s="110" customFormat="1" ht="20" customHeight="1">
      <c r="A2615" s="125" t="s">
        <v>231</v>
      </c>
      <c r="B2615" s="126" t="s">
        <v>66</v>
      </c>
      <c r="C2615" s="127">
        <v>16289</v>
      </c>
      <c r="D2615" s="163">
        <v>111414</v>
      </c>
      <c r="E2615" s="164" t="s">
        <v>320</v>
      </c>
      <c r="F2615" s="164" t="s">
        <v>320</v>
      </c>
      <c r="G2615" s="165">
        <v>1100</v>
      </c>
      <c r="H2615" s="165">
        <v>1</v>
      </c>
      <c r="I2615" s="164" t="s">
        <v>187</v>
      </c>
      <c r="J2615" s="164" t="s">
        <v>216</v>
      </c>
      <c r="K2615" s="164" t="s">
        <v>217</v>
      </c>
      <c r="L2615" s="165">
        <v>5</v>
      </c>
      <c r="M2615" s="165">
        <v>6</v>
      </c>
      <c r="N2615" s="164" t="s">
        <v>189</v>
      </c>
      <c r="O2615" s="165">
        <v>0</v>
      </c>
      <c r="P2615" s="165">
        <v>0</v>
      </c>
      <c r="Q2615" s="165">
        <v>21</v>
      </c>
      <c r="R2615" s="164" t="s">
        <v>200</v>
      </c>
      <c r="S2615" s="164" t="s">
        <v>201</v>
      </c>
      <c r="T2615" s="165">
        <v>462</v>
      </c>
      <c r="U2615" s="164" t="s">
        <v>200</v>
      </c>
      <c r="V2615" s="164" t="s">
        <v>202</v>
      </c>
      <c r="W2615" s="165">
        <v>3</v>
      </c>
      <c r="X2615" s="165">
        <v>4</v>
      </c>
      <c r="Y2615" s="164" t="s">
        <v>203</v>
      </c>
      <c r="Z2615" s="164" t="s">
        <v>195</v>
      </c>
      <c r="AA2615" s="164" t="s">
        <v>196</v>
      </c>
      <c r="AB2615" s="164" t="s">
        <v>187</v>
      </c>
      <c r="AC2615" s="164" t="s">
        <v>187</v>
      </c>
      <c r="AD2615" s="165">
        <v>1</v>
      </c>
      <c r="AE2615" s="164" t="s">
        <v>187</v>
      </c>
      <c r="AF2615" s="165">
        <v>25.493468738650499</v>
      </c>
      <c r="AG2615" s="166">
        <v>68.513927678457307</v>
      </c>
      <c r="AO2615" s="121"/>
      <c r="AT2615" s="111"/>
      <c r="AX2615" s="121"/>
    </row>
    <row r="2616" spans="1:50" s="110" customFormat="1" ht="20" customHeight="1">
      <c r="A2616" s="125" t="s">
        <v>231</v>
      </c>
      <c r="B2616" s="126" t="s">
        <v>66</v>
      </c>
      <c r="C2616" s="127">
        <v>17318</v>
      </c>
      <c r="D2616" s="163">
        <v>112698</v>
      </c>
      <c r="E2616" s="164" t="s">
        <v>956</v>
      </c>
      <c r="F2616" s="164" t="s">
        <v>956</v>
      </c>
      <c r="G2616" s="165">
        <v>1100</v>
      </c>
      <c r="H2616" s="165">
        <v>1</v>
      </c>
      <c r="I2616" s="164" t="s">
        <v>187</v>
      </c>
      <c r="J2616" s="164" t="s">
        <v>216</v>
      </c>
      <c r="K2616" s="164" t="s">
        <v>217</v>
      </c>
      <c r="L2616" s="165">
        <v>5</v>
      </c>
      <c r="M2616" s="165">
        <v>6</v>
      </c>
      <c r="N2616" s="164" t="s">
        <v>189</v>
      </c>
      <c r="O2616" s="165">
        <v>0</v>
      </c>
      <c r="P2616" s="165">
        <v>0</v>
      </c>
      <c r="Q2616" s="165">
        <v>21</v>
      </c>
      <c r="R2616" s="164" t="s">
        <v>200</v>
      </c>
      <c r="S2616" s="164" t="s">
        <v>201</v>
      </c>
      <c r="T2616" s="165">
        <v>462</v>
      </c>
      <c r="U2616" s="164" t="s">
        <v>200</v>
      </c>
      <c r="V2616" s="164" t="s">
        <v>202</v>
      </c>
      <c r="W2616" s="165">
        <v>2</v>
      </c>
      <c r="X2616" s="165">
        <v>4</v>
      </c>
      <c r="Y2616" s="164" t="s">
        <v>203</v>
      </c>
      <c r="Z2616" s="164" t="s">
        <v>195</v>
      </c>
      <c r="AA2616" s="164" t="s">
        <v>196</v>
      </c>
      <c r="AB2616" s="164" t="s">
        <v>187</v>
      </c>
      <c r="AC2616" s="164" t="s">
        <v>187</v>
      </c>
      <c r="AD2616" s="165">
        <v>1</v>
      </c>
      <c r="AE2616" s="164" t="s">
        <v>187</v>
      </c>
      <c r="AF2616" s="165">
        <v>33.897951501996502</v>
      </c>
      <c r="AG2616" s="166">
        <v>73.849157050555107</v>
      </c>
      <c r="AO2616" s="121"/>
      <c r="AT2616" s="111"/>
      <c r="AX2616" s="121"/>
    </row>
    <row r="2617" spans="1:50" s="110" customFormat="1" ht="20" customHeight="1">
      <c r="A2617" s="125" t="s">
        <v>231</v>
      </c>
      <c r="B2617" s="126" t="s">
        <v>66</v>
      </c>
      <c r="C2617" s="127">
        <v>17568</v>
      </c>
      <c r="D2617" s="163">
        <v>112995</v>
      </c>
      <c r="E2617" s="164" t="s">
        <v>760</v>
      </c>
      <c r="F2617" s="164" t="s">
        <v>760</v>
      </c>
      <c r="G2617" s="165">
        <v>1000</v>
      </c>
      <c r="H2617" s="165">
        <v>1</v>
      </c>
      <c r="I2617" s="164" t="s">
        <v>187</v>
      </c>
      <c r="J2617" s="164" t="s">
        <v>293</v>
      </c>
      <c r="K2617" s="164" t="s">
        <v>294</v>
      </c>
      <c r="L2617" s="165">
        <v>3</v>
      </c>
      <c r="M2617" s="165">
        <v>6</v>
      </c>
      <c r="N2617" s="164" t="s">
        <v>189</v>
      </c>
      <c r="O2617" s="165">
        <v>0</v>
      </c>
      <c r="P2617" s="165">
        <v>0</v>
      </c>
      <c r="Q2617" s="165">
        <v>21</v>
      </c>
      <c r="R2617" s="164" t="s">
        <v>200</v>
      </c>
      <c r="S2617" s="164" t="s">
        <v>201</v>
      </c>
      <c r="T2617" s="165">
        <v>462</v>
      </c>
      <c r="U2617" s="164" t="s">
        <v>200</v>
      </c>
      <c r="V2617" s="164" t="s">
        <v>202</v>
      </c>
      <c r="W2617" s="165">
        <v>1</v>
      </c>
      <c r="X2617" s="165">
        <v>4</v>
      </c>
      <c r="Y2617" s="164" t="s">
        <v>203</v>
      </c>
      <c r="Z2617" s="164" t="s">
        <v>195</v>
      </c>
      <c r="AA2617" s="164" t="s">
        <v>196</v>
      </c>
      <c r="AB2617" s="164" t="s">
        <v>187</v>
      </c>
      <c r="AC2617" s="164" t="s">
        <v>187</v>
      </c>
      <c r="AD2617" s="165">
        <v>1</v>
      </c>
      <c r="AE2617" s="164" t="s">
        <v>187</v>
      </c>
      <c r="AF2617" s="165">
        <v>35.653999964215302</v>
      </c>
      <c r="AG2617" s="166">
        <v>75.571520321508203</v>
      </c>
      <c r="AO2617" s="121"/>
      <c r="AT2617" s="111"/>
      <c r="AX2617" s="121"/>
    </row>
    <row r="2618" spans="1:50" s="110" customFormat="1" ht="20" customHeight="1">
      <c r="A2618" s="125" t="s">
        <v>231</v>
      </c>
      <c r="B2618" s="126" t="s">
        <v>66</v>
      </c>
      <c r="C2618" s="127">
        <v>19421</v>
      </c>
      <c r="D2618" s="163">
        <v>115246</v>
      </c>
      <c r="E2618" s="164" t="s">
        <v>318</v>
      </c>
      <c r="F2618" s="164" t="s">
        <v>318</v>
      </c>
      <c r="G2618" s="165">
        <v>900</v>
      </c>
      <c r="H2618" s="165">
        <v>1</v>
      </c>
      <c r="I2618" s="164" t="s">
        <v>187</v>
      </c>
      <c r="J2618" s="164" t="s">
        <v>219</v>
      </c>
      <c r="K2618" s="164" t="s">
        <v>220</v>
      </c>
      <c r="L2618" s="165">
        <v>5</v>
      </c>
      <c r="M2618" s="165">
        <v>6</v>
      </c>
      <c r="N2618" s="164" t="s">
        <v>189</v>
      </c>
      <c r="O2618" s="165">
        <v>0</v>
      </c>
      <c r="P2618" s="165">
        <v>0</v>
      </c>
      <c r="Q2618" s="165">
        <v>21</v>
      </c>
      <c r="R2618" s="164" t="s">
        <v>200</v>
      </c>
      <c r="S2618" s="164" t="s">
        <v>201</v>
      </c>
      <c r="T2618" s="165">
        <v>462</v>
      </c>
      <c r="U2618" s="164" t="s">
        <v>200</v>
      </c>
      <c r="V2618" s="164" t="s">
        <v>202</v>
      </c>
      <c r="W2618" s="165">
        <v>1</v>
      </c>
      <c r="X2618" s="165">
        <v>4</v>
      </c>
      <c r="Y2618" s="164" t="s">
        <v>203</v>
      </c>
      <c r="Z2618" s="164" t="s">
        <v>195</v>
      </c>
      <c r="AA2618" s="164" t="s">
        <v>196</v>
      </c>
      <c r="AB2618" s="164" t="s">
        <v>187</v>
      </c>
      <c r="AC2618" s="164" t="s">
        <v>187</v>
      </c>
      <c r="AD2618" s="165">
        <v>1</v>
      </c>
      <c r="AE2618" s="164" t="s">
        <v>187</v>
      </c>
      <c r="AF2618" s="165">
        <v>27.869243694043899</v>
      </c>
      <c r="AG2618" s="166">
        <v>69.652700202987205</v>
      </c>
      <c r="AO2618" s="121"/>
      <c r="AT2618" s="111"/>
      <c r="AX2618" s="121"/>
    </row>
    <row r="2619" spans="1:50" s="110" customFormat="1" ht="20" customHeight="1">
      <c r="A2619" s="125" t="s">
        <v>231</v>
      </c>
      <c r="B2619" s="126" t="s">
        <v>66</v>
      </c>
      <c r="C2619" s="127">
        <v>17492</v>
      </c>
      <c r="D2619" s="163">
        <v>112907</v>
      </c>
      <c r="E2619" s="164" t="s">
        <v>490</v>
      </c>
      <c r="F2619" s="164" t="s">
        <v>490</v>
      </c>
      <c r="G2619" s="165">
        <v>900</v>
      </c>
      <c r="H2619" s="165">
        <v>1</v>
      </c>
      <c r="I2619" s="164" t="s">
        <v>187</v>
      </c>
      <c r="J2619" s="164" t="s">
        <v>219</v>
      </c>
      <c r="K2619" s="164" t="s">
        <v>220</v>
      </c>
      <c r="L2619" s="165">
        <v>5</v>
      </c>
      <c r="M2619" s="165">
        <v>6</v>
      </c>
      <c r="N2619" s="164" t="s">
        <v>189</v>
      </c>
      <c r="O2619" s="165">
        <v>0</v>
      </c>
      <c r="P2619" s="165">
        <v>0</v>
      </c>
      <c r="Q2619" s="165">
        <v>21</v>
      </c>
      <c r="R2619" s="164" t="s">
        <v>200</v>
      </c>
      <c r="S2619" s="164" t="s">
        <v>201</v>
      </c>
      <c r="T2619" s="165">
        <v>462</v>
      </c>
      <c r="U2619" s="164" t="s">
        <v>200</v>
      </c>
      <c r="V2619" s="164" t="s">
        <v>202</v>
      </c>
      <c r="W2619" s="165">
        <v>2</v>
      </c>
      <c r="X2619" s="165">
        <v>4</v>
      </c>
      <c r="Y2619" s="164" t="s">
        <v>203</v>
      </c>
      <c r="Z2619" s="164" t="s">
        <v>195</v>
      </c>
      <c r="AA2619" s="164" t="s">
        <v>196</v>
      </c>
      <c r="AB2619" s="164" t="s">
        <v>187</v>
      </c>
      <c r="AC2619" s="164" t="s">
        <v>187</v>
      </c>
      <c r="AD2619" s="165">
        <v>1</v>
      </c>
      <c r="AE2619" s="164" t="s">
        <v>187</v>
      </c>
      <c r="AF2619" s="165">
        <v>24.775505198808599</v>
      </c>
      <c r="AG2619" s="166">
        <v>68.761023498392504</v>
      </c>
      <c r="AO2619" s="121"/>
      <c r="AT2619" s="111"/>
      <c r="AX2619" s="121"/>
    </row>
    <row r="2620" spans="1:50" s="110" customFormat="1" ht="20" customHeight="1">
      <c r="A2620" s="125" t="s">
        <v>231</v>
      </c>
      <c r="B2620" s="126" t="s">
        <v>66</v>
      </c>
      <c r="C2620" s="127">
        <v>17608</v>
      </c>
      <c r="D2620" s="163">
        <v>113039</v>
      </c>
      <c r="E2620" s="164" t="s">
        <v>1008</v>
      </c>
      <c r="F2620" s="164" t="s">
        <v>1008</v>
      </c>
      <c r="G2620" s="165">
        <v>900</v>
      </c>
      <c r="H2620" s="165">
        <v>1</v>
      </c>
      <c r="I2620" s="164" t="s">
        <v>187</v>
      </c>
      <c r="J2620" s="164" t="s">
        <v>222</v>
      </c>
      <c r="K2620" s="164" t="s">
        <v>223</v>
      </c>
      <c r="L2620" s="165">
        <v>4</v>
      </c>
      <c r="M2620" s="165">
        <v>6</v>
      </c>
      <c r="N2620" s="164" t="s">
        <v>189</v>
      </c>
      <c r="O2620" s="165">
        <v>0</v>
      </c>
      <c r="P2620" s="165">
        <v>0</v>
      </c>
      <c r="Q2620" s="165">
        <v>21</v>
      </c>
      <c r="R2620" s="164" t="s">
        <v>200</v>
      </c>
      <c r="S2620" s="164" t="s">
        <v>201</v>
      </c>
      <c r="T2620" s="165">
        <v>462</v>
      </c>
      <c r="U2620" s="164" t="s">
        <v>200</v>
      </c>
      <c r="V2620" s="164" t="s">
        <v>202</v>
      </c>
      <c r="W2620" s="165">
        <v>2</v>
      </c>
      <c r="X2620" s="165">
        <v>4</v>
      </c>
      <c r="Y2620" s="164" t="s">
        <v>203</v>
      </c>
      <c r="Z2620" s="164" t="s">
        <v>195</v>
      </c>
      <c r="AA2620" s="164" t="s">
        <v>196</v>
      </c>
      <c r="AB2620" s="164" t="s">
        <v>187</v>
      </c>
      <c r="AC2620" s="164" t="s">
        <v>187</v>
      </c>
      <c r="AD2620" s="165">
        <v>1</v>
      </c>
      <c r="AE2620" s="164" t="s">
        <v>187</v>
      </c>
      <c r="AF2620" s="165">
        <v>30.076277865239302</v>
      </c>
      <c r="AG2620" s="166">
        <v>71.456778161366898</v>
      </c>
      <c r="AO2620" s="121"/>
      <c r="AT2620" s="111"/>
      <c r="AX2620" s="121"/>
    </row>
    <row r="2621" spans="1:50" s="110" customFormat="1" ht="20" customHeight="1">
      <c r="A2621" s="125" t="s">
        <v>231</v>
      </c>
      <c r="B2621" s="126" t="s">
        <v>66</v>
      </c>
      <c r="C2621" s="127">
        <v>21821</v>
      </c>
      <c r="D2621" s="167"/>
      <c r="E2621" s="164" t="s">
        <v>1525</v>
      </c>
      <c r="F2621" s="164" t="s">
        <v>1525</v>
      </c>
      <c r="G2621" s="165">
        <v>900</v>
      </c>
      <c r="H2621" s="165">
        <v>1</v>
      </c>
      <c r="I2621" s="164" t="s">
        <v>187</v>
      </c>
      <c r="J2621" s="164" t="s">
        <v>222</v>
      </c>
      <c r="K2621" s="164" t="s">
        <v>223</v>
      </c>
      <c r="L2621" s="165">
        <v>4</v>
      </c>
      <c r="M2621" s="165">
        <v>6</v>
      </c>
      <c r="N2621" s="164" t="s">
        <v>189</v>
      </c>
      <c r="O2621" s="165">
        <v>0</v>
      </c>
      <c r="P2621" s="165">
        <v>0</v>
      </c>
      <c r="Q2621" s="165">
        <v>21</v>
      </c>
      <c r="R2621" s="164" t="s">
        <v>200</v>
      </c>
      <c r="S2621" s="164" t="s">
        <v>201</v>
      </c>
      <c r="T2621" s="165">
        <v>462</v>
      </c>
      <c r="U2621" s="164" t="s">
        <v>200</v>
      </c>
      <c r="V2621" s="164" t="s">
        <v>202</v>
      </c>
      <c r="W2621" s="165">
        <v>1</v>
      </c>
      <c r="X2621" s="165">
        <v>4</v>
      </c>
      <c r="Y2621" s="164" t="s">
        <v>203</v>
      </c>
      <c r="Z2621" s="164" t="s">
        <v>195</v>
      </c>
      <c r="AA2621" s="164" t="s">
        <v>196</v>
      </c>
      <c r="AB2621" s="164" t="s">
        <v>187</v>
      </c>
      <c r="AC2621" s="164" t="s">
        <v>187</v>
      </c>
      <c r="AD2621" s="165">
        <v>1</v>
      </c>
      <c r="AE2621" s="164" t="s">
        <v>187</v>
      </c>
      <c r="AF2621" s="165">
        <v>32.185169999999999</v>
      </c>
      <c r="AG2621" s="166">
        <v>72.814570000000003</v>
      </c>
      <c r="AO2621" s="121"/>
      <c r="AT2621" s="111"/>
      <c r="AX2621" s="121"/>
    </row>
    <row r="2622" spans="1:50" s="110" customFormat="1" ht="20" customHeight="1">
      <c r="A2622" s="125" t="s">
        <v>231</v>
      </c>
      <c r="B2622" s="126" t="s">
        <v>66</v>
      </c>
      <c r="C2622" s="127">
        <v>17584</v>
      </c>
      <c r="D2622" s="163">
        <v>113013</v>
      </c>
      <c r="E2622" s="164" t="s">
        <v>856</v>
      </c>
      <c r="F2622" s="164" t="s">
        <v>856</v>
      </c>
      <c r="G2622" s="165">
        <v>700</v>
      </c>
      <c r="H2622" s="165">
        <v>1</v>
      </c>
      <c r="I2622" s="164" t="s">
        <v>187</v>
      </c>
      <c r="J2622" s="164" t="s">
        <v>219</v>
      </c>
      <c r="K2622" s="164" t="s">
        <v>220</v>
      </c>
      <c r="L2622" s="165">
        <v>5</v>
      </c>
      <c r="M2622" s="165">
        <v>6</v>
      </c>
      <c r="N2622" s="164" t="s">
        <v>189</v>
      </c>
      <c r="O2622" s="165">
        <v>0</v>
      </c>
      <c r="P2622" s="165">
        <v>0</v>
      </c>
      <c r="Q2622" s="165">
        <v>21</v>
      </c>
      <c r="R2622" s="164" t="s">
        <v>200</v>
      </c>
      <c r="S2622" s="164" t="s">
        <v>201</v>
      </c>
      <c r="T2622" s="165">
        <v>462</v>
      </c>
      <c r="U2622" s="164" t="s">
        <v>200</v>
      </c>
      <c r="V2622" s="164" t="s">
        <v>202</v>
      </c>
      <c r="W2622" s="165">
        <v>2</v>
      </c>
      <c r="X2622" s="165">
        <v>4</v>
      </c>
      <c r="Y2622" s="164" t="s">
        <v>203</v>
      </c>
      <c r="Z2622" s="164" t="s">
        <v>195</v>
      </c>
      <c r="AA2622" s="164" t="s">
        <v>196</v>
      </c>
      <c r="AB2622" s="164" t="s">
        <v>187</v>
      </c>
      <c r="AC2622" s="164" t="s">
        <v>187</v>
      </c>
      <c r="AD2622" s="165">
        <v>1</v>
      </c>
      <c r="AE2622" s="164" t="s">
        <v>187</v>
      </c>
      <c r="AF2622" s="165">
        <v>27.613614968594302</v>
      </c>
      <c r="AG2622" s="166">
        <v>67.807149307978094</v>
      </c>
      <c r="AO2622" s="121"/>
      <c r="AT2622" s="111"/>
      <c r="AX2622" s="121"/>
    </row>
    <row r="2623" spans="1:50" s="110" customFormat="1" ht="20" customHeight="1">
      <c r="A2623" s="125" t="s">
        <v>231</v>
      </c>
      <c r="B2623" s="126" t="s">
        <v>66</v>
      </c>
      <c r="C2623" s="127">
        <v>19459</v>
      </c>
      <c r="D2623" s="163">
        <v>115602</v>
      </c>
      <c r="E2623" s="164" t="s">
        <v>1163</v>
      </c>
      <c r="F2623" s="164" t="s">
        <v>1163</v>
      </c>
      <c r="G2623" s="165">
        <v>700</v>
      </c>
      <c r="H2623" s="165">
        <v>1</v>
      </c>
      <c r="I2623" s="164" t="s">
        <v>187</v>
      </c>
      <c r="J2623" s="164" t="s">
        <v>300</v>
      </c>
      <c r="K2623" s="164" t="s">
        <v>301</v>
      </c>
      <c r="L2623" s="165">
        <v>5</v>
      </c>
      <c r="M2623" s="165">
        <v>6</v>
      </c>
      <c r="N2623" s="164" t="s">
        <v>189</v>
      </c>
      <c r="O2623" s="165">
        <v>0</v>
      </c>
      <c r="P2623" s="165">
        <v>0</v>
      </c>
      <c r="Q2623" s="165">
        <v>21</v>
      </c>
      <c r="R2623" s="164" t="s">
        <v>200</v>
      </c>
      <c r="S2623" s="164" t="s">
        <v>201</v>
      </c>
      <c r="T2623" s="165">
        <v>462</v>
      </c>
      <c r="U2623" s="164" t="s">
        <v>200</v>
      </c>
      <c r="V2623" s="164" t="s">
        <v>202</v>
      </c>
      <c r="W2623" s="165">
        <v>1</v>
      </c>
      <c r="X2623" s="165">
        <v>4</v>
      </c>
      <c r="Y2623" s="164" t="s">
        <v>203</v>
      </c>
      <c r="Z2623" s="164" t="s">
        <v>195</v>
      </c>
      <c r="AA2623" s="164" t="s">
        <v>196</v>
      </c>
      <c r="AB2623" s="164" t="s">
        <v>187</v>
      </c>
      <c r="AC2623" s="164" t="s">
        <v>187</v>
      </c>
      <c r="AD2623" s="165">
        <v>1</v>
      </c>
      <c r="AE2623" s="164" t="s">
        <v>187</v>
      </c>
      <c r="AF2623" s="165">
        <v>34.4909412266</v>
      </c>
      <c r="AG2623" s="166">
        <v>71.356145841599997</v>
      </c>
      <c r="AO2623" s="121"/>
      <c r="AT2623" s="111"/>
      <c r="AX2623" s="121"/>
    </row>
    <row r="2624" spans="1:50" s="110" customFormat="1" ht="20" customHeight="1">
      <c r="A2624" s="125" t="s">
        <v>231</v>
      </c>
      <c r="B2624" s="126" t="s">
        <v>66</v>
      </c>
      <c r="C2624" s="127">
        <v>19426</v>
      </c>
      <c r="D2624" s="163">
        <v>115255</v>
      </c>
      <c r="E2624" s="164" t="s">
        <v>484</v>
      </c>
      <c r="F2624" s="164" t="s">
        <v>484</v>
      </c>
      <c r="G2624" s="165">
        <v>600</v>
      </c>
      <c r="H2624" s="165">
        <v>1</v>
      </c>
      <c r="I2624" s="164" t="s">
        <v>187</v>
      </c>
      <c r="J2624" s="164" t="s">
        <v>222</v>
      </c>
      <c r="K2624" s="164" t="s">
        <v>223</v>
      </c>
      <c r="L2624" s="165">
        <v>4</v>
      </c>
      <c r="M2624" s="165">
        <v>6</v>
      </c>
      <c r="N2624" s="164" t="s">
        <v>189</v>
      </c>
      <c r="O2624" s="165">
        <v>0</v>
      </c>
      <c r="P2624" s="165">
        <v>0</v>
      </c>
      <c r="Q2624" s="165">
        <v>21</v>
      </c>
      <c r="R2624" s="164" t="s">
        <v>200</v>
      </c>
      <c r="S2624" s="164" t="s">
        <v>201</v>
      </c>
      <c r="T2624" s="165">
        <v>462</v>
      </c>
      <c r="U2624" s="164" t="s">
        <v>200</v>
      </c>
      <c r="V2624" s="164" t="s">
        <v>202</v>
      </c>
      <c r="W2624" s="165">
        <v>1</v>
      </c>
      <c r="X2624" s="165">
        <v>4</v>
      </c>
      <c r="Y2624" s="164" t="s">
        <v>203</v>
      </c>
      <c r="Z2624" s="164" t="s">
        <v>195</v>
      </c>
      <c r="AA2624" s="164" t="s">
        <v>196</v>
      </c>
      <c r="AB2624" s="164" t="s">
        <v>187</v>
      </c>
      <c r="AC2624" s="164" t="s">
        <v>187</v>
      </c>
      <c r="AD2624" s="165">
        <v>1</v>
      </c>
      <c r="AE2624" s="164" t="s">
        <v>187</v>
      </c>
      <c r="AF2624" s="165">
        <v>32.0967868557359</v>
      </c>
      <c r="AG2624" s="166">
        <v>74.228165840970902</v>
      </c>
      <c r="AO2624" s="121"/>
      <c r="AT2624" s="111"/>
      <c r="AX2624" s="121"/>
    </row>
    <row r="2625" spans="1:50" s="110" customFormat="1" ht="20" customHeight="1">
      <c r="A2625" s="125" t="s">
        <v>231</v>
      </c>
      <c r="B2625" s="126" t="s">
        <v>66</v>
      </c>
      <c r="C2625" s="127">
        <v>17491</v>
      </c>
      <c r="D2625" s="163">
        <v>112906</v>
      </c>
      <c r="E2625" s="164" t="s">
        <v>499</v>
      </c>
      <c r="F2625" s="164" t="s">
        <v>499</v>
      </c>
      <c r="G2625" s="165">
        <v>600</v>
      </c>
      <c r="H2625" s="165">
        <v>1</v>
      </c>
      <c r="I2625" s="164" t="s">
        <v>187</v>
      </c>
      <c r="J2625" s="164" t="s">
        <v>219</v>
      </c>
      <c r="K2625" s="164" t="s">
        <v>220</v>
      </c>
      <c r="L2625" s="165">
        <v>5</v>
      </c>
      <c r="M2625" s="165">
        <v>6</v>
      </c>
      <c r="N2625" s="164" t="s">
        <v>189</v>
      </c>
      <c r="O2625" s="165">
        <v>0</v>
      </c>
      <c r="P2625" s="165">
        <v>0</v>
      </c>
      <c r="Q2625" s="165">
        <v>21</v>
      </c>
      <c r="R2625" s="164" t="s">
        <v>200</v>
      </c>
      <c r="S2625" s="164" t="s">
        <v>201</v>
      </c>
      <c r="T2625" s="165">
        <v>462</v>
      </c>
      <c r="U2625" s="164" t="s">
        <v>200</v>
      </c>
      <c r="V2625" s="164" t="s">
        <v>202</v>
      </c>
      <c r="W2625" s="165">
        <v>3</v>
      </c>
      <c r="X2625" s="165">
        <v>4</v>
      </c>
      <c r="Y2625" s="164" t="s">
        <v>203</v>
      </c>
      <c r="Z2625" s="164" t="s">
        <v>195</v>
      </c>
      <c r="AA2625" s="164" t="s">
        <v>196</v>
      </c>
      <c r="AB2625" s="164" t="s">
        <v>187</v>
      </c>
      <c r="AC2625" s="164" t="s">
        <v>187</v>
      </c>
      <c r="AD2625" s="165">
        <v>1</v>
      </c>
      <c r="AE2625" s="164" t="s">
        <v>187</v>
      </c>
      <c r="AF2625" s="165">
        <v>25.491261005089601</v>
      </c>
      <c r="AG2625" s="166">
        <v>68.510579517135696</v>
      </c>
      <c r="AO2625" s="121"/>
      <c r="AT2625" s="111"/>
      <c r="AX2625" s="121"/>
    </row>
    <row r="2626" spans="1:50" s="110" customFormat="1" ht="20" customHeight="1">
      <c r="A2626" s="125" t="s">
        <v>231</v>
      </c>
      <c r="B2626" s="126" t="s">
        <v>66</v>
      </c>
      <c r="C2626" s="127">
        <v>20367</v>
      </c>
      <c r="D2626" s="163">
        <v>116119</v>
      </c>
      <c r="E2626" s="164" t="s">
        <v>837</v>
      </c>
      <c r="F2626" s="164" t="s">
        <v>837</v>
      </c>
      <c r="G2626" s="165">
        <v>600</v>
      </c>
      <c r="H2626" s="165">
        <v>1</v>
      </c>
      <c r="I2626" s="164" t="s">
        <v>187</v>
      </c>
      <c r="J2626" s="164" t="s">
        <v>222</v>
      </c>
      <c r="K2626" s="164" t="s">
        <v>223</v>
      </c>
      <c r="L2626" s="165">
        <v>4</v>
      </c>
      <c r="M2626" s="165">
        <v>6</v>
      </c>
      <c r="N2626" s="164" t="s">
        <v>189</v>
      </c>
      <c r="O2626" s="165">
        <v>0</v>
      </c>
      <c r="P2626" s="165">
        <v>0</v>
      </c>
      <c r="Q2626" s="165">
        <v>21</v>
      </c>
      <c r="R2626" s="164" t="s">
        <v>200</v>
      </c>
      <c r="S2626" s="164" t="s">
        <v>201</v>
      </c>
      <c r="T2626" s="165">
        <v>462</v>
      </c>
      <c r="U2626" s="164" t="s">
        <v>200</v>
      </c>
      <c r="V2626" s="164" t="s">
        <v>202</v>
      </c>
      <c r="W2626" s="165">
        <v>1</v>
      </c>
      <c r="X2626" s="165">
        <v>4</v>
      </c>
      <c r="Y2626" s="164" t="s">
        <v>203</v>
      </c>
      <c r="Z2626" s="164" t="s">
        <v>195</v>
      </c>
      <c r="AA2626" s="164" t="s">
        <v>196</v>
      </c>
      <c r="AB2626" s="164" t="s">
        <v>187</v>
      </c>
      <c r="AC2626" s="164" t="s">
        <v>187</v>
      </c>
      <c r="AD2626" s="165">
        <v>1</v>
      </c>
      <c r="AE2626" s="164" t="s">
        <v>187</v>
      </c>
      <c r="AF2626" s="165">
        <v>31.741889449986399</v>
      </c>
      <c r="AG2626" s="166">
        <v>71.411051477323795</v>
      </c>
      <c r="AO2626" s="121"/>
      <c r="AT2626" s="111"/>
      <c r="AX2626" s="121"/>
    </row>
    <row r="2627" spans="1:50" s="110" customFormat="1" ht="20" customHeight="1">
      <c r="A2627" s="125" t="s">
        <v>231</v>
      </c>
      <c r="B2627" s="126" t="s">
        <v>66</v>
      </c>
      <c r="C2627" s="127">
        <v>17574</v>
      </c>
      <c r="D2627" s="163">
        <v>113001</v>
      </c>
      <c r="E2627" s="164" t="s">
        <v>853</v>
      </c>
      <c r="F2627" s="164" t="s">
        <v>853</v>
      </c>
      <c r="G2627" s="165">
        <v>600</v>
      </c>
      <c r="H2627" s="165">
        <v>1</v>
      </c>
      <c r="I2627" s="164" t="s">
        <v>187</v>
      </c>
      <c r="J2627" s="164" t="s">
        <v>216</v>
      </c>
      <c r="K2627" s="164" t="s">
        <v>217</v>
      </c>
      <c r="L2627" s="165">
        <v>5</v>
      </c>
      <c r="M2627" s="165">
        <v>6</v>
      </c>
      <c r="N2627" s="164" t="s">
        <v>189</v>
      </c>
      <c r="O2627" s="165">
        <v>0</v>
      </c>
      <c r="P2627" s="165">
        <v>0</v>
      </c>
      <c r="Q2627" s="165">
        <v>21</v>
      </c>
      <c r="R2627" s="164" t="s">
        <v>200</v>
      </c>
      <c r="S2627" s="164" t="s">
        <v>201</v>
      </c>
      <c r="T2627" s="165">
        <v>462</v>
      </c>
      <c r="U2627" s="164" t="s">
        <v>200</v>
      </c>
      <c r="V2627" s="164" t="s">
        <v>202</v>
      </c>
      <c r="W2627" s="165">
        <v>2</v>
      </c>
      <c r="X2627" s="165">
        <v>4</v>
      </c>
      <c r="Y2627" s="164" t="s">
        <v>203</v>
      </c>
      <c r="Z2627" s="164" t="s">
        <v>195</v>
      </c>
      <c r="AA2627" s="164" t="s">
        <v>196</v>
      </c>
      <c r="AB2627" s="164" t="s">
        <v>187</v>
      </c>
      <c r="AC2627" s="164" t="s">
        <v>187</v>
      </c>
      <c r="AD2627" s="165">
        <v>1</v>
      </c>
      <c r="AE2627" s="164" t="s">
        <v>187</v>
      </c>
      <c r="AF2627" s="165">
        <v>33.984345853777299</v>
      </c>
      <c r="AG2627" s="166">
        <v>71.5643764938023</v>
      </c>
      <c r="AO2627" s="121"/>
      <c r="AT2627" s="111"/>
      <c r="AX2627" s="121"/>
    </row>
    <row r="2628" spans="1:50" s="110" customFormat="1" ht="20" customHeight="1">
      <c r="A2628" s="125" t="s">
        <v>231</v>
      </c>
      <c r="B2628" s="126" t="s">
        <v>66</v>
      </c>
      <c r="C2628" s="127">
        <v>19420</v>
      </c>
      <c r="D2628" s="163">
        <v>115243</v>
      </c>
      <c r="E2628" s="164" t="s">
        <v>299</v>
      </c>
      <c r="F2628" s="164" t="s">
        <v>299</v>
      </c>
      <c r="G2628" s="165">
        <v>500</v>
      </c>
      <c r="H2628" s="165">
        <v>1</v>
      </c>
      <c r="I2628" s="164" t="s">
        <v>187</v>
      </c>
      <c r="J2628" s="164" t="s">
        <v>300</v>
      </c>
      <c r="K2628" s="164" t="s">
        <v>301</v>
      </c>
      <c r="L2628" s="165">
        <v>5</v>
      </c>
      <c r="M2628" s="165">
        <v>6</v>
      </c>
      <c r="N2628" s="164" t="s">
        <v>189</v>
      </c>
      <c r="O2628" s="165">
        <v>0</v>
      </c>
      <c r="P2628" s="165">
        <v>0</v>
      </c>
      <c r="Q2628" s="165">
        <v>21</v>
      </c>
      <c r="R2628" s="164" t="s">
        <v>200</v>
      </c>
      <c r="S2628" s="164" t="s">
        <v>201</v>
      </c>
      <c r="T2628" s="165">
        <v>462</v>
      </c>
      <c r="U2628" s="164" t="s">
        <v>200</v>
      </c>
      <c r="V2628" s="164" t="s">
        <v>202</v>
      </c>
      <c r="W2628" s="165">
        <v>1</v>
      </c>
      <c r="X2628" s="165">
        <v>4</v>
      </c>
      <c r="Y2628" s="164" t="s">
        <v>203</v>
      </c>
      <c r="Z2628" s="164" t="s">
        <v>195</v>
      </c>
      <c r="AA2628" s="164" t="s">
        <v>196</v>
      </c>
      <c r="AB2628" s="164" t="s">
        <v>187</v>
      </c>
      <c r="AC2628" s="164" t="s">
        <v>187</v>
      </c>
      <c r="AD2628" s="165">
        <v>1</v>
      </c>
      <c r="AE2628" s="164" t="s">
        <v>187</v>
      </c>
      <c r="AF2628" s="165">
        <v>33.983741103471999</v>
      </c>
      <c r="AG2628" s="166">
        <v>71.568848168757398</v>
      </c>
      <c r="AO2628" s="121"/>
      <c r="AT2628" s="111"/>
      <c r="AX2628" s="121"/>
    </row>
    <row r="2629" spans="1:50" s="110" customFormat="1" ht="20" customHeight="1">
      <c r="A2629" s="125" t="s">
        <v>231</v>
      </c>
      <c r="B2629" s="126" t="s">
        <v>66</v>
      </c>
      <c r="C2629" s="127">
        <v>17564</v>
      </c>
      <c r="D2629" s="163">
        <v>112990</v>
      </c>
      <c r="E2629" s="164" t="s">
        <v>1132</v>
      </c>
      <c r="F2629" s="164" t="s">
        <v>1132</v>
      </c>
      <c r="G2629" s="165">
        <v>500</v>
      </c>
      <c r="H2629" s="165">
        <v>1</v>
      </c>
      <c r="I2629" s="164" t="s">
        <v>187</v>
      </c>
      <c r="J2629" s="164" t="s">
        <v>650</v>
      </c>
      <c r="K2629" s="164" t="s">
        <v>651</v>
      </c>
      <c r="L2629" s="165">
        <v>3</v>
      </c>
      <c r="M2629" s="165">
        <v>6</v>
      </c>
      <c r="N2629" s="164" t="s">
        <v>189</v>
      </c>
      <c r="O2629" s="165">
        <v>0</v>
      </c>
      <c r="P2629" s="165">
        <v>0</v>
      </c>
      <c r="Q2629" s="165">
        <v>21</v>
      </c>
      <c r="R2629" s="164" t="s">
        <v>200</v>
      </c>
      <c r="S2629" s="164" t="s">
        <v>201</v>
      </c>
      <c r="T2629" s="165">
        <v>462</v>
      </c>
      <c r="U2629" s="164" t="s">
        <v>200</v>
      </c>
      <c r="V2629" s="164" t="s">
        <v>202</v>
      </c>
      <c r="W2629" s="165">
        <v>3</v>
      </c>
      <c r="X2629" s="165">
        <v>4</v>
      </c>
      <c r="Y2629" s="164" t="s">
        <v>203</v>
      </c>
      <c r="Z2629" s="164" t="s">
        <v>195</v>
      </c>
      <c r="AA2629" s="164" t="s">
        <v>196</v>
      </c>
      <c r="AB2629" s="164" t="s">
        <v>187</v>
      </c>
      <c r="AC2629" s="164" t="s">
        <v>187</v>
      </c>
      <c r="AD2629" s="165">
        <v>1</v>
      </c>
      <c r="AE2629" s="164" t="s">
        <v>187</v>
      </c>
      <c r="AF2629" s="165">
        <v>36.265322580802199</v>
      </c>
      <c r="AG2629" s="166">
        <v>73.467261629998802</v>
      </c>
      <c r="AO2629" s="121"/>
      <c r="AT2629" s="111"/>
      <c r="AX2629" s="121"/>
    </row>
    <row r="2630" spans="1:50" s="110" customFormat="1" ht="20" customHeight="1">
      <c r="A2630" s="125" t="s">
        <v>231</v>
      </c>
      <c r="B2630" s="126" t="s">
        <v>66</v>
      </c>
      <c r="C2630" s="127">
        <v>17679</v>
      </c>
      <c r="D2630" s="163">
        <v>113124</v>
      </c>
      <c r="E2630" s="164" t="s">
        <v>1368</v>
      </c>
      <c r="F2630" s="164" t="s">
        <v>1368</v>
      </c>
      <c r="G2630" s="165">
        <v>500</v>
      </c>
      <c r="H2630" s="165">
        <v>1</v>
      </c>
      <c r="I2630" s="164" t="s">
        <v>187</v>
      </c>
      <c r="J2630" s="164" t="s">
        <v>216</v>
      </c>
      <c r="K2630" s="164" t="s">
        <v>217</v>
      </c>
      <c r="L2630" s="165">
        <v>5</v>
      </c>
      <c r="M2630" s="165">
        <v>6</v>
      </c>
      <c r="N2630" s="164" t="s">
        <v>189</v>
      </c>
      <c r="O2630" s="165">
        <v>0</v>
      </c>
      <c r="P2630" s="165">
        <v>0</v>
      </c>
      <c r="Q2630" s="165">
        <v>21</v>
      </c>
      <c r="R2630" s="164" t="s">
        <v>200</v>
      </c>
      <c r="S2630" s="164" t="s">
        <v>201</v>
      </c>
      <c r="T2630" s="165">
        <v>462</v>
      </c>
      <c r="U2630" s="164" t="s">
        <v>200</v>
      </c>
      <c r="V2630" s="164" t="s">
        <v>202</v>
      </c>
      <c r="W2630" s="165">
        <v>2</v>
      </c>
      <c r="X2630" s="165">
        <v>4</v>
      </c>
      <c r="Y2630" s="164" t="s">
        <v>203</v>
      </c>
      <c r="Z2630" s="164" t="s">
        <v>195</v>
      </c>
      <c r="AA2630" s="164" t="s">
        <v>196</v>
      </c>
      <c r="AB2630" s="164" t="s">
        <v>187</v>
      </c>
      <c r="AC2630" s="164" t="s">
        <v>187</v>
      </c>
      <c r="AD2630" s="165">
        <v>1</v>
      </c>
      <c r="AE2630" s="164" t="s">
        <v>187</v>
      </c>
      <c r="AF2630" s="165">
        <v>25.4928105014307</v>
      </c>
      <c r="AG2630" s="166">
        <v>68.515968581373599</v>
      </c>
      <c r="AO2630" s="121"/>
      <c r="AT2630" s="111"/>
      <c r="AX2630" s="121"/>
    </row>
    <row r="2631" spans="1:50" s="110" customFormat="1" ht="20" customHeight="1">
      <c r="A2631" s="125" t="s">
        <v>231</v>
      </c>
      <c r="B2631" s="126" t="s">
        <v>66</v>
      </c>
      <c r="C2631" s="127">
        <v>16466</v>
      </c>
      <c r="D2631" s="163">
        <v>111631</v>
      </c>
      <c r="E2631" s="164" t="s">
        <v>510</v>
      </c>
      <c r="F2631" s="164" t="s">
        <v>510</v>
      </c>
      <c r="G2631" s="165">
        <v>400</v>
      </c>
      <c r="H2631" s="165">
        <v>1</v>
      </c>
      <c r="I2631" s="164" t="s">
        <v>187</v>
      </c>
      <c r="J2631" s="164" t="s">
        <v>216</v>
      </c>
      <c r="K2631" s="164" t="s">
        <v>217</v>
      </c>
      <c r="L2631" s="165">
        <v>5</v>
      </c>
      <c r="M2631" s="165">
        <v>6</v>
      </c>
      <c r="N2631" s="164" t="s">
        <v>189</v>
      </c>
      <c r="O2631" s="165">
        <v>0</v>
      </c>
      <c r="P2631" s="165">
        <v>0</v>
      </c>
      <c r="Q2631" s="165">
        <v>21</v>
      </c>
      <c r="R2631" s="164" t="s">
        <v>200</v>
      </c>
      <c r="S2631" s="164" t="s">
        <v>201</v>
      </c>
      <c r="T2631" s="165">
        <v>462</v>
      </c>
      <c r="U2631" s="164" t="s">
        <v>200</v>
      </c>
      <c r="V2631" s="164" t="s">
        <v>202</v>
      </c>
      <c r="W2631" s="165">
        <v>2</v>
      </c>
      <c r="X2631" s="165">
        <v>4</v>
      </c>
      <c r="Y2631" s="164" t="s">
        <v>203</v>
      </c>
      <c r="Z2631" s="164" t="s">
        <v>195</v>
      </c>
      <c r="AA2631" s="164" t="s">
        <v>196</v>
      </c>
      <c r="AB2631" s="164" t="s">
        <v>187</v>
      </c>
      <c r="AC2631" s="164" t="s">
        <v>187</v>
      </c>
      <c r="AD2631" s="165">
        <v>1</v>
      </c>
      <c r="AE2631" s="164" t="s">
        <v>187</v>
      </c>
      <c r="AF2631" s="165">
        <v>25.493245596142302</v>
      </c>
      <c r="AG2631" s="166">
        <v>68.516273474641295</v>
      </c>
      <c r="AO2631" s="121"/>
      <c r="AT2631" s="111"/>
      <c r="AX2631" s="121"/>
    </row>
    <row r="2632" spans="1:50" s="110" customFormat="1" ht="20" customHeight="1">
      <c r="A2632" s="125" t="s">
        <v>231</v>
      </c>
      <c r="B2632" s="126" t="s">
        <v>66</v>
      </c>
      <c r="C2632" s="127">
        <v>17179</v>
      </c>
      <c r="D2632" s="163">
        <v>112535</v>
      </c>
      <c r="E2632" s="164" t="s">
        <v>925</v>
      </c>
      <c r="F2632" s="164" t="s">
        <v>925</v>
      </c>
      <c r="G2632" s="165">
        <v>400</v>
      </c>
      <c r="H2632" s="165">
        <v>1</v>
      </c>
      <c r="I2632" s="164" t="s">
        <v>187</v>
      </c>
      <c r="J2632" s="164" t="s">
        <v>584</v>
      </c>
      <c r="K2632" s="164" t="s">
        <v>585</v>
      </c>
      <c r="L2632" s="165">
        <v>0</v>
      </c>
      <c r="M2632" s="165">
        <v>6</v>
      </c>
      <c r="N2632" s="164" t="s">
        <v>189</v>
      </c>
      <c r="O2632" s="165">
        <v>0</v>
      </c>
      <c r="P2632" s="165">
        <v>0</v>
      </c>
      <c r="Q2632" s="165">
        <v>21</v>
      </c>
      <c r="R2632" s="164" t="s">
        <v>200</v>
      </c>
      <c r="S2632" s="164" t="s">
        <v>201</v>
      </c>
      <c r="T2632" s="165">
        <v>462</v>
      </c>
      <c r="U2632" s="164" t="s">
        <v>200</v>
      </c>
      <c r="V2632" s="164" t="s">
        <v>202</v>
      </c>
      <c r="W2632" s="165">
        <v>2</v>
      </c>
      <c r="X2632" s="165">
        <v>4</v>
      </c>
      <c r="Y2632" s="164" t="s">
        <v>203</v>
      </c>
      <c r="Z2632" s="164" t="s">
        <v>195</v>
      </c>
      <c r="AA2632" s="164" t="s">
        <v>196</v>
      </c>
      <c r="AB2632" s="164" t="s">
        <v>187</v>
      </c>
      <c r="AC2632" s="164" t="s">
        <v>187</v>
      </c>
      <c r="AD2632" s="165">
        <v>1</v>
      </c>
      <c r="AE2632" s="164" t="s">
        <v>187</v>
      </c>
      <c r="AF2632" s="165">
        <v>36.265194298070803</v>
      </c>
      <c r="AG2632" s="166">
        <v>73.464969790608393</v>
      </c>
      <c r="AO2632" s="121"/>
      <c r="AT2632" s="111"/>
      <c r="AX2632" s="121"/>
    </row>
    <row r="2633" spans="1:50" s="110" customFormat="1" ht="20" customHeight="1">
      <c r="A2633" s="125" t="s">
        <v>231</v>
      </c>
      <c r="B2633" s="126" t="s">
        <v>66</v>
      </c>
      <c r="C2633" s="127">
        <v>17594</v>
      </c>
      <c r="D2633" s="163">
        <v>113024</v>
      </c>
      <c r="E2633" s="164" t="s">
        <v>939</v>
      </c>
      <c r="F2633" s="164" t="s">
        <v>939</v>
      </c>
      <c r="G2633" s="165">
        <v>400</v>
      </c>
      <c r="H2633" s="165">
        <v>1</v>
      </c>
      <c r="I2633" s="164" t="s">
        <v>187</v>
      </c>
      <c r="J2633" s="164" t="s">
        <v>216</v>
      </c>
      <c r="K2633" s="164" t="s">
        <v>217</v>
      </c>
      <c r="L2633" s="165">
        <v>5</v>
      </c>
      <c r="M2633" s="165">
        <v>6</v>
      </c>
      <c r="N2633" s="164" t="s">
        <v>189</v>
      </c>
      <c r="O2633" s="165">
        <v>0</v>
      </c>
      <c r="P2633" s="165">
        <v>0</v>
      </c>
      <c r="Q2633" s="165">
        <v>21</v>
      </c>
      <c r="R2633" s="164" t="s">
        <v>200</v>
      </c>
      <c r="S2633" s="164" t="s">
        <v>201</v>
      </c>
      <c r="T2633" s="165">
        <v>462</v>
      </c>
      <c r="U2633" s="164" t="s">
        <v>200</v>
      </c>
      <c r="V2633" s="164" t="s">
        <v>202</v>
      </c>
      <c r="W2633" s="165">
        <v>2</v>
      </c>
      <c r="X2633" s="165">
        <v>4</v>
      </c>
      <c r="Y2633" s="164" t="s">
        <v>203</v>
      </c>
      <c r="Z2633" s="164" t="s">
        <v>195</v>
      </c>
      <c r="AA2633" s="164" t="s">
        <v>196</v>
      </c>
      <c r="AB2633" s="164" t="s">
        <v>187</v>
      </c>
      <c r="AC2633" s="164" t="s">
        <v>187</v>
      </c>
      <c r="AD2633" s="165">
        <v>1</v>
      </c>
      <c r="AE2633" s="164" t="s">
        <v>187</v>
      </c>
      <c r="AF2633" s="165">
        <v>26.254377568199999</v>
      </c>
      <c r="AG2633" s="166">
        <v>67.664938945299994</v>
      </c>
      <c r="AO2633" s="121"/>
      <c r="AT2633" s="111"/>
      <c r="AX2633" s="121"/>
    </row>
    <row r="2634" spans="1:50" s="110" customFormat="1" ht="20" customHeight="1">
      <c r="A2634" s="125" t="s">
        <v>231</v>
      </c>
      <c r="B2634" s="126" t="s">
        <v>66</v>
      </c>
      <c r="C2634" s="127">
        <v>19923</v>
      </c>
      <c r="D2634" s="163">
        <v>115693</v>
      </c>
      <c r="E2634" s="164" t="s">
        <v>449</v>
      </c>
      <c r="F2634" s="164" t="s">
        <v>449</v>
      </c>
      <c r="G2634" s="165">
        <v>300</v>
      </c>
      <c r="H2634" s="165">
        <v>1</v>
      </c>
      <c r="I2634" s="164" t="s">
        <v>187</v>
      </c>
      <c r="J2634" s="164" t="s">
        <v>293</v>
      </c>
      <c r="K2634" s="164" t="s">
        <v>294</v>
      </c>
      <c r="L2634" s="165">
        <v>3</v>
      </c>
      <c r="M2634" s="165">
        <v>6</v>
      </c>
      <c r="N2634" s="164" t="s">
        <v>189</v>
      </c>
      <c r="O2634" s="165">
        <v>0</v>
      </c>
      <c r="P2634" s="165">
        <v>0</v>
      </c>
      <c r="Q2634" s="165">
        <v>21</v>
      </c>
      <c r="R2634" s="164" t="s">
        <v>200</v>
      </c>
      <c r="S2634" s="164" t="s">
        <v>201</v>
      </c>
      <c r="T2634" s="165">
        <v>462</v>
      </c>
      <c r="U2634" s="164" t="s">
        <v>200</v>
      </c>
      <c r="V2634" s="164" t="s">
        <v>202</v>
      </c>
      <c r="W2634" s="165">
        <v>1</v>
      </c>
      <c r="X2634" s="165">
        <v>4</v>
      </c>
      <c r="Y2634" s="164" t="s">
        <v>203</v>
      </c>
      <c r="Z2634" s="164" t="s">
        <v>195</v>
      </c>
      <c r="AA2634" s="164" t="s">
        <v>196</v>
      </c>
      <c r="AB2634" s="164" t="s">
        <v>187</v>
      </c>
      <c r="AC2634" s="164" t="s">
        <v>187</v>
      </c>
      <c r="AD2634" s="165">
        <v>1</v>
      </c>
      <c r="AE2634" s="164" t="s">
        <v>187</v>
      </c>
      <c r="AF2634" s="165">
        <v>35.432270000000003</v>
      </c>
      <c r="AG2634" s="166">
        <v>76.797870000000003</v>
      </c>
      <c r="AO2634" s="121"/>
      <c r="AT2634" s="111"/>
      <c r="AX2634" s="121"/>
    </row>
    <row r="2635" spans="1:50" s="110" customFormat="1" ht="20" customHeight="1">
      <c r="A2635" s="125" t="s">
        <v>231</v>
      </c>
      <c r="B2635" s="126" t="s">
        <v>66</v>
      </c>
      <c r="C2635" s="127">
        <v>16376</v>
      </c>
      <c r="D2635" s="163">
        <v>111518</v>
      </c>
      <c r="E2635" s="164" t="s">
        <v>457</v>
      </c>
      <c r="F2635" s="164" t="s">
        <v>457</v>
      </c>
      <c r="G2635" s="165">
        <v>300</v>
      </c>
      <c r="H2635" s="165">
        <v>1</v>
      </c>
      <c r="I2635" s="164" t="s">
        <v>187</v>
      </c>
      <c r="J2635" s="164" t="s">
        <v>219</v>
      </c>
      <c r="K2635" s="164" t="s">
        <v>220</v>
      </c>
      <c r="L2635" s="165">
        <v>5</v>
      </c>
      <c r="M2635" s="165">
        <v>6</v>
      </c>
      <c r="N2635" s="164" t="s">
        <v>189</v>
      </c>
      <c r="O2635" s="165">
        <v>0</v>
      </c>
      <c r="P2635" s="165">
        <v>0</v>
      </c>
      <c r="Q2635" s="165">
        <v>21</v>
      </c>
      <c r="R2635" s="164" t="s">
        <v>200</v>
      </c>
      <c r="S2635" s="164" t="s">
        <v>201</v>
      </c>
      <c r="T2635" s="165">
        <v>462</v>
      </c>
      <c r="U2635" s="164" t="s">
        <v>200</v>
      </c>
      <c r="V2635" s="164" t="s">
        <v>202</v>
      </c>
      <c r="W2635" s="165">
        <v>2</v>
      </c>
      <c r="X2635" s="165">
        <v>4</v>
      </c>
      <c r="Y2635" s="164" t="s">
        <v>203</v>
      </c>
      <c r="Z2635" s="164" t="s">
        <v>195</v>
      </c>
      <c r="AA2635" s="164" t="s">
        <v>196</v>
      </c>
      <c r="AB2635" s="164" t="s">
        <v>187</v>
      </c>
      <c r="AC2635" s="164" t="s">
        <v>187</v>
      </c>
      <c r="AD2635" s="165">
        <v>1</v>
      </c>
      <c r="AE2635" s="164" t="s">
        <v>187</v>
      </c>
      <c r="AF2635" s="165">
        <v>25.498421584330199</v>
      </c>
      <c r="AG2635" s="166">
        <v>68.511113506917894</v>
      </c>
      <c r="AO2635" s="121"/>
      <c r="AT2635" s="111"/>
      <c r="AX2635" s="121"/>
    </row>
    <row r="2636" spans="1:50" s="110" customFormat="1" ht="20" customHeight="1">
      <c r="A2636" s="125" t="s">
        <v>231</v>
      </c>
      <c r="B2636" s="126" t="s">
        <v>66</v>
      </c>
      <c r="C2636" s="127">
        <v>16462</v>
      </c>
      <c r="D2636" s="163">
        <v>111626</v>
      </c>
      <c r="E2636" s="164" t="s">
        <v>497</v>
      </c>
      <c r="F2636" s="164" t="s">
        <v>497</v>
      </c>
      <c r="G2636" s="165">
        <v>300</v>
      </c>
      <c r="H2636" s="165">
        <v>1</v>
      </c>
      <c r="I2636" s="164" t="s">
        <v>187</v>
      </c>
      <c r="J2636" s="164" t="s">
        <v>216</v>
      </c>
      <c r="K2636" s="164" t="s">
        <v>217</v>
      </c>
      <c r="L2636" s="165">
        <v>5</v>
      </c>
      <c r="M2636" s="165">
        <v>6</v>
      </c>
      <c r="N2636" s="164" t="s">
        <v>189</v>
      </c>
      <c r="O2636" s="165">
        <v>0</v>
      </c>
      <c r="P2636" s="165">
        <v>0</v>
      </c>
      <c r="Q2636" s="165">
        <v>21</v>
      </c>
      <c r="R2636" s="164" t="s">
        <v>200</v>
      </c>
      <c r="S2636" s="164" t="s">
        <v>201</v>
      </c>
      <c r="T2636" s="165">
        <v>462</v>
      </c>
      <c r="U2636" s="164" t="s">
        <v>200</v>
      </c>
      <c r="V2636" s="164" t="s">
        <v>202</v>
      </c>
      <c r="W2636" s="165">
        <v>2</v>
      </c>
      <c r="X2636" s="165">
        <v>4</v>
      </c>
      <c r="Y2636" s="164" t="s">
        <v>203</v>
      </c>
      <c r="Z2636" s="164" t="s">
        <v>195</v>
      </c>
      <c r="AA2636" s="164" t="s">
        <v>196</v>
      </c>
      <c r="AB2636" s="164" t="s">
        <v>187</v>
      </c>
      <c r="AC2636" s="164" t="s">
        <v>187</v>
      </c>
      <c r="AD2636" s="165">
        <v>1</v>
      </c>
      <c r="AE2636" s="164" t="s">
        <v>187</v>
      </c>
      <c r="AF2636" s="165">
        <v>33.524770178217899</v>
      </c>
      <c r="AG2636" s="166">
        <v>73.919542290579599</v>
      </c>
      <c r="AO2636" s="121"/>
      <c r="AT2636" s="111"/>
      <c r="AX2636" s="121"/>
    </row>
    <row r="2637" spans="1:50" s="110" customFormat="1" ht="20" customHeight="1">
      <c r="A2637" s="125" t="s">
        <v>231</v>
      </c>
      <c r="B2637" s="126" t="s">
        <v>66</v>
      </c>
      <c r="C2637" s="127">
        <v>19479</v>
      </c>
      <c r="D2637" s="163">
        <v>115617</v>
      </c>
      <c r="E2637" s="164" t="s">
        <v>586</v>
      </c>
      <c r="F2637" s="164" t="s">
        <v>586</v>
      </c>
      <c r="G2637" s="165">
        <v>300</v>
      </c>
      <c r="H2637" s="165">
        <v>1</v>
      </c>
      <c r="I2637" s="164" t="s">
        <v>187</v>
      </c>
      <c r="J2637" s="164" t="s">
        <v>216</v>
      </c>
      <c r="K2637" s="164" t="s">
        <v>217</v>
      </c>
      <c r="L2637" s="165">
        <v>5</v>
      </c>
      <c r="M2637" s="165">
        <v>6</v>
      </c>
      <c r="N2637" s="164" t="s">
        <v>189</v>
      </c>
      <c r="O2637" s="165">
        <v>0</v>
      </c>
      <c r="P2637" s="165">
        <v>0</v>
      </c>
      <c r="Q2637" s="165">
        <v>21</v>
      </c>
      <c r="R2637" s="164" t="s">
        <v>200</v>
      </c>
      <c r="S2637" s="164" t="s">
        <v>201</v>
      </c>
      <c r="T2637" s="165">
        <v>462</v>
      </c>
      <c r="U2637" s="164" t="s">
        <v>200</v>
      </c>
      <c r="V2637" s="164" t="s">
        <v>202</v>
      </c>
      <c r="W2637" s="165">
        <v>1</v>
      </c>
      <c r="X2637" s="165">
        <v>4</v>
      </c>
      <c r="Y2637" s="164" t="s">
        <v>203</v>
      </c>
      <c r="Z2637" s="164" t="s">
        <v>195</v>
      </c>
      <c r="AA2637" s="164" t="s">
        <v>196</v>
      </c>
      <c r="AB2637" s="164" t="s">
        <v>187</v>
      </c>
      <c r="AC2637" s="164" t="s">
        <v>187</v>
      </c>
      <c r="AD2637" s="165">
        <v>1</v>
      </c>
      <c r="AE2637" s="164" t="s">
        <v>187</v>
      </c>
      <c r="AF2637" s="165">
        <v>25.495511433709499</v>
      </c>
      <c r="AG2637" s="166">
        <v>68.5079660767788</v>
      </c>
      <c r="AO2637" s="121"/>
      <c r="AT2637" s="111"/>
      <c r="AX2637" s="121"/>
    </row>
    <row r="2638" spans="1:50" s="110" customFormat="1" ht="20" customHeight="1">
      <c r="A2638" s="125" t="s">
        <v>231</v>
      </c>
      <c r="B2638" s="126" t="s">
        <v>66</v>
      </c>
      <c r="C2638" s="127">
        <v>17520</v>
      </c>
      <c r="D2638" s="163">
        <v>112938</v>
      </c>
      <c r="E2638" s="164" t="s">
        <v>645</v>
      </c>
      <c r="F2638" s="164" t="s">
        <v>646</v>
      </c>
      <c r="G2638" s="165">
        <v>300</v>
      </c>
      <c r="H2638" s="165">
        <v>1</v>
      </c>
      <c r="I2638" s="164" t="s">
        <v>187</v>
      </c>
      <c r="J2638" s="164" t="s">
        <v>216</v>
      </c>
      <c r="K2638" s="164" t="s">
        <v>217</v>
      </c>
      <c r="L2638" s="165">
        <v>5</v>
      </c>
      <c r="M2638" s="165">
        <v>6</v>
      </c>
      <c r="N2638" s="164" t="s">
        <v>189</v>
      </c>
      <c r="O2638" s="165">
        <v>0</v>
      </c>
      <c r="P2638" s="165">
        <v>0</v>
      </c>
      <c r="Q2638" s="165">
        <v>21</v>
      </c>
      <c r="R2638" s="164" t="s">
        <v>200</v>
      </c>
      <c r="S2638" s="164" t="s">
        <v>201</v>
      </c>
      <c r="T2638" s="165">
        <v>462</v>
      </c>
      <c r="U2638" s="164" t="s">
        <v>200</v>
      </c>
      <c r="V2638" s="164" t="s">
        <v>202</v>
      </c>
      <c r="W2638" s="165">
        <v>3</v>
      </c>
      <c r="X2638" s="165">
        <v>4</v>
      </c>
      <c r="Y2638" s="164" t="s">
        <v>203</v>
      </c>
      <c r="Z2638" s="164" t="s">
        <v>195</v>
      </c>
      <c r="AA2638" s="164" t="s">
        <v>196</v>
      </c>
      <c r="AB2638" s="164" t="s">
        <v>187</v>
      </c>
      <c r="AC2638" s="164" t="s">
        <v>187</v>
      </c>
      <c r="AD2638" s="165">
        <v>1</v>
      </c>
      <c r="AE2638" s="164" t="s">
        <v>187</v>
      </c>
      <c r="AF2638" s="165">
        <v>24.994509999999998</v>
      </c>
      <c r="AG2638" s="166">
        <v>66.935969999999998</v>
      </c>
      <c r="AO2638" s="121"/>
      <c r="AT2638" s="111"/>
      <c r="AX2638" s="121"/>
    </row>
    <row r="2639" spans="1:50" s="110" customFormat="1" ht="20" customHeight="1">
      <c r="A2639" s="125" t="s">
        <v>231</v>
      </c>
      <c r="B2639" s="126" t="s">
        <v>66</v>
      </c>
      <c r="C2639" s="127">
        <v>17589</v>
      </c>
      <c r="D2639" s="163">
        <v>113018</v>
      </c>
      <c r="E2639" s="164" t="s">
        <v>919</v>
      </c>
      <c r="F2639" s="164" t="s">
        <v>920</v>
      </c>
      <c r="G2639" s="165">
        <v>300</v>
      </c>
      <c r="H2639" s="165">
        <v>1</v>
      </c>
      <c r="I2639" s="164" t="s">
        <v>187</v>
      </c>
      <c r="J2639" s="164" t="s">
        <v>219</v>
      </c>
      <c r="K2639" s="164" t="s">
        <v>220</v>
      </c>
      <c r="L2639" s="165">
        <v>5</v>
      </c>
      <c r="M2639" s="165">
        <v>6</v>
      </c>
      <c r="N2639" s="164" t="s">
        <v>189</v>
      </c>
      <c r="O2639" s="165">
        <v>0</v>
      </c>
      <c r="P2639" s="165">
        <v>0</v>
      </c>
      <c r="Q2639" s="165">
        <v>21</v>
      </c>
      <c r="R2639" s="164" t="s">
        <v>200</v>
      </c>
      <c r="S2639" s="164" t="s">
        <v>201</v>
      </c>
      <c r="T2639" s="165">
        <v>462</v>
      </c>
      <c r="U2639" s="164" t="s">
        <v>200</v>
      </c>
      <c r="V2639" s="164" t="s">
        <v>202</v>
      </c>
      <c r="W2639" s="165">
        <v>2</v>
      </c>
      <c r="X2639" s="165">
        <v>4</v>
      </c>
      <c r="Y2639" s="164" t="s">
        <v>203</v>
      </c>
      <c r="Z2639" s="164" t="s">
        <v>195</v>
      </c>
      <c r="AA2639" s="164" t="s">
        <v>196</v>
      </c>
      <c r="AB2639" s="164" t="s">
        <v>187</v>
      </c>
      <c r="AC2639" s="164" t="s">
        <v>187</v>
      </c>
      <c r="AD2639" s="165">
        <v>1</v>
      </c>
      <c r="AE2639" s="164" t="s">
        <v>187</v>
      </c>
      <c r="AF2639" s="165">
        <v>26.010680000000001</v>
      </c>
      <c r="AG2639" s="166">
        <v>69.236490000000003</v>
      </c>
      <c r="AO2639" s="121"/>
      <c r="AT2639" s="111"/>
      <c r="AX2639" s="121"/>
    </row>
    <row r="2640" spans="1:50" s="110" customFormat="1" ht="20" customHeight="1">
      <c r="A2640" s="125" t="s">
        <v>231</v>
      </c>
      <c r="B2640" s="126" t="s">
        <v>66</v>
      </c>
      <c r="C2640" s="127">
        <v>19484</v>
      </c>
      <c r="D2640" s="163">
        <v>115594</v>
      </c>
      <c r="E2640" s="164" t="s">
        <v>1052</v>
      </c>
      <c r="F2640" s="164" t="s">
        <v>1052</v>
      </c>
      <c r="G2640" s="165">
        <v>300</v>
      </c>
      <c r="H2640" s="165">
        <v>1</v>
      </c>
      <c r="I2640" s="164" t="s">
        <v>187</v>
      </c>
      <c r="J2640" s="164" t="s">
        <v>216</v>
      </c>
      <c r="K2640" s="164" t="s">
        <v>217</v>
      </c>
      <c r="L2640" s="165">
        <v>5</v>
      </c>
      <c r="M2640" s="165">
        <v>6</v>
      </c>
      <c r="N2640" s="164" t="s">
        <v>189</v>
      </c>
      <c r="O2640" s="165">
        <v>0</v>
      </c>
      <c r="P2640" s="165">
        <v>0</v>
      </c>
      <c r="Q2640" s="165">
        <v>21</v>
      </c>
      <c r="R2640" s="164" t="s">
        <v>200</v>
      </c>
      <c r="S2640" s="164" t="s">
        <v>201</v>
      </c>
      <c r="T2640" s="165">
        <v>462</v>
      </c>
      <c r="U2640" s="164" t="s">
        <v>200</v>
      </c>
      <c r="V2640" s="164" t="s">
        <v>202</v>
      </c>
      <c r="W2640" s="165">
        <v>1</v>
      </c>
      <c r="X2640" s="165">
        <v>4</v>
      </c>
      <c r="Y2640" s="164" t="s">
        <v>203</v>
      </c>
      <c r="Z2640" s="164" t="s">
        <v>195</v>
      </c>
      <c r="AA2640" s="164" t="s">
        <v>196</v>
      </c>
      <c r="AB2640" s="164" t="s">
        <v>187</v>
      </c>
      <c r="AC2640" s="164" t="s">
        <v>187</v>
      </c>
      <c r="AD2640" s="165">
        <v>1</v>
      </c>
      <c r="AE2640" s="164" t="s">
        <v>187</v>
      </c>
      <c r="AF2640" s="165">
        <v>25.498413532850901</v>
      </c>
      <c r="AG2640" s="166">
        <v>68.5068540945461</v>
      </c>
      <c r="AO2640" s="121"/>
      <c r="AT2640" s="111"/>
      <c r="AX2640" s="121"/>
    </row>
    <row r="2641" spans="1:50" s="110" customFormat="1" ht="20" customHeight="1">
      <c r="A2641" s="125" t="s">
        <v>231</v>
      </c>
      <c r="B2641" s="126" t="s">
        <v>66</v>
      </c>
      <c r="C2641" s="127">
        <v>19486</v>
      </c>
      <c r="D2641" s="163">
        <v>115620</v>
      </c>
      <c r="E2641" s="164" t="s">
        <v>1210</v>
      </c>
      <c r="F2641" s="164" t="s">
        <v>1210</v>
      </c>
      <c r="G2641" s="165">
        <v>300</v>
      </c>
      <c r="H2641" s="165">
        <v>1</v>
      </c>
      <c r="I2641" s="164" t="s">
        <v>187</v>
      </c>
      <c r="J2641" s="164" t="s">
        <v>216</v>
      </c>
      <c r="K2641" s="164" t="s">
        <v>217</v>
      </c>
      <c r="L2641" s="165">
        <v>5</v>
      </c>
      <c r="M2641" s="165">
        <v>6</v>
      </c>
      <c r="N2641" s="164" t="s">
        <v>189</v>
      </c>
      <c r="O2641" s="165">
        <v>0</v>
      </c>
      <c r="P2641" s="165">
        <v>0</v>
      </c>
      <c r="Q2641" s="165">
        <v>21</v>
      </c>
      <c r="R2641" s="164" t="s">
        <v>200</v>
      </c>
      <c r="S2641" s="164" t="s">
        <v>201</v>
      </c>
      <c r="T2641" s="165">
        <v>462</v>
      </c>
      <c r="U2641" s="164" t="s">
        <v>200</v>
      </c>
      <c r="V2641" s="164" t="s">
        <v>202</v>
      </c>
      <c r="W2641" s="165">
        <v>1</v>
      </c>
      <c r="X2641" s="165">
        <v>4</v>
      </c>
      <c r="Y2641" s="164" t="s">
        <v>203</v>
      </c>
      <c r="Z2641" s="164" t="s">
        <v>195</v>
      </c>
      <c r="AA2641" s="164" t="s">
        <v>196</v>
      </c>
      <c r="AB2641" s="164" t="s">
        <v>187</v>
      </c>
      <c r="AC2641" s="164" t="s">
        <v>187</v>
      </c>
      <c r="AD2641" s="165">
        <v>1</v>
      </c>
      <c r="AE2641" s="164" t="s">
        <v>187</v>
      </c>
      <c r="AF2641" s="165">
        <v>25.499471389614101</v>
      </c>
      <c r="AG2641" s="166">
        <v>68.515151739334101</v>
      </c>
      <c r="AO2641" s="121"/>
      <c r="AT2641" s="111"/>
      <c r="AX2641" s="121"/>
    </row>
    <row r="2642" spans="1:50" s="110" customFormat="1" ht="20" customHeight="1">
      <c r="A2642" s="125" t="s">
        <v>231</v>
      </c>
      <c r="B2642" s="126" t="s">
        <v>66</v>
      </c>
      <c r="C2642" s="127">
        <v>17918</v>
      </c>
      <c r="D2642" s="163">
        <v>113400</v>
      </c>
      <c r="E2642" s="164" t="s">
        <v>1211</v>
      </c>
      <c r="F2642" s="164" t="s">
        <v>1211</v>
      </c>
      <c r="G2642" s="165">
        <v>300</v>
      </c>
      <c r="H2642" s="165">
        <v>1</v>
      </c>
      <c r="I2642" s="164" t="s">
        <v>187</v>
      </c>
      <c r="J2642" s="164" t="s">
        <v>216</v>
      </c>
      <c r="K2642" s="164" t="s">
        <v>217</v>
      </c>
      <c r="L2642" s="165">
        <v>5</v>
      </c>
      <c r="M2642" s="165">
        <v>6</v>
      </c>
      <c r="N2642" s="164" t="s">
        <v>189</v>
      </c>
      <c r="O2642" s="165">
        <v>0</v>
      </c>
      <c r="P2642" s="165">
        <v>0</v>
      </c>
      <c r="Q2642" s="165">
        <v>21</v>
      </c>
      <c r="R2642" s="164" t="s">
        <v>200</v>
      </c>
      <c r="S2642" s="164" t="s">
        <v>201</v>
      </c>
      <c r="T2642" s="165">
        <v>462</v>
      </c>
      <c r="U2642" s="164" t="s">
        <v>200</v>
      </c>
      <c r="V2642" s="164" t="s">
        <v>202</v>
      </c>
      <c r="W2642" s="165">
        <v>1</v>
      </c>
      <c r="X2642" s="165">
        <v>4</v>
      </c>
      <c r="Y2642" s="164" t="s">
        <v>203</v>
      </c>
      <c r="Z2642" s="164" t="s">
        <v>195</v>
      </c>
      <c r="AA2642" s="164" t="s">
        <v>196</v>
      </c>
      <c r="AB2642" s="164" t="s">
        <v>187</v>
      </c>
      <c r="AC2642" s="164" t="s">
        <v>187</v>
      </c>
      <c r="AD2642" s="165">
        <v>1</v>
      </c>
      <c r="AE2642" s="164" t="s">
        <v>187</v>
      </c>
      <c r="AF2642" s="165">
        <v>24.909042676836801</v>
      </c>
      <c r="AG2642" s="166">
        <v>67.069103687026598</v>
      </c>
      <c r="AO2642" s="121"/>
      <c r="AT2642" s="111"/>
      <c r="AX2642" s="121"/>
    </row>
    <row r="2643" spans="1:50" s="110" customFormat="1" ht="20" customHeight="1">
      <c r="A2643" s="125" t="s">
        <v>231</v>
      </c>
      <c r="B2643" s="126" t="s">
        <v>66</v>
      </c>
      <c r="C2643" s="127">
        <v>17483</v>
      </c>
      <c r="D2643" s="163">
        <v>112895</v>
      </c>
      <c r="E2643" s="164" t="s">
        <v>412</v>
      </c>
      <c r="F2643" s="164" t="s">
        <v>412</v>
      </c>
      <c r="G2643" s="165">
        <v>200</v>
      </c>
      <c r="H2643" s="165">
        <v>1</v>
      </c>
      <c r="I2643" s="164" t="s">
        <v>187</v>
      </c>
      <c r="J2643" s="164" t="s">
        <v>219</v>
      </c>
      <c r="K2643" s="164" t="s">
        <v>220</v>
      </c>
      <c r="L2643" s="165">
        <v>5</v>
      </c>
      <c r="M2643" s="165">
        <v>6</v>
      </c>
      <c r="N2643" s="164" t="s">
        <v>189</v>
      </c>
      <c r="O2643" s="165">
        <v>0</v>
      </c>
      <c r="P2643" s="165">
        <v>0</v>
      </c>
      <c r="Q2643" s="165">
        <v>21</v>
      </c>
      <c r="R2643" s="164" t="s">
        <v>200</v>
      </c>
      <c r="S2643" s="164" t="s">
        <v>201</v>
      </c>
      <c r="T2643" s="165">
        <v>462</v>
      </c>
      <c r="U2643" s="164" t="s">
        <v>200</v>
      </c>
      <c r="V2643" s="164" t="s">
        <v>202</v>
      </c>
      <c r="W2643" s="165">
        <v>2</v>
      </c>
      <c r="X2643" s="165">
        <v>4</v>
      </c>
      <c r="Y2643" s="164" t="s">
        <v>203</v>
      </c>
      <c r="Z2643" s="164" t="s">
        <v>195</v>
      </c>
      <c r="AA2643" s="164" t="s">
        <v>196</v>
      </c>
      <c r="AB2643" s="164" t="s">
        <v>187</v>
      </c>
      <c r="AC2643" s="164" t="s">
        <v>187</v>
      </c>
      <c r="AD2643" s="165">
        <v>1</v>
      </c>
      <c r="AE2643" s="164" t="s">
        <v>187</v>
      </c>
      <c r="AF2643" s="165">
        <v>27.861799999999999</v>
      </c>
      <c r="AG2643" s="166">
        <v>69.650289999999998</v>
      </c>
      <c r="AO2643" s="121"/>
      <c r="AT2643" s="111"/>
      <c r="AX2643" s="121"/>
    </row>
    <row r="2644" spans="1:50" s="110" customFormat="1" ht="20" customHeight="1">
      <c r="A2644" s="125" t="s">
        <v>231</v>
      </c>
      <c r="B2644" s="126" t="s">
        <v>66</v>
      </c>
      <c r="C2644" s="127">
        <v>17496</v>
      </c>
      <c r="D2644" s="163">
        <v>112911</v>
      </c>
      <c r="E2644" s="164" t="s">
        <v>424</v>
      </c>
      <c r="F2644" s="164" t="s">
        <v>424</v>
      </c>
      <c r="G2644" s="165">
        <v>200</v>
      </c>
      <c r="H2644" s="165">
        <v>1</v>
      </c>
      <c r="I2644" s="164" t="s">
        <v>187</v>
      </c>
      <c r="J2644" s="164" t="s">
        <v>219</v>
      </c>
      <c r="K2644" s="164" t="s">
        <v>220</v>
      </c>
      <c r="L2644" s="165">
        <v>5</v>
      </c>
      <c r="M2644" s="165">
        <v>6</v>
      </c>
      <c r="N2644" s="164" t="s">
        <v>189</v>
      </c>
      <c r="O2644" s="165">
        <v>0</v>
      </c>
      <c r="P2644" s="165">
        <v>0</v>
      </c>
      <c r="Q2644" s="165">
        <v>21</v>
      </c>
      <c r="R2644" s="164" t="s">
        <v>200</v>
      </c>
      <c r="S2644" s="164" t="s">
        <v>201</v>
      </c>
      <c r="T2644" s="165">
        <v>462</v>
      </c>
      <c r="U2644" s="164" t="s">
        <v>200</v>
      </c>
      <c r="V2644" s="164" t="s">
        <v>202</v>
      </c>
      <c r="W2644" s="165">
        <v>2</v>
      </c>
      <c r="X2644" s="165">
        <v>4</v>
      </c>
      <c r="Y2644" s="164" t="s">
        <v>203</v>
      </c>
      <c r="Z2644" s="164" t="s">
        <v>195</v>
      </c>
      <c r="AA2644" s="164" t="s">
        <v>196</v>
      </c>
      <c r="AB2644" s="164" t="s">
        <v>187</v>
      </c>
      <c r="AC2644" s="164" t="s">
        <v>187</v>
      </c>
      <c r="AD2644" s="165">
        <v>1</v>
      </c>
      <c r="AE2644" s="164" t="s">
        <v>187</v>
      </c>
      <c r="AF2644" s="165">
        <v>27.867578195835701</v>
      </c>
      <c r="AG2644" s="166">
        <v>69.651275484711604</v>
      </c>
      <c r="AO2644" s="121"/>
      <c r="AT2644" s="111"/>
      <c r="AX2644" s="121"/>
    </row>
    <row r="2645" spans="1:50" s="110" customFormat="1" ht="20" customHeight="1">
      <c r="A2645" s="125" t="s">
        <v>231</v>
      </c>
      <c r="B2645" s="126" t="s">
        <v>66</v>
      </c>
      <c r="C2645" s="127">
        <v>16542</v>
      </c>
      <c r="D2645" s="163">
        <v>111728</v>
      </c>
      <c r="E2645" s="164" t="s">
        <v>564</v>
      </c>
      <c r="F2645" s="164" t="s">
        <v>564</v>
      </c>
      <c r="G2645" s="165">
        <v>200</v>
      </c>
      <c r="H2645" s="165">
        <v>1</v>
      </c>
      <c r="I2645" s="164" t="s">
        <v>187</v>
      </c>
      <c r="J2645" s="164" t="s">
        <v>501</v>
      </c>
      <c r="K2645" s="164" t="s">
        <v>502</v>
      </c>
      <c r="L2645" s="165">
        <v>3</v>
      </c>
      <c r="M2645" s="165">
        <v>6</v>
      </c>
      <c r="N2645" s="164" t="s">
        <v>189</v>
      </c>
      <c r="O2645" s="165">
        <v>0</v>
      </c>
      <c r="P2645" s="165">
        <v>0</v>
      </c>
      <c r="Q2645" s="165">
        <v>21</v>
      </c>
      <c r="R2645" s="164" t="s">
        <v>200</v>
      </c>
      <c r="S2645" s="164" t="s">
        <v>201</v>
      </c>
      <c r="T2645" s="165">
        <v>462</v>
      </c>
      <c r="U2645" s="164" t="s">
        <v>200</v>
      </c>
      <c r="V2645" s="164" t="s">
        <v>202</v>
      </c>
      <c r="W2645" s="165">
        <v>2</v>
      </c>
      <c r="X2645" s="165">
        <v>4</v>
      </c>
      <c r="Y2645" s="164" t="s">
        <v>203</v>
      </c>
      <c r="Z2645" s="164" t="s">
        <v>195</v>
      </c>
      <c r="AA2645" s="164" t="s">
        <v>196</v>
      </c>
      <c r="AB2645" s="164" t="s">
        <v>187</v>
      </c>
      <c r="AC2645" s="164" t="s">
        <v>187</v>
      </c>
      <c r="AD2645" s="165">
        <v>1</v>
      </c>
      <c r="AE2645" s="164" t="s">
        <v>187</v>
      </c>
      <c r="AF2645" s="165">
        <v>28.8273271617532</v>
      </c>
      <c r="AG2645" s="166">
        <v>71.7309079667438</v>
      </c>
      <c r="AO2645" s="121"/>
      <c r="AT2645" s="111"/>
      <c r="AX2645" s="121"/>
    </row>
    <row r="2646" spans="1:50" s="110" customFormat="1" ht="20" customHeight="1">
      <c r="A2646" s="125" t="s">
        <v>231</v>
      </c>
      <c r="B2646" s="126" t="s">
        <v>66</v>
      </c>
      <c r="C2646" s="127">
        <v>17536</v>
      </c>
      <c r="D2646" s="163">
        <v>112958</v>
      </c>
      <c r="E2646" s="164" t="s">
        <v>688</v>
      </c>
      <c r="F2646" s="164" t="s">
        <v>688</v>
      </c>
      <c r="G2646" s="165">
        <v>200</v>
      </c>
      <c r="H2646" s="165">
        <v>1</v>
      </c>
      <c r="I2646" s="164" t="s">
        <v>187</v>
      </c>
      <c r="J2646" s="164" t="s">
        <v>216</v>
      </c>
      <c r="K2646" s="164" t="s">
        <v>217</v>
      </c>
      <c r="L2646" s="165">
        <v>5</v>
      </c>
      <c r="M2646" s="165">
        <v>6</v>
      </c>
      <c r="N2646" s="164" t="s">
        <v>189</v>
      </c>
      <c r="O2646" s="165">
        <v>0</v>
      </c>
      <c r="P2646" s="165">
        <v>0</v>
      </c>
      <c r="Q2646" s="165">
        <v>21</v>
      </c>
      <c r="R2646" s="164" t="s">
        <v>200</v>
      </c>
      <c r="S2646" s="164" t="s">
        <v>201</v>
      </c>
      <c r="T2646" s="165">
        <v>462</v>
      </c>
      <c r="U2646" s="164" t="s">
        <v>200</v>
      </c>
      <c r="V2646" s="164" t="s">
        <v>202</v>
      </c>
      <c r="W2646" s="165">
        <v>2</v>
      </c>
      <c r="X2646" s="165">
        <v>4</v>
      </c>
      <c r="Y2646" s="164" t="s">
        <v>203</v>
      </c>
      <c r="Z2646" s="164" t="s">
        <v>195</v>
      </c>
      <c r="AA2646" s="164" t="s">
        <v>196</v>
      </c>
      <c r="AB2646" s="164" t="s">
        <v>187</v>
      </c>
      <c r="AC2646" s="164" t="s">
        <v>187</v>
      </c>
      <c r="AD2646" s="165">
        <v>1</v>
      </c>
      <c r="AE2646" s="164" t="s">
        <v>187</v>
      </c>
      <c r="AF2646" s="165">
        <v>24.912427860095299</v>
      </c>
      <c r="AG2646" s="166">
        <v>67.077090612201701</v>
      </c>
      <c r="AO2646" s="121"/>
      <c r="AT2646" s="111"/>
      <c r="AX2646" s="121"/>
    </row>
    <row r="2647" spans="1:50" s="110" customFormat="1" ht="20" customHeight="1">
      <c r="A2647" s="125" t="s">
        <v>231</v>
      </c>
      <c r="B2647" s="126" t="s">
        <v>66</v>
      </c>
      <c r="C2647" s="127">
        <v>16779</v>
      </c>
      <c r="D2647" s="163">
        <v>112040</v>
      </c>
      <c r="E2647" s="164" t="s">
        <v>694</v>
      </c>
      <c r="F2647" s="164" t="s">
        <v>694</v>
      </c>
      <c r="G2647" s="165">
        <v>200</v>
      </c>
      <c r="H2647" s="165">
        <v>1</v>
      </c>
      <c r="I2647" s="164" t="s">
        <v>187</v>
      </c>
      <c r="J2647" s="164" t="s">
        <v>293</v>
      </c>
      <c r="K2647" s="164" t="s">
        <v>294</v>
      </c>
      <c r="L2647" s="165">
        <v>3</v>
      </c>
      <c r="M2647" s="165">
        <v>6</v>
      </c>
      <c r="N2647" s="164" t="s">
        <v>189</v>
      </c>
      <c r="O2647" s="165">
        <v>0</v>
      </c>
      <c r="P2647" s="165">
        <v>0</v>
      </c>
      <c r="Q2647" s="165">
        <v>21</v>
      </c>
      <c r="R2647" s="164" t="s">
        <v>200</v>
      </c>
      <c r="S2647" s="164" t="s">
        <v>201</v>
      </c>
      <c r="T2647" s="165">
        <v>462</v>
      </c>
      <c r="U2647" s="164" t="s">
        <v>200</v>
      </c>
      <c r="V2647" s="164" t="s">
        <v>202</v>
      </c>
      <c r="W2647" s="165">
        <v>2</v>
      </c>
      <c r="X2647" s="165">
        <v>4</v>
      </c>
      <c r="Y2647" s="164" t="s">
        <v>203</v>
      </c>
      <c r="Z2647" s="164" t="s">
        <v>195</v>
      </c>
      <c r="AA2647" s="164" t="s">
        <v>196</v>
      </c>
      <c r="AB2647" s="164" t="s">
        <v>187</v>
      </c>
      <c r="AC2647" s="164" t="s">
        <v>187</v>
      </c>
      <c r="AD2647" s="165">
        <v>1</v>
      </c>
      <c r="AE2647" s="164" t="s">
        <v>187</v>
      </c>
      <c r="AF2647" s="165">
        <v>35.4036994626846</v>
      </c>
      <c r="AG2647" s="166">
        <v>76.635913770764304</v>
      </c>
      <c r="AO2647" s="121"/>
      <c r="AT2647" s="111"/>
      <c r="AX2647" s="121"/>
    </row>
    <row r="2648" spans="1:50" s="110" customFormat="1" ht="20" customHeight="1">
      <c r="A2648" s="125" t="s">
        <v>231</v>
      </c>
      <c r="B2648" s="126" t="s">
        <v>66</v>
      </c>
      <c r="C2648" s="127">
        <v>16808</v>
      </c>
      <c r="D2648" s="163">
        <v>112072</v>
      </c>
      <c r="E2648" s="164" t="s">
        <v>698</v>
      </c>
      <c r="F2648" s="164" t="s">
        <v>698</v>
      </c>
      <c r="G2648" s="165">
        <v>200</v>
      </c>
      <c r="H2648" s="165">
        <v>1</v>
      </c>
      <c r="I2648" s="164" t="s">
        <v>187</v>
      </c>
      <c r="J2648" s="164" t="s">
        <v>216</v>
      </c>
      <c r="K2648" s="164" t="s">
        <v>217</v>
      </c>
      <c r="L2648" s="165">
        <v>5</v>
      </c>
      <c r="M2648" s="165">
        <v>6</v>
      </c>
      <c r="N2648" s="164" t="s">
        <v>189</v>
      </c>
      <c r="O2648" s="165">
        <v>0</v>
      </c>
      <c r="P2648" s="165">
        <v>0</v>
      </c>
      <c r="Q2648" s="165">
        <v>21</v>
      </c>
      <c r="R2648" s="164" t="s">
        <v>200</v>
      </c>
      <c r="S2648" s="164" t="s">
        <v>201</v>
      </c>
      <c r="T2648" s="165">
        <v>462</v>
      </c>
      <c r="U2648" s="164" t="s">
        <v>200</v>
      </c>
      <c r="V2648" s="164" t="s">
        <v>202</v>
      </c>
      <c r="W2648" s="165">
        <v>2</v>
      </c>
      <c r="X2648" s="165">
        <v>4</v>
      </c>
      <c r="Y2648" s="164" t="s">
        <v>203</v>
      </c>
      <c r="Z2648" s="164" t="s">
        <v>195</v>
      </c>
      <c r="AA2648" s="164" t="s">
        <v>196</v>
      </c>
      <c r="AB2648" s="164" t="s">
        <v>187</v>
      </c>
      <c r="AC2648" s="164" t="s">
        <v>187</v>
      </c>
      <c r="AD2648" s="165">
        <v>1</v>
      </c>
      <c r="AE2648" s="164" t="s">
        <v>187</v>
      </c>
      <c r="AF2648" s="165">
        <v>25.496510907145399</v>
      </c>
      <c r="AG2648" s="166">
        <v>68.507627152030295</v>
      </c>
      <c r="AO2648" s="121"/>
      <c r="AT2648" s="111"/>
      <c r="AX2648" s="121"/>
    </row>
    <row r="2649" spans="1:50" s="110" customFormat="1" ht="20" customHeight="1">
      <c r="A2649" s="125" t="s">
        <v>231</v>
      </c>
      <c r="B2649" s="126" t="s">
        <v>66</v>
      </c>
      <c r="C2649" s="127">
        <v>19434</v>
      </c>
      <c r="D2649" s="163">
        <v>115570</v>
      </c>
      <c r="E2649" s="164" t="s">
        <v>894</v>
      </c>
      <c r="F2649" s="164" t="s">
        <v>894</v>
      </c>
      <c r="G2649" s="165">
        <v>200</v>
      </c>
      <c r="H2649" s="165">
        <v>1</v>
      </c>
      <c r="I2649" s="164" t="s">
        <v>187</v>
      </c>
      <c r="J2649" s="164" t="s">
        <v>219</v>
      </c>
      <c r="K2649" s="164" t="s">
        <v>220</v>
      </c>
      <c r="L2649" s="165">
        <v>5</v>
      </c>
      <c r="M2649" s="165">
        <v>6</v>
      </c>
      <c r="N2649" s="164" t="s">
        <v>189</v>
      </c>
      <c r="O2649" s="165">
        <v>0</v>
      </c>
      <c r="P2649" s="165">
        <v>0</v>
      </c>
      <c r="Q2649" s="165">
        <v>21</v>
      </c>
      <c r="R2649" s="164" t="s">
        <v>200</v>
      </c>
      <c r="S2649" s="164" t="s">
        <v>201</v>
      </c>
      <c r="T2649" s="165">
        <v>462</v>
      </c>
      <c r="U2649" s="164" t="s">
        <v>200</v>
      </c>
      <c r="V2649" s="164" t="s">
        <v>202</v>
      </c>
      <c r="W2649" s="165">
        <v>1</v>
      </c>
      <c r="X2649" s="165">
        <v>4</v>
      </c>
      <c r="Y2649" s="164" t="s">
        <v>203</v>
      </c>
      <c r="Z2649" s="164" t="s">
        <v>195</v>
      </c>
      <c r="AA2649" s="164" t="s">
        <v>196</v>
      </c>
      <c r="AB2649" s="164" t="s">
        <v>187</v>
      </c>
      <c r="AC2649" s="164" t="s">
        <v>187</v>
      </c>
      <c r="AD2649" s="165">
        <v>1</v>
      </c>
      <c r="AE2649" s="164" t="s">
        <v>187</v>
      </c>
      <c r="AF2649" s="165">
        <v>25.5004138281891</v>
      </c>
      <c r="AG2649" s="166">
        <v>68.509123654416101</v>
      </c>
      <c r="AO2649" s="121"/>
      <c r="AT2649" s="111"/>
      <c r="AX2649" s="121"/>
    </row>
    <row r="2650" spans="1:50" s="110" customFormat="1" ht="20" customHeight="1">
      <c r="A2650" s="125" t="s">
        <v>231</v>
      </c>
      <c r="B2650" s="126" t="s">
        <v>66</v>
      </c>
      <c r="C2650" s="127">
        <v>17295</v>
      </c>
      <c r="D2650" s="163">
        <v>112673</v>
      </c>
      <c r="E2650" s="164" t="s">
        <v>918</v>
      </c>
      <c r="F2650" s="164" t="s">
        <v>918</v>
      </c>
      <c r="G2650" s="165">
        <v>200</v>
      </c>
      <c r="H2650" s="165">
        <v>1</v>
      </c>
      <c r="I2650" s="164" t="s">
        <v>187</v>
      </c>
      <c r="J2650" s="164" t="s">
        <v>501</v>
      </c>
      <c r="K2650" s="164" t="s">
        <v>502</v>
      </c>
      <c r="L2650" s="165">
        <v>3</v>
      </c>
      <c r="M2650" s="165">
        <v>6</v>
      </c>
      <c r="N2650" s="164" t="s">
        <v>189</v>
      </c>
      <c r="O2650" s="165">
        <v>0</v>
      </c>
      <c r="P2650" s="165">
        <v>0</v>
      </c>
      <c r="Q2650" s="165">
        <v>21</v>
      </c>
      <c r="R2650" s="164" t="s">
        <v>200</v>
      </c>
      <c r="S2650" s="164" t="s">
        <v>201</v>
      </c>
      <c r="T2650" s="165">
        <v>462</v>
      </c>
      <c r="U2650" s="164" t="s">
        <v>200</v>
      </c>
      <c r="V2650" s="164" t="s">
        <v>202</v>
      </c>
      <c r="W2650" s="165">
        <v>2</v>
      </c>
      <c r="X2650" s="165">
        <v>4</v>
      </c>
      <c r="Y2650" s="164" t="s">
        <v>203</v>
      </c>
      <c r="Z2650" s="164" t="s">
        <v>195</v>
      </c>
      <c r="AA2650" s="164" t="s">
        <v>196</v>
      </c>
      <c r="AB2650" s="164" t="s">
        <v>187</v>
      </c>
      <c r="AC2650" s="164" t="s">
        <v>187</v>
      </c>
      <c r="AD2650" s="165">
        <v>1</v>
      </c>
      <c r="AE2650" s="164" t="s">
        <v>187</v>
      </c>
      <c r="AF2650" s="165">
        <v>28.823728786107601</v>
      </c>
      <c r="AG2650" s="166">
        <v>71.723702202713099</v>
      </c>
      <c r="AO2650" s="121"/>
      <c r="AT2650" s="111"/>
      <c r="AX2650" s="121"/>
    </row>
    <row r="2651" spans="1:50" s="110" customFormat="1" ht="20" customHeight="1">
      <c r="A2651" s="125" t="s">
        <v>231</v>
      </c>
      <c r="B2651" s="126" t="s">
        <v>66</v>
      </c>
      <c r="C2651" s="127">
        <v>18024</v>
      </c>
      <c r="D2651" s="163">
        <v>113519</v>
      </c>
      <c r="E2651" s="164" t="s">
        <v>1342</v>
      </c>
      <c r="F2651" s="164" t="s">
        <v>1342</v>
      </c>
      <c r="G2651" s="165">
        <v>200</v>
      </c>
      <c r="H2651" s="165">
        <v>1</v>
      </c>
      <c r="I2651" s="164" t="s">
        <v>187</v>
      </c>
      <c r="J2651" s="164" t="s">
        <v>896</v>
      </c>
      <c r="K2651" s="164" t="s">
        <v>897</v>
      </c>
      <c r="L2651" s="165">
        <v>5</v>
      </c>
      <c r="M2651" s="165">
        <v>6</v>
      </c>
      <c r="N2651" s="164" t="s">
        <v>189</v>
      </c>
      <c r="O2651" s="165">
        <v>0</v>
      </c>
      <c r="P2651" s="165">
        <v>0</v>
      </c>
      <c r="Q2651" s="165">
        <v>21</v>
      </c>
      <c r="R2651" s="164" t="s">
        <v>200</v>
      </c>
      <c r="S2651" s="164" t="s">
        <v>201</v>
      </c>
      <c r="T2651" s="165">
        <v>462</v>
      </c>
      <c r="U2651" s="164" t="s">
        <v>200</v>
      </c>
      <c r="V2651" s="164" t="s">
        <v>202</v>
      </c>
      <c r="W2651" s="165">
        <v>2</v>
      </c>
      <c r="X2651" s="165">
        <v>4</v>
      </c>
      <c r="Y2651" s="164" t="s">
        <v>203</v>
      </c>
      <c r="Z2651" s="164" t="s">
        <v>195</v>
      </c>
      <c r="AA2651" s="164" t="s">
        <v>196</v>
      </c>
      <c r="AB2651" s="164" t="s">
        <v>187</v>
      </c>
      <c r="AC2651" s="164" t="s">
        <v>187</v>
      </c>
      <c r="AD2651" s="165">
        <v>1</v>
      </c>
      <c r="AE2651" s="164" t="s">
        <v>187</v>
      </c>
      <c r="AF2651" s="165">
        <v>33.218310000000002</v>
      </c>
      <c r="AG2651" s="166">
        <v>73.759550000000004</v>
      </c>
      <c r="AO2651" s="121"/>
      <c r="AT2651" s="111"/>
      <c r="AX2651" s="121"/>
    </row>
    <row r="2652" spans="1:50" s="110" customFormat="1" ht="20" customHeight="1">
      <c r="A2652" s="125" t="s">
        <v>231</v>
      </c>
      <c r="B2652" s="126" t="s">
        <v>66</v>
      </c>
      <c r="C2652" s="127">
        <v>18330</v>
      </c>
      <c r="D2652" s="163">
        <v>113880</v>
      </c>
      <c r="E2652" s="164" t="s">
        <v>1507</v>
      </c>
      <c r="F2652" s="164" t="s">
        <v>1507</v>
      </c>
      <c r="G2652" s="165">
        <v>200</v>
      </c>
      <c r="H2652" s="165">
        <v>1</v>
      </c>
      <c r="I2652" s="164" t="s">
        <v>187</v>
      </c>
      <c r="J2652" s="164" t="s">
        <v>300</v>
      </c>
      <c r="K2652" s="164" t="s">
        <v>301</v>
      </c>
      <c r="L2652" s="165">
        <v>5</v>
      </c>
      <c r="M2652" s="165">
        <v>6</v>
      </c>
      <c r="N2652" s="164" t="s">
        <v>189</v>
      </c>
      <c r="O2652" s="165">
        <v>0</v>
      </c>
      <c r="P2652" s="165">
        <v>0</v>
      </c>
      <c r="Q2652" s="165">
        <v>21</v>
      </c>
      <c r="R2652" s="164" t="s">
        <v>200</v>
      </c>
      <c r="S2652" s="164" t="s">
        <v>201</v>
      </c>
      <c r="T2652" s="165">
        <v>462</v>
      </c>
      <c r="U2652" s="164" t="s">
        <v>200</v>
      </c>
      <c r="V2652" s="164" t="s">
        <v>202</v>
      </c>
      <c r="W2652" s="165">
        <v>2</v>
      </c>
      <c r="X2652" s="165">
        <v>4</v>
      </c>
      <c r="Y2652" s="164" t="s">
        <v>203</v>
      </c>
      <c r="Z2652" s="164" t="s">
        <v>195</v>
      </c>
      <c r="AA2652" s="164" t="s">
        <v>196</v>
      </c>
      <c r="AB2652" s="164" t="s">
        <v>187</v>
      </c>
      <c r="AC2652" s="164" t="s">
        <v>187</v>
      </c>
      <c r="AD2652" s="165">
        <v>1</v>
      </c>
      <c r="AE2652" s="164" t="s">
        <v>187</v>
      </c>
      <c r="AF2652" s="165">
        <v>33.9008233780336</v>
      </c>
      <c r="AG2652" s="166">
        <v>73.847469509177202</v>
      </c>
      <c r="AO2652" s="121"/>
      <c r="AT2652" s="111"/>
      <c r="AX2652" s="121"/>
    </row>
    <row r="2653" spans="1:50" s="110" customFormat="1" ht="20" customHeight="1">
      <c r="A2653" s="125" t="s">
        <v>231</v>
      </c>
      <c r="B2653" s="126" t="s">
        <v>66</v>
      </c>
      <c r="C2653" s="127">
        <v>17486</v>
      </c>
      <c r="D2653" s="163">
        <v>112899</v>
      </c>
      <c r="E2653" s="164" t="s">
        <v>438</v>
      </c>
      <c r="F2653" s="164" t="s">
        <v>438</v>
      </c>
      <c r="G2653" s="165">
        <v>100</v>
      </c>
      <c r="H2653" s="165">
        <v>1</v>
      </c>
      <c r="I2653" s="164" t="s">
        <v>187</v>
      </c>
      <c r="J2653" s="164" t="s">
        <v>216</v>
      </c>
      <c r="K2653" s="164" t="s">
        <v>217</v>
      </c>
      <c r="L2653" s="165">
        <v>5</v>
      </c>
      <c r="M2653" s="165">
        <v>6</v>
      </c>
      <c r="N2653" s="164" t="s">
        <v>189</v>
      </c>
      <c r="O2653" s="165">
        <v>0</v>
      </c>
      <c r="P2653" s="165">
        <v>0</v>
      </c>
      <c r="Q2653" s="165">
        <v>21</v>
      </c>
      <c r="R2653" s="164" t="s">
        <v>200</v>
      </c>
      <c r="S2653" s="164" t="s">
        <v>201</v>
      </c>
      <c r="T2653" s="165">
        <v>462</v>
      </c>
      <c r="U2653" s="164" t="s">
        <v>200</v>
      </c>
      <c r="V2653" s="164" t="s">
        <v>202</v>
      </c>
      <c r="W2653" s="165">
        <v>2</v>
      </c>
      <c r="X2653" s="165">
        <v>4</v>
      </c>
      <c r="Y2653" s="164" t="s">
        <v>203</v>
      </c>
      <c r="Z2653" s="164" t="s">
        <v>195</v>
      </c>
      <c r="AA2653" s="164" t="s">
        <v>196</v>
      </c>
      <c r="AB2653" s="164" t="s">
        <v>187</v>
      </c>
      <c r="AC2653" s="164" t="s">
        <v>187</v>
      </c>
      <c r="AD2653" s="165">
        <v>1</v>
      </c>
      <c r="AE2653" s="164" t="s">
        <v>187</v>
      </c>
      <c r="AF2653" s="165">
        <v>33.894157596106702</v>
      </c>
      <c r="AG2653" s="166">
        <v>73.854594987011296</v>
      </c>
      <c r="AO2653" s="121"/>
      <c r="AT2653" s="111"/>
      <c r="AX2653" s="121"/>
    </row>
    <row r="2654" spans="1:50" s="110" customFormat="1" ht="20" customHeight="1">
      <c r="A2654" s="125" t="s">
        <v>231</v>
      </c>
      <c r="B2654" s="126" t="s">
        <v>66</v>
      </c>
      <c r="C2654" s="127">
        <v>17511</v>
      </c>
      <c r="D2654" s="163">
        <v>112927</v>
      </c>
      <c r="E2654" s="164" t="s">
        <v>595</v>
      </c>
      <c r="F2654" s="164" t="s">
        <v>595</v>
      </c>
      <c r="G2654" s="165">
        <v>100</v>
      </c>
      <c r="H2654" s="165">
        <v>1</v>
      </c>
      <c r="I2654" s="164" t="s">
        <v>187</v>
      </c>
      <c r="J2654" s="164" t="s">
        <v>222</v>
      </c>
      <c r="K2654" s="164" t="s">
        <v>223</v>
      </c>
      <c r="L2654" s="165">
        <v>4</v>
      </c>
      <c r="M2654" s="165">
        <v>6</v>
      </c>
      <c r="N2654" s="164" t="s">
        <v>189</v>
      </c>
      <c r="O2654" s="165">
        <v>0</v>
      </c>
      <c r="P2654" s="165">
        <v>0</v>
      </c>
      <c r="Q2654" s="165">
        <v>21</v>
      </c>
      <c r="R2654" s="164" t="s">
        <v>200</v>
      </c>
      <c r="S2654" s="164" t="s">
        <v>201</v>
      </c>
      <c r="T2654" s="165">
        <v>462</v>
      </c>
      <c r="U2654" s="164" t="s">
        <v>200</v>
      </c>
      <c r="V2654" s="164" t="s">
        <v>202</v>
      </c>
      <c r="W2654" s="165">
        <v>1</v>
      </c>
      <c r="X2654" s="165">
        <v>4</v>
      </c>
      <c r="Y2654" s="164" t="s">
        <v>203</v>
      </c>
      <c r="Z2654" s="164" t="s">
        <v>195</v>
      </c>
      <c r="AA2654" s="164" t="s">
        <v>196</v>
      </c>
      <c r="AB2654" s="164" t="s">
        <v>187</v>
      </c>
      <c r="AC2654" s="164" t="s">
        <v>187</v>
      </c>
      <c r="AD2654" s="165">
        <v>1</v>
      </c>
      <c r="AE2654" s="164" t="s">
        <v>187</v>
      </c>
      <c r="AF2654" s="165">
        <v>32.185453896425102</v>
      </c>
      <c r="AG2654" s="166">
        <v>72.815032559400805</v>
      </c>
      <c r="AO2654" s="121"/>
      <c r="AT2654" s="111"/>
      <c r="AX2654" s="121"/>
    </row>
    <row r="2655" spans="1:50" s="110" customFormat="1" ht="20" customHeight="1">
      <c r="A2655" s="125" t="s">
        <v>231</v>
      </c>
      <c r="B2655" s="126" t="s">
        <v>66</v>
      </c>
      <c r="C2655" s="127">
        <v>19446</v>
      </c>
      <c r="D2655" s="163">
        <v>115574</v>
      </c>
      <c r="E2655" s="164" t="s">
        <v>709</v>
      </c>
      <c r="F2655" s="164" t="s">
        <v>709</v>
      </c>
      <c r="G2655" s="165">
        <v>100</v>
      </c>
      <c r="H2655" s="165">
        <v>1</v>
      </c>
      <c r="I2655" s="164" t="s">
        <v>187</v>
      </c>
      <c r="J2655" s="164" t="s">
        <v>501</v>
      </c>
      <c r="K2655" s="164" t="s">
        <v>502</v>
      </c>
      <c r="L2655" s="165">
        <v>3</v>
      </c>
      <c r="M2655" s="165">
        <v>6</v>
      </c>
      <c r="N2655" s="164" t="s">
        <v>189</v>
      </c>
      <c r="O2655" s="165">
        <v>0</v>
      </c>
      <c r="P2655" s="165">
        <v>0</v>
      </c>
      <c r="Q2655" s="165">
        <v>21</v>
      </c>
      <c r="R2655" s="164" t="s">
        <v>200</v>
      </c>
      <c r="S2655" s="164" t="s">
        <v>201</v>
      </c>
      <c r="T2655" s="165">
        <v>462</v>
      </c>
      <c r="U2655" s="164" t="s">
        <v>200</v>
      </c>
      <c r="V2655" s="164" t="s">
        <v>202</v>
      </c>
      <c r="W2655" s="165">
        <v>1</v>
      </c>
      <c r="X2655" s="165">
        <v>4</v>
      </c>
      <c r="Y2655" s="164" t="s">
        <v>203</v>
      </c>
      <c r="Z2655" s="164" t="s">
        <v>195</v>
      </c>
      <c r="AA2655" s="164" t="s">
        <v>196</v>
      </c>
      <c r="AB2655" s="164" t="s">
        <v>187</v>
      </c>
      <c r="AC2655" s="164" t="s">
        <v>187</v>
      </c>
      <c r="AD2655" s="165">
        <v>1</v>
      </c>
      <c r="AE2655" s="164" t="s">
        <v>187</v>
      </c>
      <c r="AF2655" s="165">
        <v>28.8228343874042</v>
      </c>
      <c r="AG2655" s="166">
        <v>71.725932158267995</v>
      </c>
      <c r="AO2655" s="121"/>
      <c r="AT2655" s="111"/>
      <c r="AX2655" s="121"/>
    </row>
    <row r="2656" spans="1:50" s="110" customFormat="1" ht="20" customHeight="1">
      <c r="A2656" s="125" t="s">
        <v>231</v>
      </c>
      <c r="B2656" s="126" t="s">
        <v>66</v>
      </c>
      <c r="C2656" s="127">
        <v>19447</v>
      </c>
      <c r="D2656" s="163">
        <v>115575</v>
      </c>
      <c r="E2656" s="164" t="s">
        <v>715</v>
      </c>
      <c r="F2656" s="164" t="s">
        <v>715</v>
      </c>
      <c r="G2656" s="165">
        <v>100</v>
      </c>
      <c r="H2656" s="165">
        <v>1</v>
      </c>
      <c r="I2656" s="164" t="s">
        <v>187</v>
      </c>
      <c r="J2656" s="164" t="s">
        <v>501</v>
      </c>
      <c r="K2656" s="164" t="s">
        <v>502</v>
      </c>
      <c r="L2656" s="165">
        <v>3</v>
      </c>
      <c r="M2656" s="165">
        <v>6</v>
      </c>
      <c r="N2656" s="164" t="s">
        <v>189</v>
      </c>
      <c r="O2656" s="165">
        <v>0</v>
      </c>
      <c r="P2656" s="165">
        <v>0</v>
      </c>
      <c r="Q2656" s="165">
        <v>21</v>
      </c>
      <c r="R2656" s="164" t="s">
        <v>200</v>
      </c>
      <c r="S2656" s="164" t="s">
        <v>201</v>
      </c>
      <c r="T2656" s="165">
        <v>462</v>
      </c>
      <c r="U2656" s="164" t="s">
        <v>200</v>
      </c>
      <c r="V2656" s="164" t="s">
        <v>202</v>
      </c>
      <c r="W2656" s="165">
        <v>1</v>
      </c>
      <c r="X2656" s="165">
        <v>4</v>
      </c>
      <c r="Y2656" s="164" t="s">
        <v>203</v>
      </c>
      <c r="Z2656" s="164" t="s">
        <v>195</v>
      </c>
      <c r="AA2656" s="164" t="s">
        <v>196</v>
      </c>
      <c r="AB2656" s="164" t="s">
        <v>187</v>
      </c>
      <c r="AC2656" s="164" t="s">
        <v>187</v>
      </c>
      <c r="AD2656" s="165">
        <v>1</v>
      </c>
      <c r="AE2656" s="164" t="s">
        <v>187</v>
      </c>
      <c r="AF2656" s="165">
        <v>28.822322094513201</v>
      </c>
      <c r="AG2656" s="166">
        <v>71.724406489248395</v>
      </c>
      <c r="AO2656" s="121"/>
      <c r="AT2656" s="111"/>
      <c r="AX2656" s="121"/>
    </row>
    <row r="2657" spans="1:50" s="110" customFormat="1" ht="20" customHeight="1">
      <c r="A2657" s="125" t="s">
        <v>231</v>
      </c>
      <c r="B2657" s="126" t="s">
        <v>66</v>
      </c>
      <c r="C2657" s="127">
        <v>18041</v>
      </c>
      <c r="D2657" s="163">
        <v>113536</v>
      </c>
      <c r="E2657" s="164" t="s">
        <v>1349</v>
      </c>
      <c r="F2657" s="164" t="s">
        <v>1349</v>
      </c>
      <c r="G2657" s="165">
        <v>100</v>
      </c>
      <c r="H2657" s="165">
        <v>1</v>
      </c>
      <c r="I2657" s="164" t="s">
        <v>187</v>
      </c>
      <c r="J2657" s="164" t="s">
        <v>216</v>
      </c>
      <c r="K2657" s="164" t="s">
        <v>217</v>
      </c>
      <c r="L2657" s="165">
        <v>5</v>
      </c>
      <c r="M2657" s="165">
        <v>6</v>
      </c>
      <c r="N2657" s="164" t="s">
        <v>189</v>
      </c>
      <c r="O2657" s="165">
        <v>0</v>
      </c>
      <c r="P2657" s="165">
        <v>0</v>
      </c>
      <c r="Q2657" s="165">
        <v>21</v>
      </c>
      <c r="R2657" s="164" t="s">
        <v>200</v>
      </c>
      <c r="S2657" s="164" t="s">
        <v>201</v>
      </c>
      <c r="T2657" s="165">
        <v>462</v>
      </c>
      <c r="U2657" s="164" t="s">
        <v>200</v>
      </c>
      <c r="V2657" s="164" t="s">
        <v>202</v>
      </c>
      <c r="W2657" s="165">
        <v>2</v>
      </c>
      <c r="X2657" s="165">
        <v>4</v>
      </c>
      <c r="Y2657" s="164" t="s">
        <v>203</v>
      </c>
      <c r="Z2657" s="164" t="s">
        <v>195</v>
      </c>
      <c r="AA2657" s="164" t="s">
        <v>196</v>
      </c>
      <c r="AB2657" s="164" t="s">
        <v>187</v>
      </c>
      <c r="AC2657" s="164" t="s">
        <v>187</v>
      </c>
      <c r="AD2657" s="165">
        <v>1</v>
      </c>
      <c r="AE2657" s="164" t="s">
        <v>187</v>
      </c>
      <c r="AF2657" s="165">
        <v>25.49062</v>
      </c>
      <c r="AG2657" s="166">
        <v>68.50658</v>
      </c>
      <c r="AO2657" s="121"/>
      <c r="AT2657" s="111"/>
      <c r="AX2657" s="121"/>
    </row>
    <row r="2658" spans="1:50" s="110" customFormat="1" ht="20" customHeight="1">
      <c r="A2658" s="125" t="s">
        <v>408</v>
      </c>
      <c r="B2658" s="126" t="s">
        <v>64</v>
      </c>
      <c r="C2658" s="127">
        <v>10790</v>
      </c>
      <c r="D2658" s="163">
        <v>101254</v>
      </c>
      <c r="E2658" s="164" t="s">
        <v>1387</v>
      </c>
      <c r="F2658" s="164" t="s">
        <v>1387</v>
      </c>
      <c r="G2658" s="165">
        <v>76000</v>
      </c>
      <c r="H2658" s="165">
        <v>1</v>
      </c>
      <c r="I2658" s="164" t="s">
        <v>187</v>
      </c>
      <c r="J2658" s="164" t="s">
        <v>198</v>
      </c>
      <c r="K2658" s="164" t="s">
        <v>199</v>
      </c>
      <c r="L2658" s="165">
        <v>5</v>
      </c>
      <c r="M2658" s="165">
        <v>6</v>
      </c>
      <c r="N2658" s="164" t="s">
        <v>189</v>
      </c>
      <c r="O2658" s="165">
        <v>2</v>
      </c>
      <c r="P2658" s="165">
        <v>0.4</v>
      </c>
      <c r="Q2658" s="165">
        <v>21</v>
      </c>
      <c r="R2658" s="164" t="s">
        <v>200</v>
      </c>
      <c r="S2658" s="164" t="s">
        <v>201</v>
      </c>
      <c r="T2658" s="165">
        <v>462</v>
      </c>
      <c r="U2658" s="164" t="s">
        <v>200</v>
      </c>
      <c r="V2658" s="164" t="s">
        <v>202</v>
      </c>
      <c r="W2658" s="165">
        <v>21</v>
      </c>
      <c r="X2658" s="165">
        <v>2</v>
      </c>
      <c r="Y2658" s="164" t="s">
        <v>194</v>
      </c>
      <c r="Z2658" s="164" t="s">
        <v>195</v>
      </c>
      <c r="AA2658" s="164" t="s">
        <v>196</v>
      </c>
      <c r="AB2658" s="164" t="s">
        <v>209</v>
      </c>
      <c r="AC2658" s="164" t="s">
        <v>209</v>
      </c>
      <c r="AD2658" s="165">
        <v>2</v>
      </c>
      <c r="AE2658" s="164" t="s">
        <v>209</v>
      </c>
      <c r="AF2658" s="165">
        <v>1.3731899999999999</v>
      </c>
      <c r="AG2658" s="166">
        <v>103.87733</v>
      </c>
      <c r="AO2658" s="121"/>
      <c r="AT2658" s="111"/>
      <c r="AX2658" s="121"/>
    </row>
    <row r="2659" spans="1:50" s="110" customFormat="1" ht="20" customHeight="1">
      <c r="A2659" s="125" t="s">
        <v>224</v>
      </c>
      <c r="B2659" s="126" t="s">
        <v>68</v>
      </c>
      <c r="C2659" s="127">
        <v>15234</v>
      </c>
      <c r="D2659" s="163">
        <v>109788</v>
      </c>
      <c r="E2659" s="164" t="s">
        <v>4869</v>
      </c>
      <c r="F2659" s="164" t="s">
        <v>4869</v>
      </c>
      <c r="G2659" s="165">
        <v>1125000</v>
      </c>
      <c r="H2659" s="165">
        <v>1</v>
      </c>
      <c r="I2659" s="164" t="s">
        <v>187</v>
      </c>
      <c r="J2659" s="164" t="s">
        <v>1989</v>
      </c>
      <c r="K2659" s="164" t="s">
        <v>1990</v>
      </c>
      <c r="L2659" s="165">
        <v>5</v>
      </c>
      <c r="M2659" s="165">
        <v>6</v>
      </c>
      <c r="N2659" s="164" t="s">
        <v>189</v>
      </c>
      <c r="O2659" s="165">
        <v>0</v>
      </c>
      <c r="P2659" s="165">
        <v>0</v>
      </c>
      <c r="Q2659" s="165">
        <v>21</v>
      </c>
      <c r="R2659" s="164" t="s">
        <v>200</v>
      </c>
      <c r="S2659" s="164" t="s">
        <v>201</v>
      </c>
      <c r="T2659" s="165">
        <v>462</v>
      </c>
      <c r="U2659" s="164" t="s">
        <v>200</v>
      </c>
      <c r="V2659" s="164" t="s">
        <v>202</v>
      </c>
      <c r="W2659" s="165">
        <v>2</v>
      </c>
      <c r="X2659" s="165">
        <v>4</v>
      </c>
      <c r="Y2659" s="164" t="s">
        <v>203</v>
      </c>
      <c r="Z2659" s="164" t="s">
        <v>195</v>
      </c>
      <c r="AA2659" s="164" t="s">
        <v>196</v>
      </c>
      <c r="AB2659" s="164" t="s">
        <v>187</v>
      </c>
      <c r="AC2659" s="164" t="s">
        <v>187</v>
      </c>
      <c r="AD2659" s="165">
        <v>23</v>
      </c>
      <c r="AE2659" s="164" t="s">
        <v>187</v>
      </c>
      <c r="AF2659" s="165">
        <v>7.2251599999999998</v>
      </c>
      <c r="AG2659" s="166">
        <v>81.555269999999993</v>
      </c>
      <c r="AO2659" s="121"/>
      <c r="AT2659" s="111"/>
      <c r="AX2659" s="121"/>
    </row>
    <row r="2660" spans="1:50" s="110" customFormat="1" ht="20" customHeight="1">
      <c r="A2660" s="125" t="s">
        <v>224</v>
      </c>
      <c r="B2660" s="126" t="s">
        <v>68</v>
      </c>
      <c r="C2660" s="127">
        <v>11283</v>
      </c>
      <c r="D2660" s="163">
        <v>101949</v>
      </c>
      <c r="E2660" s="164" t="s">
        <v>4834</v>
      </c>
      <c r="F2660" s="164" t="s">
        <v>4834</v>
      </c>
      <c r="G2660" s="165">
        <v>673000</v>
      </c>
      <c r="H2660" s="165">
        <v>1</v>
      </c>
      <c r="I2660" s="164" t="s">
        <v>187</v>
      </c>
      <c r="J2660" s="164" t="s">
        <v>1989</v>
      </c>
      <c r="K2660" s="164" t="s">
        <v>1990</v>
      </c>
      <c r="L2660" s="165">
        <v>5</v>
      </c>
      <c r="M2660" s="165">
        <v>6</v>
      </c>
      <c r="N2660" s="164" t="s">
        <v>189</v>
      </c>
      <c r="O2660" s="165">
        <v>0</v>
      </c>
      <c r="P2660" s="165">
        <v>0</v>
      </c>
      <c r="Q2660" s="165">
        <v>21</v>
      </c>
      <c r="R2660" s="164" t="s">
        <v>200</v>
      </c>
      <c r="S2660" s="164" t="s">
        <v>201</v>
      </c>
      <c r="T2660" s="165">
        <v>462</v>
      </c>
      <c r="U2660" s="164" t="s">
        <v>200</v>
      </c>
      <c r="V2660" s="164" t="s">
        <v>202</v>
      </c>
      <c r="W2660" s="165">
        <v>1</v>
      </c>
      <c r="X2660" s="165">
        <v>4</v>
      </c>
      <c r="Y2660" s="164" t="s">
        <v>203</v>
      </c>
      <c r="Z2660" s="164" t="s">
        <v>195</v>
      </c>
      <c r="AA2660" s="164" t="s">
        <v>196</v>
      </c>
      <c r="AB2660" s="164" t="s">
        <v>187</v>
      </c>
      <c r="AC2660" s="164" t="s">
        <v>187</v>
      </c>
      <c r="AD2660" s="165">
        <v>13</v>
      </c>
      <c r="AE2660" s="164" t="s">
        <v>187</v>
      </c>
      <c r="AF2660" s="165">
        <v>6.8681700000000001</v>
      </c>
      <c r="AG2660" s="166">
        <v>80.020849999999996</v>
      </c>
      <c r="AO2660" s="121"/>
      <c r="AT2660" s="111"/>
      <c r="AX2660" s="121"/>
    </row>
    <row r="2661" spans="1:50" s="110" customFormat="1" ht="20" customHeight="1">
      <c r="A2661" s="125" t="s">
        <v>224</v>
      </c>
      <c r="B2661" s="126" t="s">
        <v>68</v>
      </c>
      <c r="C2661" s="127">
        <v>17767</v>
      </c>
      <c r="D2661" s="163">
        <v>113228</v>
      </c>
      <c r="E2661" s="164" t="s">
        <v>3969</v>
      </c>
      <c r="F2661" s="164" t="s">
        <v>3969</v>
      </c>
      <c r="G2661" s="165">
        <v>17000</v>
      </c>
      <c r="H2661" s="165">
        <v>1</v>
      </c>
      <c r="I2661" s="164" t="s">
        <v>187</v>
      </c>
      <c r="J2661" s="164" t="s">
        <v>1989</v>
      </c>
      <c r="K2661" s="164" t="s">
        <v>1990</v>
      </c>
      <c r="L2661" s="165">
        <v>5</v>
      </c>
      <c r="M2661" s="165">
        <v>6</v>
      </c>
      <c r="N2661" s="164" t="s">
        <v>189</v>
      </c>
      <c r="O2661" s="165">
        <v>0</v>
      </c>
      <c r="P2661" s="165">
        <v>0</v>
      </c>
      <c r="Q2661" s="165">
        <v>21</v>
      </c>
      <c r="R2661" s="164" t="s">
        <v>200</v>
      </c>
      <c r="S2661" s="164" t="s">
        <v>201</v>
      </c>
      <c r="T2661" s="165">
        <v>462</v>
      </c>
      <c r="U2661" s="164" t="s">
        <v>200</v>
      </c>
      <c r="V2661" s="164" t="s">
        <v>202</v>
      </c>
      <c r="W2661" s="165">
        <v>2</v>
      </c>
      <c r="X2661" s="165">
        <v>4</v>
      </c>
      <c r="Y2661" s="164" t="s">
        <v>203</v>
      </c>
      <c r="Z2661" s="164" t="s">
        <v>195</v>
      </c>
      <c r="AA2661" s="164" t="s">
        <v>196</v>
      </c>
      <c r="AB2661" s="164" t="s">
        <v>187</v>
      </c>
      <c r="AC2661" s="164" t="s">
        <v>187</v>
      </c>
      <c r="AD2661" s="165">
        <v>1</v>
      </c>
      <c r="AE2661" s="164" t="s">
        <v>187</v>
      </c>
      <c r="AF2661" s="165">
        <v>7.1851636242925103</v>
      </c>
      <c r="AG2661" s="166">
        <v>80.678332447709806</v>
      </c>
      <c r="AO2661" s="121"/>
      <c r="AT2661" s="111"/>
      <c r="AX2661" s="121"/>
    </row>
    <row r="2662" spans="1:50" s="110" customFormat="1" ht="20" customHeight="1">
      <c r="A2662" s="125" t="s">
        <v>224</v>
      </c>
      <c r="B2662" s="126" t="s">
        <v>68</v>
      </c>
      <c r="C2662" s="127">
        <v>17452</v>
      </c>
      <c r="D2662" s="163">
        <v>112857</v>
      </c>
      <c r="E2662" s="164" t="s">
        <v>3734</v>
      </c>
      <c r="F2662" s="164" t="s">
        <v>3734</v>
      </c>
      <c r="G2662" s="165">
        <v>11000</v>
      </c>
      <c r="H2662" s="165">
        <v>1</v>
      </c>
      <c r="I2662" s="164" t="s">
        <v>187</v>
      </c>
      <c r="J2662" s="164" t="s">
        <v>2136</v>
      </c>
      <c r="K2662" s="164" t="s">
        <v>2137</v>
      </c>
      <c r="L2662" s="165">
        <v>5</v>
      </c>
      <c r="M2662" s="165">
        <v>6</v>
      </c>
      <c r="N2662" s="164" t="s">
        <v>189</v>
      </c>
      <c r="O2662" s="165">
        <v>0</v>
      </c>
      <c r="P2662" s="165">
        <v>0</v>
      </c>
      <c r="Q2662" s="165">
        <v>21</v>
      </c>
      <c r="R2662" s="164" t="s">
        <v>200</v>
      </c>
      <c r="S2662" s="164" t="s">
        <v>201</v>
      </c>
      <c r="T2662" s="165">
        <v>462</v>
      </c>
      <c r="U2662" s="164" t="s">
        <v>200</v>
      </c>
      <c r="V2662" s="164" t="s">
        <v>202</v>
      </c>
      <c r="W2662" s="165">
        <v>2</v>
      </c>
      <c r="X2662" s="165">
        <v>4</v>
      </c>
      <c r="Y2662" s="164" t="s">
        <v>203</v>
      </c>
      <c r="Z2662" s="164" t="s">
        <v>195</v>
      </c>
      <c r="AA2662" s="164" t="s">
        <v>196</v>
      </c>
      <c r="AB2662" s="164" t="s">
        <v>187</v>
      </c>
      <c r="AC2662" s="164" t="s">
        <v>187</v>
      </c>
      <c r="AD2662" s="165">
        <v>1</v>
      </c>
      <c r="AE2662" s="164" t="s">
        <v>187</v>
      </c>
      <c r="AF2662" s="165">
        <v>6.57193</v>
      </c>
      <c r="AG2662" s="166">
        <v>80.123440000000002</v>
      </c>
      <c r="AO2662" s="121"/>
      <c r="AT2662" s="111"/>
      <c r="AX2662" s="121"/>
    </row>
    <row r="2663" spans="1:50" s="110" customFormat="1" ht="20" customHeight="1">
      <c r="A2663" s="125" t="s">
        <v>224</v>
      </c>
      <c r="B2663" s="126" t="s">
        <v>68</v>
      </c>
      <c r="C2663" s="127">
        <v>21378</v>
      </c>
      <c r="D2663" s="163">
        <v>118229</v>
      </c>
      <c r="E2663" s="164" t="s">
        <v>3521</v>
      </c>
      <c r="F2663" s="164" t="s">
        <v>3521</v>
      </c>
      <c r="G2663" s="165">
        <v>8700</v>
      </c>
      <c r="H2663" s="165">
        <v>1</v>
      </c>
      <c r="I2663" s="164" t="s">
        <v>187</v>
      </c>
      <c r="J2663" s="164" t="s">
        <v>1989</v>
      </c>
      <c r="K2663" s="164" t="s">
        <v>1990</v>
      </c>
      <c r="L2663" s="165">
        <v>5</v>
      </c>
      <c r="M2663" s="165">
        <v>6</v>
      </c>
      <c r="N2663" s="164" t="s">
        <v>189</v>
      </c>
      <c r="O2663" s="165">
        <v>0</v>
      </c>
      <c r="P2663" s="165">
        <v>0</v>
      </c>
      <c r="Q2663" s="165">
        <v>21</v>
      </c>
      <c r="R2663" s="164" t="s">
        <v>200</v>
      </c>
      <c r="S2663" s="164" t="s">
        <v>201</v>
      </c>
      <c r="T2663" s="165">
        <v>462</v>
      </c>
      <c r="U2663" s="164" t="s">
        <v>200</v>
      </c>
      <c r="V2663" s="164" t="s">
        <v>202</v>
      </c>
      <c r="W2663" s="165">
        <v>1</v>
      </c>
      <c r="X2663" s="165">
        <v>4</v>
      </c>
      <c r="Y2663" s="164" t="s">
        <v>203</v>
      </c>
      <c r="Z2663" s="164" t="s">
        <v>195</v>
      </c>
      <c r="AA2663" s="164" t="s">
        <v>196</v>
      </c>
      <c r="AB2663" s="164" t="s">
        <v>187</v>
      </c>
      <c r="AC2663" s="164" t="s">
        <v>187</v>
      </c>
      <c r="AD2663" s="165">
        <v>1</v>
      </c>
      <c r="AE2663" s="164" t="s">
        <v>187</v>
      </c>
      <c r="AF2663" s="165">
        <v>6.8686286396227203</v>
      </c>
      <c r="AG2663" s="166">
        <v>80.020931253250595</v>
      </c>
      <c r="AO2663" s="121"/>
      <c r="AT2663" s="111"/>
      <c r="AX2663" s="121"/>
    </row>
    <row r="2664" spans="1:50" s="110" customFormat="1" ht="20" customHeight="1">
      <c r="A2664" s="125" t="s">
        <v>224</v>
      </c>
      <c r="B2664" s="126" t="s">
        <v>68</v>
      </c>
      <c r="C2664" s="127">
        <v>21380</v>
      </c>
      <c r="D2664" s="163">
        <v>118236</v>
      </c>
      <c r="E2664" s="164" t="s">
        <v>3481</v>
      </c>
      <c r="F2664" s="164" t="s">
        <v>3481</v>
      </c>
      <c r="G2664" s="165">
        <v>8100</v>
      </c>
      <c r="H2664" s="165">
        <v>1</v>
      </c>
      <c r="I2664" s="164" t="s">
        <v>187</v>
      </c>
      <c r="J2664" s="164" t="s">
        <v>1989</v>
      </c>
      <c r="K2664" s="164" t="s">
        <v>1990</v>
      </c>
      <c r="L2664" s="165">
        <v>5</v>
      </c>
      <c r="M2664" s="165">
        <v>6</v>
      </c>
      <c r="N2664" s="164" t="s">
        <v>189</v>
      </c>
      <c r="O2664" s="165">
        <v>0</v>
      </c>
      <c r="P2664" s="165">
        <v>0</v>
      </c>
      <c r="Q2664" s="165">
        <v>21</v>
      </c>
      <c r="R2664" s="164" t="s">
        <v>200</v>
      </c>
      <c r="S2664" s="164" t="s">
        <v>201</v>
      </c>
      <c r="T2664" s="165">
        <v>462</v>
      </c>
      <c r="U2664" s="164" t="s">
        <v>200</v>
      </c>
      <c r="V2664" s="164" t="s">
        <v>202</v>
      </c>
      <c r="W2664" s="165">
        <v>1</v>
      </c>
      <c r="X2664" s="165">
        <v>4</v>
      </c>
      <c r="Y2664" s="164" t="s">
        <v>203</v>
      </c>
      <c r="Z2664" s="164" t="s">
        <v>195</v>
      </c>
      <c r="AA2664" s="164" t="s">
        <v>196</v>
      </c>
      <c r="AB2664" s="164" t="s">
        <v>187</v>
      </c>
      <c r="AC2664" s="164" t="s">
        <v>187</v>
      </c>
      <c r="AD2664" s="165">
        <v>1</v>
      </c>
      <c r="AE2664" s="164" t="s">
        <v>187</v>
      </c>
      <c r="AF2664" s="165">
        <v>6.8689300770159702</v>
      </c>
      <c r="AG2664" s="166">
        <v>80.021811329189205</v>
      </c>
      <c r="AO2664" s="121"/>
      <c r="AT2664" s="111"/>
      <c r="AX2664" s="121"/>
    </row>
    <row r="2665" spans="1:50" s="110" customFormat="1" ht="20" customHeight="1">
      <c r="A2665" s="125" t="s">
        <v>224</v>
      </c>
      <c r="B2665" s="126" t="s">
        <v>68</v>
      </c>
      <c r="C2665" s="127">
        <v>19655</v>
      </c>
      <c r="D2665" s="163">
        <v>112187</v>
      </c>
      <c r="E2665" s="164" t="s">
        <v>722</v>
      </c>
      <c r="F2665" s="164" t="s">
        <v>722</v>
      </c>
      <c r="G2665" s="165">
        <v>4800</v>
      </c>
      <c r="H2665" s="165">
        <v>1</v>
      </c>
      <c r="I2665" s="164" t="s">
        <v>187</v>
      </c>
      <c r="J2665" s="164" t="s">
        <v>1989</v>
      </c>
      <c r="K2665" s="164" t="s">
        <v>1990</v>
      </c>
      <c r="L2665" s="165">
        <v>5</v>
      </c>
      <c r="M2665" s="165">
        <v>6</v>
      </c>
      <c r="N2665" s="164" t="s">
        <v>189</v>
      </c>
      <c r="O2665" s="165">
        <v>0</v>
      </c>
      <c r="P2665" s="165">
        <v>0</v>
      </c>
      <c r="Q2665" s="165">
        <v>21</v>
      </c>
      <c r="R2665" s="164" t="s">
        <v>200</v>
      </c>
      <c r="S2665" s="164" t="s">
        <v>201</v>
      </c>
      <c r="T2665" s="165">
        <v>462</v>
      </c>
      <c r="U2665" s="164" t="s">
        <v>200</v>
      </c>
      <c r="V2665" s="164" t="s">
        <v>202</v>
      </c>
      <c r="W2665" s="165">
        <v>5</v>
      </c>
      <c r="X2665" s="165">
        <v>4</v>
      </c>
      <c r="Y2665" s="164" t="s">
        <v>203</v>
      </c>
      <c r="Z2665" s="164" t="s">
        <v>195</v>
      </c>
      <c r="AA2665" s="164" t="s">
        <v>196</v>
      </c>
      <c r="AB2665" s="164" t="s">
        <v>187</v>
      </c>
      <c r="AC2665" s="164" t="s">
        <v>187</v>
      </c>
      <c r="AD2665" s="165">
        <v>1</v>
      </c>
      <c r="AE2665" s="164" t="s">
        <v>187</v>
      </c>
      <c r="AF2665" s="165">
        <v>7.18470906117415</v>
      </c>
      <c r="AG2665" s="166">
        <v>80.679062481751004</v>
      </c>
      <c r="AO2665" s="121"/>
      <c r="AT2665" s="111"/>
      <c r="AX2665" s="121"/>
    </row>
    <row r="2666" spans="1:50" s="110" customFormat="1" ht="20" customHeight="1">
      <c r="A2666" s="125" t="s">
        <v>224</v>
      </c>
      <c r="B2666" s="126" t="s">
        <v>68</v>
      </c>
      <c r="C2666" s="127">
        <v>17530</v>
      </c>
      <c r="D2666" s="163">
        <v>112952</v>
      </c>
      <c r="E2666" s="164" t="s">
        <v>1125</v>
      </c>
      <c r="F2666" s="164" t="s">
        <v>1125</v>
      </c>
      <c r="G2666" s="165">
        <v>2000</v>
      </c>
      <c r="H2666" s="165">
        <v>1</v>
      </c>
      <c r="I2666" s="164" t="s">
        <v>187</v>
      </c>
      <c r="J2666" s="164" t="s">
        <v>719</v>
      </c>
      <c r="K2666" s="164" t="s">
        <v>718</v>
      </c>
      <c r="L2666" s="165">
        <v>5</v>
      </c>
      <c r="M2666" s="165">
        <v>6</v>
      </c>
      <c r="N2666" s="164" t="s">
        <v>189</v>
      </c>
      <c r="O2666" s="165">
        <v>0</v>
      </c>
      <c r="P2666" s="165">
        <v>0</v>
      </c>
      <c r="Q2666" s="165">
        <v>21</v>
      </c>
      <c r="R2666" s="164" t="s">
        <v>200</v>
      </c>
      <c r="S2666" s="164" t="s">
        <v>201</v>
      </c>
      <c r="T2666" s="165">
        <v>462</v>
      </c>
      <c r="U2666" s="164" t="s">
        <v>200</v>
      </c>
      <c r="V2666" s="164" t="s">
        <v>202</v>
      </c>
      <c r="W2666" s="165">
        <v>3</v>
      </c>
      <c r="X2666" s="165">
        <v>4</v>
      </c>
      <c r="Y2666" s="164" t="s">
        <v>203</v>
      </c>
      <c r="Z2666" s="164" t="s">
        <v>195</v>
      </c>
      <c r="AA2666" s="164" t="s">
        <v>196</v>
      </c>
      <c r="AB2666" s="164" t="s">
        <v>187</v>
      </c>
      <c r="AC2666" s="164" t="s">
        <v>187</v>
      </c>
      <c r="AD2666" s="165">
        <v>1</v>
      </c>
      <c r="AE2666" s="164" t="s">
        <v>187</v>
      </c>
      <c r="AF2666" s="165">
        <v>6.8681700000000001</v>
      </c>
      <c r="AG2666" s="166">
        <v>80.020849999999996</v>
      </c>
      <c r="AO2666" s="121"/>
      <c r="AT2666" s="111"/>
      <c r="AX2666" s="121"/>
    </row>
    <row r="2667" spans="1:50" s="110" customFormat="1" ht="20" customHeight="1">
      <c r="A2667" s="125" t="s">
        <v>224</v>
      </c>
      <c r="B2667" s="126" t="s">
        <v>68</v>
      </c>
      <c r="C2667" s="127">
        <v>16494</v>
      </c>
      <c r="D2667" s="163">
        <v>111665</v>
      </c>
      <c r="E2667" s="164" t="s">
        <v>525</v>
      </c>
      <c r="F2667" s="164" t="s">
        <v>525</v>
      </c>
      <c r="G2667" s="165">
        <v>1900</v>
      </c>
      <c r="H2667" s="165">
        <v>1</v>
      </c>
      <c r="I2667" s="164" t="s">
        <v>187</v>
      </c>
      <c r="J2667" s="164" t="s">
        <v>719</v>
      </c>
      <c r="K2667" s="164" t="s">
        <v>718</v>
      </c>
      <c r="L2667" s="165">
        <v>5</v>
      </c>
      <c r="M2667" s="165">
        <v>6</v>
      </c>
      <c r="N2667" s="164" t="s">
        <v>189</v>
      </c>
      <c r="O2667" s="165">
        <v>0</v>
      </c>
      <c r="P2667" s="165">
        <v>0</v>
      </c>
      <c r="Q2667" s="165">
        <v>21</v>
      </c>
      <c r="R2667" s="164" t="s">
        <v>200</v>
      </c>
      <c r="S2667" s="164" t="s">
        <v>201</v>
      </c>
      <c r="T2667" s="165">
        <v>462</v>
      </c>
      <c r="U2667" s="164" t="s">
        <v>200</v>
      </c>
      <c r="V2667" s="164" t="s">
        <v>202</v>
      </c>
      <c r="W2667" s="165">
        <v>3</v>
      </c>
      <c r="X2667" s="165">
        <v>4</v>
      </c>
      <c r="Y2667" s="164" t="s">
        <v>203</v>
      </c>
      <c r="Z2667" s="164" t="s">
        <v>195</v>
      </c>
      <c r="AA2667" s="164" t="s">
        <v>196</v>
      </c>
      <c r="AB2667" s="164" t="s">
        <v>187</v>
      </c>
      <c r="AC2667" s="164" t="s">
        <v>187</v>
      </c>
      <c r="AD2667" s="165">
        <v>1</v>
      </c>
      <c r="AE2667" s="164" t="s">
        <v>187</v>
      </c>
      <c r="AF2667" s="165">
        <v>6.8681700000000001</v>
      </c>
      <c r="AG2667" s="166">
        <v>80.020849999999996</v>
      </c>
      <c r="AO2667" s="121"/>
      <c r="AT2667" s="111"/>
      <c r="AX2667" s="121"/>
    </row>
    <row r="2668" spans="1:50" s="110" customFormat="1" ht="20" customHeight="1">
      <c r="A2668" s="125" t="s">
        <v>224</v>
      </c>
      <c r="B2668" s="126" t="s">
        <v>68</v>
      </c>
      <c r="C2668" s="127">
        <v>17427</v>
      </c>
      <c r="D2668" s="163">
        <v>112829</v>
      </c>
      <c r="E2668" s="164" t="s">
        <v>2677</v>
      </c>
      <c r="F2668" s="164" t="s">
        <v>2677</v>
      </c>
      <c r="G2668" s="165">
        <v>1900</v>
      </c>
      <c r="H2668" s="165">
        <v>1</v>
      </c>
      <c r="I2668" s="164" t="s">
        <v>187</v>
      </c>
      <c r="J2668" s="164" t="s">
        <v>2678</v>
      </c>
      <c r="K2668" s="164" t="s">
        <v>2679</v>
      </c>
      <c r="L2668" s="165">
        <v>3</v>
      </c>
      <c r="M2668" s="165">
        <v>6</v>
      </c>
      <c r="N2668" s="164" t="s">
        <v>189</v>
      </c>
      <c r="O2668" s="165">
        <v>0</v>
      </c>
      <c r="P2668" s="165">
        <v>0</v>
      </c>
      <c r="Q2668" s="165">
        <v>21</v>
      </c>
      <c r="R2668" s="164" t="s">
        <v>200</v>
      </c>
      <c r="S2668" s="164" t="s">
        <v>201</v>
      </c>
      <c r="T2668" s="165">
        <v>462</v>
      </c>
      <c r="U2668" s="164" t="s">
        <v>200</v>
      </c>
      <c r="V2668" s="164" t="s">
        <v>202</v>
      </c>
      <c r="W2668" s="165">
        <v>2</v>
      </c>
      <c r="X2668" s="165">
        <v>4</v>
      </c>
      <c r="Y2668" s="164" t="s">
        <v>203</v>
      </c>
      <c r="Z2668" s="164" t="s">
        <v>195</v>
      </c>
      <c r="AA2668" s="164" t="s">
        <v>196</v>
      </c>
      <c r="AB2668" s="164" t="s">
        <v>187</v>
      </c>
      <c r="AC2668" s="164" t="s">
        <v>187</v>
      </c>
      <c r="AD2668" s="165">
        <v>1</v>
      </c>
      <c r="AE2668" s="164" t="s">
        <v>187</v>
      </c>
      <c r="AF2668" s="165">
        <v>6.57193</v>
      </c>
      <c r="AG2668" s="166">
        <v>80.123440000000002</v>
      </c>
      <c r="AO2668" s="121"/>
      <c r="AT2668" s="111"/>
      <c r="AX2668" s="121"/>
    </row>
    <row r="2669" spans="1:50" s="110" customFormat="1" ht="20" customHeight="1">
      <c r="A2669" s="125" t="s">
        <v>224</v>
      </c>
      <c r="B2669" s="126" t="s">
        <v>68</v>
      </c>
      <c r="C2669" s="127">
        <v>13761</v>
      </c>
      <c r="D2669" s="163">
        <v>106706</v>
      </c>
      <c r="E2669" s="164" t="s">
        <v>1134</v>
      </c>
      <c r="F2669" s="164" t="s">
        <v>1134</v>
      </c>
      <c r="G2669" s="165">
        <v>1100</v>
      </c>
      <c r="H2669" s="165">
        <v>1</v>
      </c>
      <c r="I2669" s="164" t="s">
        <v>187</v>
      </c>
      <c r="J2669" s="164" t="s">
        <v>216</v>
      </c>
      <c r="K2669" s="164" t="s">
        <v>217</v>
      </c>
      <c r="L2669" s="165">
        <v>5</v>
      </c>
      <c r="M2669" s="165">
        <v>6</v>
      </c>
      <c r="N2669" s="164" t="s">
        <v>189</v>
      </c>
      <c r="O2669" s="165">
        <v>0</v>
      </c>
      <c r="P2669" s="165">
        <v>0</v>
      </c>
      <c r="Q2669" s="165">
        <v>21</v>
      </c>
      <c r="R2669" s="164" t="s">
        <v>200</v>
      </c>
      <c r="S2669" s="164" t="s">
        <v>201</v>
      </c>
      <c r="T2669" s="165">
        <v>462</v>
      </c>
      <c r="U2669" s="164" t="s">
        <v>200</v>
      </c>
      <c r="V2669" s="164" t="s">
        <v>202</v>
      </c>
      <c r="W2669" s="165">
        <v>6</v>
      </c>
      <c r="X2669" s="165">
        <v>4</v>
      </c>
      <c r="Y2669" s="164" t="s">
        <v>203</v>
      </c>
      <c r="Z2669" s="164" t="s">
        <v>195</v>
      </c>
      <c r="AA2669" s="164" t="s">
        <v>196</v>
      </c>
      <c r="AB2669" s="164" t="s">
        <v>187</v>
      </c>
      <c r="AC2669" s="164" t="s">
        <v>187</v>
      </c>
      <c r="AD2669" s="165">
        <v>1</v>
      </c>
      <c r="AE2669" s="164" t="s">
        <v>187</v>
      </c>
      <c r="AF2669" s="165">
        <v>7.2253117988281401</v>
      </c>
      <c r="AG2669" s="166">
        <v>81.555356729028404</v>
      </c>
      <c r="AO2669" s="121"/>
      <c r="AT2669" s="111"/>
      <c r="AX2669" s="121"/>
    </row>
    <row r="2670" spans="1:50" s="110" customFormat="1" ht="20" customHeight="1">
      <c r="A2670" s="125" t="s">
        <v>224</v>
      </c>
      <c r="B2670" s="126" t="s">
        <v>68</v>
      </c>
      <c r="C2670" s="127">
        <v>18140</v>
      </c>
      <c r="D2670" s="163">
        <v>113647</v>
      </c>
      <c r="E2670" s="164" t="s">
        <v>1378</v>
      </c>
      <c r="F2670" s="164" t="s">
        <v>1378</v>
      </c>
      <c r="G2670" s="165">
        <v>1000</v>
      </c>
      <c r="H2670" s="165">
        <v>1</v>
      </c>
      <c r="I2670" s="164" t="s">
        <v>187</v>
      </c>
      <c r="J2670" s="164" t="s">
        <v>219</v>
      </c>
      <c r="K2670" s="164" t="s">
        <v>220</v>
      </c>
      <c r="L2670" s="165">
        <v>5</v>
      </c>
      <c r="M2670" s="165">
        <v>6</v>
      </c>
      <c r="N2670" s="164" t="s">
        <v>189</v>
      </c>
      <c r="O2670" s="165">
        <v>0</v>
      </c>
      <c r="P2670" s="165">
        <v>0</v>
      </c>
      <c r="Q2670" s="165">
        <v>21</v>
      </c>
      <c r="R2670" s="164" t="s">
        <v>200</v>
      </c>
      <c r="S2670" s="164" t="s">
        <v>201</v>
      </c>
      <c r="T2670" s="165">
        <v>462</v>
      </c>
      <c r="U2670" s="164" t="s">
        <v>200</v>
      </c>
      <c r="V2670" s="164" t="s">
        <v>202</v>
      </c>
      <c r="W2670" s="165">
        <v>4</v>
      </c>
      <c r="X2670" s="165">
        <v>4</v>
      </c>
      <c r="Y2670" s="164" t="s">
        <v>203</v>
      </c>
      <c r="Z2670" s="164" t="s">
        <v>195</v>
      </c>
      <c r="AA2670" s="164" t="s">
        <v>196</v>
      </c>
      <c r="AB2670" s="164" t="s">
        <v>187</v>
      </c>
      <c r="AC2670" s="164" t="s">
        <v>187</v>
      </c>
      <c r="AD2670" s="165">
        <v>1</v>
      </c>
      <c r="AE2670" s="164" t="s">
        <v>187</v>
      </c>
      <c r="AF2670" s="165">
        <v>6.57239347344695</v>
      </c>
      <c r="AG2670" s="166">
        <v>80.123747689766603</v>
      </c>
      <c r="AO2670" s="121"/>
      <c r="AT2670" s="111"/>
      <c r="AX2670" s="121"/>
    </row>
    <row r="2671" spans="1:50" s="110" customFormat="1" ht="20" customHeight="1">
      <c r="A2671" s="125" t="s">
        <v>224</v>
      </c>
      <c r="B2671" s="126" t="s">
        <v>68</v>
      </c>
      <c r="C2671" s="127">
        <v>19483</v>
      </c>
      <c r="D2671" s="163">
        <v>115507</v>
      </c>
      <c r="E2671" s="164" t="s">
        <v>1036</v>
      </c>
      <c r="F2671" s="164" t="s">
        <v>1036</v>
      </c>
      <c r="G2671" s="165">
        <v>500</v>
      </c>
      <c r="H2671" s="165">
        <v>1</v>
      </c>
      <c r="I2671" s="164" t="s">
        <v>187</v>
      </c>
      <c r="J2671" s="164" t="s">
        <v>216</v>
      </c>
      <c r="K2671" s="164" t="s">
        <v>217</v>
      </c>
      <c r="L2671" s="165">
        <v>5</v>
      </c>
      <c r="M2671" s="165">
        <v>6</v>
      </c>
      <c r="N2671" s="164" t="s">
        <v>189</v>
      </c>
      <c r="O2671" s="165">
        <v>0</v>
      </c>
      <c r="P2671" s="165">
        <v>0</v>
      </c>
      <c r="Q2671" s="165">
        <v>21</v>
      </c>
      <c r="R2671" s="164" t="s">
        <v>200</v>
      </c>
      <c r="S2671" s="164" t="s">
        <v>201</v>
      </c>
      <c r="T2671" s="165">
        <v>462</v>
      </c>
      <c r="U2671" s="164" t="s">
        <v>200</v>
      </c>
      <c r="V2671" s="164" t="s">
        <v>202</v>
      </c>
      <c r="W2671" s="165">
        <v>4</v>
      </c>
      <c r="X2671" s="165">
        <v>4</v>
      </c>
      <c r="Y2671" s="164" t="s">
        <v>203</v>
      </c>
      <c r="Z2671" s="164" t="s">
        <v>195</v>
      </c>
      <c r="AA2671" s="164" t="s">
        <v>196</v>
      </c>
      <c r="AB2671" s="164" t="s">
        <v>187</v>
      </c>
      <c r="AC2671" s="164" t="s">
        <v>187</v>
      </c>
      <c r="AD2671" s="165">
        <v>1</v>
      </c>
      <c r="AE2671" s="164" t="s">
        <v>187</v>
      </c>
      <c r="AF2671" s="165">
        <v>6.8685452284126898</v>
      </c>
      <c r="AG2671" s="166">
        <v>80.021684418287606</v>
      </c>
      <c r="AO2671" s="121"/>
      <c r="AT2671" s="111"/>
      <c r="AX2671" s="121"/>
    </row>
    <row r="2672" spans="1:50" s="110" customFormat="1" ht="20" customHeight="1">
      <c r="A2672" s="125" t="s">
        <v>478</v>
      </c>
      <c r="B2672" s="126" t="s">
        <v>56</v>
      </c>
      <c r="C2672" s="127">
        <v>10790</v>
      </c>
      <c r="D2672" s="163">
        <v>101254</v>
      </c>
      <c r="E2672" s="164" t="s">
        <v>1387</v>
      </c>
      <c r="F2672" s="164" t="s">
        <v>1387</v>
      </c>
      <c r="G2672" s="165">
        <v>35000</v>
      </c>
      <c r="H2672" s="165">
        <v>1</v>
      </c>
      <c r="I2672" s="164" t="s">
        <v>187</v>
      </c>
      <c r="J2672" s="164" t="s">
        <v>198</v>
      </c>
      <c r="K2672" s="164" t="s">
        <v>199</v>
      </c>
      <c r="L2672" s="165">
        <v>5</v>
      </c>
      <c r="M2672" s="165">
        <v>6</v>
      </c>
      <c r="N2672" s="164" t="s">
        <v>189</v>
      </c>
      <c r="O2672" s="165">
        <v>3</v>
      </c>
      <c r="P2672" s="165">
        <v>1</v>
      </c>
      <c r="Q2672" s="165">
        <v>21</v>
      </c>
      <c r="R2672" s="164" t="s">
        <v>200</v>
      </c>
      <c r="S2672" s="164" t="s">
        <v>201</v>
      </c>
      <c r="T2672" s="165">
        <v>462</v>
      </c>
      <c r="U2672" s="164" t="s">
        <v>200</v>
      </c>
      <c r="V2672" s="164" t="s">
        <v>202</v>
      </c>
      <c r="W2672" s="165">
        <v>21</v>
      </c>
      <c r="X2672" s="165">
        <v>2</v>
      </c>
      <c r="Y2672" s="164" t="s">
        <v>194</v>
      </c>
      <c r="Z2672" s="164" t="s">
        <v>195</v>
      </c>
      <c r="AA2672" s="164" t="s">
        <v>196</v>
      </c>
      <c r="AB2672" s="164" t="s">
        <v>187</v>
      </c>
      <c r="AC2672" s="164" t="s">
        <v>209</v>
      </c>
      <c r="AD2672" s="165">
        <v>1</v>
      </c>
      <c r="AE2672" s="164" t="s">
        <v>209</v>
      </c>
      <c r="AF2672" s="165">
        <v>17.3634403280087</v>
      </c>
      <c r="AG2672" s="166">
        <v>102.805665499263</v>
      </c>
      <c r="AO2672" s="121"/>
      <c r="AT2672" s="111"/>
      <c r="AX2672" s="121"/>
    </row>
    <row r="2673" spans="1:50" s="110" customFormat="1" ht="20" customHeight="1">
      <c r="A2673" s="125" t="s">
        <v>478</v>
      </c>
      <c r="B2673" s="126" t="s">
        <v>56</v>
      </c>
      <c r="C2673" s="127">
        <v>11359</v>
      </c>
      <c r="D2673" s="163">
        <v>102170</v>
      </c>
      <c r="E2673" s="164" t="s">
        <v>1304</v>
      </c>
      <c r="F2673" s="164" t="s">
        <v>1304</v>
      </c>
      <c r="G2673" s="165">
        <v>4100</v>
      </c>
      <c r="H2673" s="165">
        <v>1</v>
      </c>
      <c r="I2673" s="164" t="s">
        <v>187</v>
      </c>
      <c r="J2673" s="164" t="s">
        <v>1305</v>
      </c>
      <c r="K2673" s="164" t="s">
        <v>1304</v>
      </c>
      <c r="L2673" s="165">
        <v>3</v>
      </c>
      <c r="M2673" s="165">
        <v>6</v>
      </c>
      <c r="N2673" s="164" t="s">
        <v>189</v>
      </c>
      <c r="O2673" s="165">
        <v>0</v>
      </c>
      <c r="P2673" s="165">
        <v>0</v>
      </c>
      <c r="Q2673" s="165">
        <v>21</v>
      </c>
      <c r="R2673" s="164" t="s">
        <v>200</v>
      </c>
      <c r="S2673" s="164" t="s">
        <v>201</v>
      </c>
      <c r="T2673" s="165">
        <v>462</v>
      </c>
      <c r="U2673" s="164" t="s">
        <v>200</v>
      </c>
      <c r="V2673" s="164" t="s">
        <v>202</v>
      </c>
      <c r="W2673" s="165">
        <v>8</v>
      </c>
      <c r="X2673" s="165">
        <v>2</v>
      </c>
      <c r="Y2673" s="164" t="s">
        <v>194</v>
      </c>
      <c r="Z2673" s="164" t="s">
        <v>195</v>
      </c>
      <c r="AA2673" s="164" t="s">
        <v>196</v>
      </c>
      <c r="AB2673" s="164" t="s">
        <v>187</v>
      </c>
      <c r="AC2673" s="164" t="s">
        <v>209</v>
      </c>
      <c r="AD2673" s="165">
        <v>1</v>
      </c>
      <c r="AE2673" s="164" t="s">
        <v>187</v>
      </c>
      <c r="AF2673" s="165">
        <v>13.716552</v>
      </c>
      <c r="AG2673" s="166">
        <v>100.49447499999999</v>
      </c>
      <c r="AO2673" s="121"/>
      <c r="AT2673" s="111"/>
      <c r="AX2673" s="121"/>
    </row>
    <row r="2674" spans="1:50" s="110" customFormat="1" ht="20" customHeight="1">
      <c r="A2674" s="125" t="s">
        <v>486</v>
      </c>
      <c r="B2674" s="126" t="s">
        <v>57</v>
      </c>
      <c r="C2674" s="127">
        <v>21537</v>
      </c>
      <c r="D2674" s="163">
        <v>116298</v>
      </c>
      <c r="E2674" s="164" t="s">
        <v>1187</v>
      </c>
      <c r="F2674" s="164" t="s">
        <v>1187</v>
      </c>
      <c r="G2674" s="165">
        <v>166000</v>
      </c>
      <c r="H2674" s="165">
        <v>1</v>
      </c>
      <c r="I2674" s="164" t="s">
        <v>187</v>
      </c>
      <c r="J2674" s="164" t="s">
        <v>198</v>
      </c>
      <c r="K2674" s="164" t="s">
        <v>199</v>
      </c>
      <c r="L2674" s="165">
        <v>5</v>
      </c>
      <c r="M2674" s="165">
        <v>6</v>
      </c>
      <c r="N2674" s="164" t="s">
        <v>189</v>
      </c>
      <c r="O2674" s="165">
        <v>0</v>
      </c>
      <c r="P2674" s="165">
        <v>0</v>
      </c>
      <c r="Q2674" s="165">
        <v>21</v>
      </c>
      <c r="R2674" s="164" t="s">
        <v>200</v>
      </c>
      <c r="S2674" s="164" t="s">
        <v>201</v>
      </c>
      <c r="T2674" s="165">
        <v>463</v>
      </c>
      <c r="U2674" s="164" t="s">
        <v>200</v>
      </c>
      <c r="V2674" s="164" t="s">
        <v>1184</v>
      </c>
      <c r="W2674" s="165">
        <v>4</v>
      </c>
      <c r="X2674" s="165">
        <v>4</v>
      </c>
      <c r="Y2674" s="164" t="s">
        <v>203</v>
      </c>
      <c r="Z2674" s="164" t="s">
        <v>195</v>
      </c>
      <c r="AA2674" s="164" t="s">
        <v>196</v>
      </c>
      <c r="AB2674" s="164" t="s">
        <v>187</v>
      </c>
      <c r="AC2674" s="164" t="s">
        <v>187</v>
      </c>
      <c r="AD2674" s="165">
        <v>3</v>
      </c>
      <c r="AE2674" s="164" t="s">
        <v>187</v>
      </c>
      <c r="AF2674" s="165">
        <v>24.261444894736801</v>
      </c>
      <c r="AG2674" s="166">
        <v>90.734748586528696</v>
      </c>
      <c r="AO2674" s="121"/>
      <c r="AT2674" s="111"/>
      <c r="AX2674" s="121"/>
    </row>
    <row r="2675" spans="1:50" s="110" customFormat="1" ht="20" customHeight="1">
      <c r="A2675" s="125" t="s">
        <v>237</v>
      </c>
      <c r="B2675" s="126" t="s">
        <v>60</v>
      </c>
      <c r="C2675" s="127">
        <v>14256</v>
      </c>
      <c r="D2675" s="163">
        <v>107909</v>
      </c>
      <c r="E2675" s="164" t="s">
        <v>1182</v>
      </c>
      <c r="F2675" s="164" t="s">
        <v>1182</v>
      </c>
      <c r="G2675" s="165">
        <v>6000</v>
      </c>
      <c r="H2675" s="165">
        <v>1</v>
      </c>
      <c r="I2675" s="164" t="s">
        <v>187</v>
      </c>
      <c r="J2675" s="164" t="s">
        <v>300</v>
      </c>
      <c r="K2675" s="164" t="s">
        <v>301</v>
      </c>
      <c r="L2675" s="165">
        <v>5</v>
      </c>
      <c r="M2675" s="165">
        <v>6</v>
      </c>
      <c r="N2675" s="164" t="s">
        <v>189</v>
      </c>
      <c r="O2675" s="165">
        <v>0</v>
      </c>
      <c r="P2675" s="165">
        <v>0</v>
      </c>
      <c r="Q2675" s="165">
        <v>21</v>
      </c>
      <c r="R2675" s="164" t="s">
        <v>200</v>
      </c>
      <c r="S2675" s="164" t="s">
        <v>201</v>
      </c>
      <c r="T2675" s="165">
        <v>463</v>
      </c>
      <c r="U2675" s="164" t="s">
        <v>200</v>
      </c>
      <c r="V2675" s="164" t="s">
        <v>1184</v>
      </c>
      <c r="W2675" s="165">
        <v>18</v>
      </c>
      <c r="X2675" s="165">
        <v>2</v>
      </c>
      <c r="Y2675" s="164" t="s">
        <v>194</v>
      </c>
      <c r="Z2675" s="164" t="s">
        <v>195</v>
      </c>
      <c r="AA2675" s="164" t="s">
        <v>196</v>
      </c>
      <c r="AB2675" s="164" t="s">
        <v>187</v>
      </c>
      <c r="AC2675" s="164" t="s">
        <v>209</v>
      </c>
      <c r="AD2675" s="165">
        <v>1</v>
      </c>
      <c r="AE2675" s="164" t="s">
        <v>187</v>
      </c>
      <c r="AF2675" s="165">
        <v>3.1199403090979598</v>
      </c>
      <c r="AG2675" s="166">
        <v>101.684477165589</v>
      </c>
      <c r="AO2675" s="121"/>
      <c r="AT2675" s="111"/>
      <c r="AX2675" s="121"/>
    </row>
    <row r="2676" spans="1:50" s="110" customFormat="1" ht="20" customHeight="1">
      <c r="A2676" s="125" t="s">
        <v>231</v>
      </c>
      <c r="B2676" s="126" t="s">
        <v>66</v>
      </c>
      <c r="C2676" s="127">
        <v>14256</v>
      </c>
      <c r="D2676" s="163">
        <v>107909</v>
      </c>
      <c r="E2676" s="164" t="s">
        <v>1182</v>
      </c>
      <c r="F2676" s="164" t="s">
        <v>1183</v>
      </c>
      <c r="G2676" s="165">
        <v>28679000</v>
      </c>
      <c r="H2676" s="165">
        <v>1</v>
      </c>
      <c r="I2676" s="164" t="s">
        <v>187</v>
      </c>
      <c r="J2676" s="164" t="s">
        <v>300</v>
      </c>
      <c r="K2676" s="164" t="s">
        <v>301</v>
      </c>
      <c r="L2676" s="165">
        <v>5</v>
      </c>
      <c r="M2676" s="165">
        <v>6</v>
      </c>
      <c r="N2676" s="164" t="s">
        <v>189</v>
      </c>
      <c r="O2676" s="165">
        <v>0</v>
      </c>
      <c r="P2676" s="168"/>
      <c r="Q2676" s="165">
        <v>21</v>
      </c>
      <c r="R2676" s="164" t="s">
        <v>200</v>
      </c>
      <c r="S2676" s="164" t="s">
        <v>201</v>
      </c>
      <c r="T2676" s="165">
        <v>463</v>
      </c>
      <c r="U2676" s="164" t="s">
        <v>200</v>
      </c>
      <c r="V2676" s="164" t="s">
        <v>1184</v>
      </c>
      <c r="W2676" s="165">
        <v>18</v>
      </c>
      <c r="X2676" s="165">
        <v>4</v>
      </c>
      <c r="Y2676" s="164" t="s">
        <v>203</v>
      </c>
      <c r="Z2676" s="164" t="s">
        <v>195</v>
      </c>
      <c r="AA2676" s="164" t="s">
        <v>196</v>
      </c>
      <c r="AB2676" s="164" t="s">
        <v>187</v>
      </c>
      <c r="AC2676" s="164" t="s">
        <v>187</v>
      </c>
      <c r="AD2676" s="165">
        <v>574</v>
      </c>
      <c r="AE2676" s="164" t="s">
        <v>187</v>
      </c>
      <c r="AF2676" s="165">
        <v>33.794040000000003</v>
      </c>
      <c r="AG2676" s="166">
        <v>71.359989999999996</v>
      </c>
      <c r="AO2676" s="121"/>
      <c r="AT2676" s="111"/>
      <c r="AX2676" s="121"/>
    </row>
    <row r="2677" spans="1:50" s="110" customFormat="1" ht="20" customHeight="1">
      <c r="A2677" s="125" t="s">
        <v>231</v>
      </c>
      <c r="B2677" s="126" t="s">
        <v>66</v>
      </c>
      <c r="C2677" s="127">
        <v>19454</v>
      </c>
      <c r="D2677" s="163">
        <v>115595</v>
      </c>
      <c r="E2677" s="164" t="s">
        <v>1186</v>
      </c>
      <c r="F2677" s="164" t="s">
        <v>1186</v>
      </c>
      <c r="G2677" s="165">
        <v>536000</v>
      </c>
      <c r="H2677" s="165">
        <v>1</v>
      </c>
      <c r="I2677" s="164" t="s">
        <v>187</v>
      </c>
      <c r="J2677" s="164" t="s">
        <v>222</v>
      </c>
      <c r="K2677" s="164" t="s">
        <v>223</v>
      </c>
      <c r="L2677" s="165">
        <v>4</v>
      </c>
      <c r="M2677" s="165">
        <v>6</v>
      </c>
      <c r="N2677" s="164" t="s">
        <v>189</v>
      </c>
      <c r="O2677" s="165">
        <v>0</v>
      </c>
      <c r="P2677" s="165">
        <v>0</v>
      </c>
      <c r="Q2677" s="165">
        <v>21</v>
      </c>
      <c r="R2677" s="164" t="s">
        <v>200</v>
      </c>
      <c r="S2677" s="164" t="s">
        <v>201</v>
      </c>
      <c r="T2677" s="165">
        <v>463</v>
      </c>
      <c r="U2677" s="164" t="s">
        <v>200</v>
      </c>
      <c r="V2677" s="164" t="s">
        <v>1184</v>
      </c>
      <c r="W2677" s="165">
        <v>1</v>
      </c>
      <c r="X2677" s="165">
        <v>4</v>
      </c>
      <c r="Y2677" s="164" t="s">
        <v>203</v>
      </c>
      <c r="Z2677" s="164" t="s">
        <v>195</v>
      </c>
      <c r="AA2677" s="164" t="s">
        <v>196</v>
      </c>
      <c r="AB2677" s="164" t="s">
        <v>187</v>
      </c>
      <c r="AC2677" s="164" t="s">
        <v>187</v>
      </c>
      <c r="AD2677" s="165">
        <v>11</v>
      </c>
      <c r="AE2677" s="164" t="s">
        <v>187</v>
      </c>
      <c r="AF2677" s="165">
        <v>33.433017914895999</v>
      </c>
      <c r="AG2677" s="166">
        <v>73.230737121303306</v>
      </c>
      <c r="AO2677" s="121"/>
      <c r="AT2677" s="111"/>
      <c r="AX2677" s="121"/>
    </row>
    <row r="2678" spans="1:50" s="110" customFormat="1" ht="20" customHeight="1">
      <c r="A2678" s="125" t="s">
        <v>231</v>
      </c>
      <c r="B2678" s="126" t="s">
        <v>66</v>
      </c>
      <c r="C2678" s="127">
        <v>21599</v>
      </c>
      <c r="D2678" s="167"/>
      <c r="E2678" s="164" t="s">
        <v>1185</v>
      </c>
      <c r="F2678" s="164" t="s">
        <v>1185</v>
      </c>
      <c r="G2678" s="165">
        <v>26000</v>
      </c>
      <c r="H2678" s="165">
        <v>1</v>
      </c>
      <c r="I2678" s="164" t="s">
        <v>187</v>
      </c>
      <c r="J2678" s="164" t="s">
        <v>213</v>
      </c>
      <c r="K2678" s="164" t="s">
        <v>214</v>
      </c>
      <c r="L2678" s="165">
        <v>1</v>
      </c>
      <c r="M2678" s="165">
        <v>6</v>
      </c>
      <c r="N2678" s="164" t="s">
        <v>189</v>
      </c>
      <c r="O2678" s="165">
        <v>0</v>
      </c>
      <c r="P2678" s="165">
        <v>0</v>
      </c>
      <c r="Q2678" s="165">
        <v>21</v>
      </c>
      <c r="R2678" s="164" t="s">
        <v>200</v>
      </c>
      <c r="S2678" s="164" t="s">
        <v>201</v>
      </c>
      <c r="T2678" s="165">
        <v>463</v>
      </c>
      <c r="U2678" s="164" t="s">
        <v>200</v>
      </c>
      <c r="V2678" s="164" t="s">
        <v>1184</v>
      </c>
      <c r="W2678" s="165">
        <v>1</v>
      </c>
      <c r="X2678" s="165">
        <v>4</v>
      </c>
      <c r="Y2678" s="164" t="s">
        <v>203</v>
      </c>
      <c r="Z2678" s="164" t="s">
        <v>195</v>
      </c>
      <c r="AA2678" s="164" t="s">
        <v>196</v>
      </c>
      <c r="AB2678" s="164" t="s">
        <v>187</v>
      </c>
      <c r="AC2678" s="164" t="s">
        <v>187</v>
      </c>
      <c r="AD2678" s="165">
        <v>1</v>
      </c>
      <c r="AE2678" s="164" t="s">
        <v>187</v>
      </c>
      <c r="AF2678" s="165">
        <v>34.515279999999997</v>
      </c>
      <c r="AG2678" s="166">
        <v>72.865970000000004</v>
      </c>
      <c r="AO2678" s="121"/>
      <c r="AT2678" s="111"/>
      <c r="AX2678" s="121"/>
    </row>
    <row r="2679" spans="1:50" s="110" customFormat="1" ht="20" customHeight="1">
      <c r="A2679" s="125" t="s">
        <v>224</v>
      </c>
      <c r="B2679" s="126" t="s">
        <v>68</v>
      </c>
      <c r="C2679" s="127">
        <v>21537</v>
      </c>
      <c r="D2679" s="163">
        <v>116298</v>
      </c>
      <c r="E2679" s="164" t="s">
        <v>1187</v>
      </c>
      <c r="F2679" s="164" t="s">
        <v>1187</v>
      </c>
      <c r="G2679" s="165">
        <v>41000</v>
      </c>
      <c r="H2679" s="165">
        <v>1</v>
      </c>
      <c r="I2679" s="164" t="s">
        <v>187</v>
      </c>
      <c r="J2679" s="164" t="s">
        <v>1989</v>
      </c>
      <c r="K2679" s="164" t="s">
        <v>1990</v>
      </c>
      <c r="L2679" s="165">
        <v>5</v>
      </c>
      <c r="M2679" s="165">
        <v>6</v>
      </c>
      <c r="N2679" s="164" t="s">
        <v>189</v>
      </c>
      <c r="O2679" s="165">
        <v>0</v>
      </c>
      <c r="P2679" s="165">
        <v>0</v>
      </c>
      <c r="Q2679" s="165">
        <v>21</v>
      </c>
      <c r="R2679" s="164" t="s">
        <v>200</v>
      </c>
      <c r="S2679" s="164" t="s">
        <v>201</v>
      </c>
      <c r="T2679" s="165">
        <v>463</v>
      </c>
      <c r="U2679" s="164" t="s">
        <v>200</v>
      </c>
      <c r="V2679" s="164" t="s">
        <v>1184</v>
      </c>
      <c r="W2679" s="165">
        <v>4</v>
      </c>
      <c r="X2679" s="165">
        <v>4</v>
      </c>
      <c r="Y2679" s="164" t="s">
        <v>203</v>
      </c>
      <c r="Z2679" s="164" t="s">
        <v>195</v>
      </c>
      <c r="AA2679" s="164" t="s">
        <v>196</v>
      </c>
      <c r="AB2679" s="164" t="s">
        <v>187</v>
      </c>
      <c r="AC2679" s="164" t="s">
        <v>187</v>
      </c>
      <c r="AD2679" s="165">
        <v>1</v>
      </c>
      <c r="AE2679" s="164" t="s">
        <v>187</v>
      </c>
      <c r="AF2679" s="165">
        <v>7.1846300000000003</v>
      </c>
      <c r="AG2679" s="166">
        <v>80.678309999999996</v>
      </c>
      <c r="AO2679" s="121"/>
      <c r="AT2679" s="111"/>
      <c r="AX2679" s="121"/>
    </row>
    <row r="2680" spans="1:50" s="110" customFormat="1" ht="20" customHeight="1">
      <c r="A2680" s="125" t="s">
        <v>486</v>
      </c>
      <c r="B2680" s="126" t="s">
        <v>57</v>
      </c>
      <c r="C2680" s="127">
        <v>17667</v>
      </c>
      <c r="D2680" s="163">
        <v>113109</v>
      </c>
      <c r="E2680" s="164" t="s">
        <v>1225</v>
      </c>
      <c r="F2680" s="164" t="s">
        <v>1225</v>
      </c>
      <c r="G2680" s="165">
        <v>16000</v>
      </c>
      <c r="H2680" s="165">
        <v>1</v>
      </c>
      <c r="I2680" s="164" t="s">
        <v>187</v>
      </c>
      <c r="J2680" s="164" t="s">
        <v>198</v>
      </c>
      <c r="K2680" s="164" t="s">
        <v>199</v>
      </c>
      <c r="L2680" s="165">
        <v>5</v>
      </c>
      <c r="M2680" s="165">
        <v>6</v>
      </c>
      <c r="N2680" s="164" t="s">
        <v>189</v>
      </c>
      <c r="O2680" s="165">
        <v>0</v>
      </c>
      <c r="P2680" s="165">
        <v>0</v>
      </c>
      <c r="Q2680" s="165">
        <v>21</v>
      </c>
      <c r="R2680" s="164" t="s">
        <v>200</v>
      </c>
      <c r="S2680" s="164" t="s">
        <v>201</v>
      </c>
      <c r="T2680" s="165">
        <v>464</v>
      </c>
      <c r="U2680" s="164" t="s">
        <v>200</v>
      </c>
      <c r="V2680" s="164" t="s">
        <v>1226</v>
      </c>
      <c r="W2680" s="165">
        <v>5</v>
      </c>
      <c r="X2680" s="165">
        <v>4</v>
      </c>
      <c r="Y2680" s="164" t="s">
        <v>203</v>
      </c>
      <c r="Z2680" s="164" t="s">
        <v>195</v>
      </c>
      <c r="AA2680" s="164" t="s">
        <v>196</v>
      </c>
      <c r="AB2680" s="164" t="s">
        <v>187</v>
      </c>
      <c r="AC2680" s="164" t="s">
        <v>187</v>
      </c>
      <c r="AD2680" s="165">
        <v>1</v>
      </c>
      <c r="AE2680" s="164" t="s">
        <v>187</v>
      </c>
      <c r="AF2680" s="165">
        <v>22.440782234435702</v>
      </c>
      <c r="AG2680" s="166">
        <v>89.494672985334702</v>
      </c>
      <c r="AO2680" s="121"/>
      <c r="AT2680" s="111"/>
      <c r="AX2680" s="121"/>
    </row>
    <row r="2681" spans="1:50" s="110" customFormat="1" ht="20" customHeight="1">
      <c r="A2681" s="125" t="s">
        <v>231</v>
      </c>
      <c r="B2681" s="126" t="s">
        <v>66</v>
      </c>
      <c r="C2681" s="127">
        <v>17667</v>
      </c>
      <c r="D2681" s="163">
        <v>113109</v>
      </c>
      <c r="E2681" s="164" t="s">
        <v>1225</v>
      </c>
      <c r="F2681" s="164" t="s">
        <v>1225</v>
      </c>
      <c r="G2681" s="165">
        <v>17109000</v>
      </c>
      <c r="H2681" s="165">
        <v>1</v>
      </c>
      <c r="I2681" s="164" t="s">
        <v>187</v>
      </c>
      <c r="J2681" s="164" t="s">
        <v>222</v>
      </c>
      <c r="K2681" s="164" t="s">
        <v>223</v>
      </c>
      <c r="L2681" s="165">
        <v>4</v>
      </c>
      <c r="M2681" s="165">
        <v>6</v>
      </c>
      <c r="N2681" s="164" t="s">
        <v>189</v>
      </c>
      <c r="O2681" s="165">
        <v>0</v>
      </c>
      <c r="P2681" s="165">
        <v>0</v>
      </c>
      <c r="Q2681" s="165">
        <v>21</v>
      </c>
      <c r="R2681" s="164" t="s">
        <v>200</v>
      </c>
      <c r="S2681" s="164" t="s">
        <v>201</v>
      </c>
      <c r="T2681" s="165">
        <v>464</v>
      </c>
      <c r="U2681" s="164" t="s">
        <v>200</v>
      </c>
      <c r="V2681" s="164" t="s">
        <v>1226</v>
      </c>
      <c r="W2681" s="165">
        <v>5</v>
      </c>
      <c r="X2681" s="165">
        <v>4</v>
      </c>
      <c r="Y2681" s="164" t="s">
        <v>203</v>
      </c>
      <c r="Z2681" s="164" t="s">
        <v>195</v>
      </c>
      <c r="AA2681" s="164" t="s">
        <v>196</v>
      </c>
      <c r="AB2681" s="164" t="s">
        <v>187</v>
      </c>
      <c r="AC2681" s="164" t="s">
        <v>187</v>
      </c>
      <c r="AD2681" s="165">
        <v>342</v>
      </c>
      <c r="AE2681" s="164" t="s">
        <v>187</v>
      </c>
      <c r="AF2681" s="165">
        <v>33.429547399708802</v>
      </c>
      <c r="AG2681" s="166">
        <v>73.2302361299014</v>
      </c>
      <c r="AO2681" s="121"/>
      <c r="AT2681" s="111"/>
      <c r="AX2681" s="121"/>
    </row>
    <row r="2682" spans="1:50" s="110" customFormat="1" ht="20" customHeight="1">
      <c r="A2682" s="125" t="s">
        <v>231</v>
      </c>
      <c r="B2682" s="126" t="s">
        <v>66</v>
      </c>
      <c r="C2682" s="127">
        <v>20234</v>
      </c>
      <c r="D2682" s="163">
        <v>115978</v>
      </c>
      <c r="E2682" s="164" t="s">
        <v>1234</v>
      </c>
      <c r="F2682" s="164" t="s">
        <v>1234</v>
      </c>
      <c r="G2682" s="165">
        <v>857000</v>
      </c>
      <c r="H2682" s="165">
        <v>1</v>
      </c>
      <c r="I2682" s="164" t="s">
        <v>187</v>
      </c>
      <c r="J2682" s="164" t="s">
        <v>222</v>
      </c>
      <c r="K2682" s="164" t="s">
        <v>223</v>
      </c>
      <c r="L2682" s="165">
        <v>4</v>
      </c>
      <c r="M2682" s="165">
        <v>6</v>
      </c>
      <c r="N2682" s="164" t="s">
        <v>189</v>
      </c>
      <c r="O2682" s="165">
        <v>0</v>
      </c>
      <c r="P2682" s="165">
        <v>0</v>
      </c>
      <c r="Q2682" s="165">
        <v>21</v>
      </c>
      <c r="R2682" s="164" t="s">
        <v>200</v>
      </c>
      <c r="S2682" s="164" t="s">
        <v>201</v>
      </c>
      <c r="T2682" s="165">
        <v>464</v>
      </c>
      <c r="U2682" s="164" t="s">
        <v>200</v>
      </c>
      <c r="V2682" s="164" t="s">
        <v>1226</v>
      </c>
      <c r="W2682" s="165">
        <v>2</v>
      </c>
      <c r="X2682" s="165">
        <v>4</v>
      </c>
      <c r="Y2682" s="164" t="s">
        <v>203</v>
      </c>
      <c r="Z2682" s="164" t="s">
        <v>195</v>
      </c>
      <c r="AA2682" s="164" t="s">
        <v>196</v>
      </c>
      <c r="AB2682" s="164" t="s">
        <v>187</v>
      </c>
      <c r="AC2682" s="164" t="s">
        <v>187</v>
      </c>
      <c r="AD2682" s="165">
        <v>17</v>
      </c>
      <c r="AE2682" s="164" t="s">
        <v>187</v>
      </c>
      <c r="AF2682" s="165">
        <v>31.355479868459501</v>
      </c>
      <c r="AG2682" s="166">
        <v>73.241512847312606</v>
      </c>
      <c r="AO2682" s="121"/>
      <c r="AT2682" s="111"/>
      <c r="AX2682" s="121"/>
    </row>
    <row r="2683" spans="1:50" s="110" customFormat="1" ht="20" customHeight="1">
      <c r="A2683" s="125" t="s">
        <v>231</v>
      </c>
      <c r="B2683" s="126" t="s">
        <v>66</v>
      </c>
      <c r="C2683" s="127">
        <v>20235</v>
      </c>
      <c r="D2683" s="163">
        <v>115979</v>
      </c>
      <c r="E2683" s="164" t="s">
        <v>1236</v>
      </c>
      <c r="F2683" s="164" t="s">
        <v>1236</v>
      </c>
      <c r="G2683" s="165">
        <v>614000</v>
      </c>
      <c r="H2683" s="165">
        <v>1</v>
      </c>
      <c r="I2683" s="164" t="s">
        <v>187</v>
      </c>
      <c r="J2683" s="164" t="s">
        <v>222</v>
      </c>
      <c r="K2683" s="164" t="s">
        <v>223</v>
      </c>
      <c r="L2683" s="165">
        <v>4</v>
      </c>
      <c r="M2683" s="165">
        <v>6</v>
      </c>
      <c r="N2683" s="164" t="s">
        <v>189</v>
      </c>
      <c r="O2683" s="165">
        <v>0</v>
      </c>
      <c r="P2683" s="165">
        <v>0</v>
      </c>
      <c r="Q2683" s="165">
        <v>21</v>
      </c>
      <c r="R2683" s="164" t="s">
        <v>200</v>
      </c>
      <c r="S2683" s="164" t="s">
        <v>201</v>
      </c>
      <c r="T2683" s="165">
        <v>464</v>
      </c>
      <c r="U2683" s="164" t="s">
        <v>200</v>
      </c>
      <c r="V2683" s="164" t="s">
        <v>1226</v>
      </c>
      <c r="W2683" s="165">
        <v>3</v>
      </c>
      <c r="X2683" s="165">
        <v>4</v>
      </c>
      <c r="Y2683" s="164" t="s">
        <v>203</v>
      </c>
      <c r="Z2683" s="164" t="s">
        <v>195</v>
      </c>
      <c r="AA2683" s="164" t="s">
        <v>196</v>
      </c>
      <c r="AB2683" s="164" t="s">
        <v>187</v>
      </c>
      <c r="AC2683" s="164" t="s">
        <v>187</v>
      </c>
      <c r="AD2683" s="165">
        <v>12</v>
      </c>
      <c r="AE2683" s="164" t="s">
        <v>187</v>
      </c>
      <c r="AF2683" s="165">
        <v>31.361590327742199</v>
      </c>
      <c r="AG2683" s="166">
        <v>73.246284942442699</v>
      </c>
      <c r="AO2683" s="121"/>
      <c r="AT2683" s="111"/>
      <c r="AX2683" s="121"/>
    </row>
    <row r="2684" spans="1:50" s="110" customFormat="1" ht="20" customHeight="1">
      <c r="A2684" s="125" t="s">
        <v>231</v>
      </c>
      <c r="B2684" s="126" t="s">
        <v>66</v>
      </c>
      <c r="C2684" s="127">
        <v>20277</v>
      </c>
      <c r="D2684" s="163">
        <v>116012</v>
      </c>
      <c r="E2684" s="164" t="s">
        <v>1283</v>
      </c>
      <c r="F2684" s="164" t="s">
        <v>1283</v>
      </c>
      <c r="G2684" s="165">
        <v>436000</v>
      </c>
      <c r="H2684" s="165">
        <v>1</v>
      </c>
      <c r="I2684" s="164" t="s">
        <v>187</v>
      </c>
      <c r="J2684" s="164" t="s">
        <v>222</v>
      </c>
      <c r="K2684" s="164" t="s">
        <v>223</v>
      </c>
      <c r="L2684" s="165">
        <v>4</v>
      </c>
      <c r="M2684" s="165">
        <v>6</v>
      </c>
      <c r="N2684" s="164" t="s">
        <v>189</v>
      </c>
      <c r="O2684" s="165">
        <v>0</v>
      </c>
      <c r="P2684" s="165">
        <v>0</v>
      </c>
      <c r="Q2684" s="165">
        <v>21</v>
      </c>
      <c r="R2684" s="164" t="s">
        <v>200</v>
      </c>
      <c r="S2684" s="164" t="s">
        <v>201</v>
      </c>
      <c r="T2684" s="165">
        <v>464</v>
      </c>
      <c r="U2684" s="164" t="s">
        <v>200</v>
      </c>
      <c r="V2684" s="164" t="s">
        <v>1226</v>
      </c>
      <c r="W2684" s="165">
        <v>1</v>
      </c>
      <c r="X2684" s="165">
        <v>4</v>
      </c>
      <c r="Y2684" s="164" t="s">
        <v>203</v>
      </c>
      <c r="Z2684" s="164" t="s">
        <v>195</v>
      </c>
      <c r="AA2684" s="164" t="s">
        <v>196</v>
      </c>
      <c r="AB2684" s="164" t="s">
        <v>187</v>
      </c>
      <c r="AC2684" s="164" t="s">
        <v>187</v>
      </c>
      <c r="AD2684" s="165">
        <v>9</v>
      </c>
      <c r="AE2684" s="164" t="s">
        <v>187</v>
      </c>
      <c r="AF2684" s="165">
        <v>31.361698280182701</v>
      </c>
      <c r="AG2684" s="166">
        <v>73.241483242387304</v>
      </c>
      <c r="AO2684" s="121"/>
      <c r="AT2684" s="111"/>
      <c r="AX2684" s="121"/>
    </row>
    <row r="2685" spans="1:50" s="110" customFormat="1" ht="20" customHeight="1">
      <c r="A2685" s="125" t="s">
        <v>231</v>
      </c>
      <c r="B2685" s="126" t="s">
        <v>66</v>
      </c>
      <c r="C2685" s="127">
        <v>20226</v>
      </c>
      <c r="D2685" s="163">
        <v>115970</v>
      </c>
      <c r="E2685" s="164" t="s">
        <v>1272</v>
      </c>
      <c r="F2685" s="164" t="s">
        <v>1272</v>
      </c>
      <c r="G2685" s="165">
        <v>263000</v>
      </c>
      <c r="H2685" s="165">
        <v>1</v>
      </c>
      <c r="I2685" s="164" t="s">
        <v>187</v>
      </c>
      <c r="J2685" s="164" t="s">
        <v>222</v>
      </c>
      <c r="K2685" s="164" t="s">
        <v>223</v>
      </c>
      <c r="L2685" s="165">
        <v>4</v>
      </c>
      <c r="M2685" s="165">
        <v>6</v>
      </c>
      <c r="N2685" s="164" t="s">
        <v>189</v>
      </c>
      <c r="O2685" s="165">
        <v>0</v>
      </c>
      <c r="P2685" s="165">
        <v>0</v>
      </c>
      <c r="Q2685" s="165">
        <v>21</v>
      </c>
      <c r="R2685" s="164" t="s">
        <v>200</v>
      </c>
      <c r="S2685" s="164" t="s">
        <v>201</v>
      </c>
      <c r="T2685" s="165">
        <v>464</v>
      </c>
      <c r="U2685" s="164" t="s">
        <v>200</v>
      </c>
      <c r="V2685" s="164" t="s">
        <v>1226</v>
      </c>
      <c r="W2685" s="165">
        <v>3</v>
      </c>
      <c r="X2685" s="165">
        <v>4</v>
      </c>
      <c r="Y2685" s="164" t="s">
        <v>203</v>
      </c>
      <c r="Z2685" s="164" t="s">
        <v>195</v>
      </c>
      <c r="AA2685" s="164" t="s">
        <v>196</v>
      </c>
      <c r="AB2685" s="164" t="s">
        <v>187</v>
      </c>
      <c r="AC2685" s="164" t="s">
        <v>187</v>
      </c>
      <c r="AD2685" s="165">
        <v>5</v>
      </c>
      <c r="AE2685" s="164" t="s">
        <v>187</v>
      </c>
      <c r="AF2685" s="165">
        <v>30.0791571211908</v>
      </c>
      <c r="AG2685" s="166">
        <v>71.4601640139648</v>
      </c>
      <c r="AO2685" s="121"/>
      <c r="AT2685" s="111"/>
      <c r="AX2685" s="121"/>
    </row>
    <row r="2686" spans="1:50" s="110" customFormat="1" ht="20" customHeight="1">
      <c r="A2686" s="125" t="s">
        <v>231</v>
      </c>
      <c r="B2686" s="126" t="s">
        <v>66</v>
      </c>
      <c r="C2686" s="127">
        <v>20238</v>
      </c>
      <c r="D2686" s="163">
        <v>115982</v>
      </c>
      <c r="E2686" s="164" t="s">
        <v>1250</v>
      </c>
      <c r="F2686" s="164" t="s">
        <v>1250</v>
      </c>
      <c r="G2686" s="165">
        <v>235000</v>
      </c>
      <c r="H2686" s="165">
        <v>1</v>
      </c>
      <c r="I2686" s="164" t="s">
        <v>187</v>
      </c>
      <c r="J2686" s="164" t="s">
        <v>222</v>
      </c>
      <c r="K2686" s="164" t="s">
        <v>223</v>
      </c>
      <c r="L2686" s="165">
        <v>4</v>
      </c>
      <c r="M2686" s="165">
        <v>6</v>
      </c>
      <c r="N2686" s="164" t="s">
        <v>189</v>
      </c>
      <c r="O2686" s="165">
        <v>0</v>
      </c>
      <c r="P2686" s="165">
        <v>0</v>
      </c>
      <c r="Q2686" s="165">
        <v>21</v>
      </c>
      <c r="R2686" s="164" t="s">
        <v>200</v>
      </c>
      <c r="S2686" s="164" t="s">
        <v>201</v>
      </c>
      <c r="T2686" s="165">
        <v>464</v>
      </c>
      <c r="U2686" s="164" t="s">
        <v>200</v>
      </c>
      <c r="V2686" s="164" t="s">
        <v>1226</v>
      </c>
      <c r="W2686" s="165">
        <v>2</v>
      </c>
      <c r="X2686" s="165">
        <v>4</v>
      </c>
      <c r="Y2686" s="164" t="s">
        <v>203</v>
      </c>
      <c r="Z2686" s="164" t="s">
        <v>195</v>
      </c>
      <c r="AA2686" s="164" t="s">
        <v>196</v>
      </c>
      <c r="AB2686" s="164" t="s">
        <v>187</v>
      </c>
      <c r="AC2686" s="164" t="s">
        <v>187</v>
      </c>
      <c r="AD2686" s="165">
        <v>5</v>
      </c>
      <c r="AE2686" s="164" t="s">
        <v>187</v>
      </c>
      <c r="AF2686" s="165">
        <v>28.46237</v>
      </c>
      <c r="AG2686" s="166">
        <v>70.476389999999995</v>
      </c>
      <c r="AO2686" s="121"/>
      <c r="AT2686" s="111"/>
      <c r="AX2686" s="121"/>
    </row>
    <row r="2687" spans="1:50" s="110" customFormat="1" ht="20" customHeight="1">
      <c r="A2687" s="125" t="s">
        <v>231</v>
      </c>
      <c r="B2687" s="126" t="s">
        <v>66</v>
      </c>
      <c r="C2687" s="127">
        <v>20237</v>
      </c>
      <c r="D2687" s="163">
        <v>115981</v>
      </c>
      <c r="E2687" s="164" t="s">
        <v>1246</v>
      </c>
      <c r="F2687" s="164" t="s">
        <v>1246</v>
      </c>
      <c r="G2687" s="165">
        <v>233000</v>
      </c>
      <c r="H2687" s="165">
        <v>1</v>
      </c>
      <c r="I2687" s="164" t="s">
        <v>187</v>
      </c>
      <c r="J2687" s="164" t="s">
        <v>222</v>
      </c>
      <c r="K2687" s="164" t="s">
        <v>223</v>
      </c>
      <c r="L2687" s="165">
        <v>4</v>
      </c>
      <c r="M2687" s="165">
        <v>6</v>
      </c>
      <c r="N2687" s="164" t="s">
        <v>189</v>
      </c>
      <c r="O2687" s="165">
        <v>0</v>
      </c>
      <c r="P2687" s="165">
        <v>0</v>
      </c>
      <c r="Q2687" s="165">
        <v>21</v>
      </c>
      <c r="R2687" s="164" t="s">
        <v>200</v>
      </c>
      <c r="S2687" s="164" t="s">
        <v>201</v>
      </c>
      <c r="T2687" s="165">
        <v>464</v>
      </c>
      <c r="U2687" s="164" t="s">
        <v>200</v>
      </c>
      <c r="V2687" s="164" t="s">
        <v>1226</v>
      </c>
      <c r="W2687" s="165">
        <v>2</v>
      </c>
      <c r="X2687" s="165">
        <v>4</v>
      </c>
      <c r="Y2687" s="164" t="s">
        <v>203</v>
      </c>
      <c r="Z2687" s="164" t="s">
        <v>195</v>
      </c>
      <c r="AA2687" s="164" t="s">
        <v>196</v>
      </c>
      <c r="AB2687" s="164" t="s">
        <v>187</v>
      </c>
      <c r="AC2687" s="164" t="s">
        <v>187</v>
      </c>
      <c r="AD2687" s="165">
        <v>5</v>
      </c>
      <c r="AE2687" s="164" t="s">
        <v>187</v>
      </c>
      <c r="AF2687" s="165">
        <v>33.433639133095198</v>
      </c>
      <c r="AG2687" s="166">
        <v>73.226033692110803</v>
      </c>
      <c r="AO2687" s="121"/>
      <c r="AT2687" s="111"/>
      <c r="AX2687" s="121"/>
    </row>
    <row r="2688" spans="1:50" s="110" customFormat="1" ht="20" customHeight="1">
      <c r="A2688" s="125" t="s">
        <v>231</v>
      </c>
      <c r="B2688" s="126" t="s">
        <v>66</v>
      </c>
      <c r="C2688" s="127">
        <v>20276</v>
      </c>
      <c r="D2688" s="163">
        <v>116011</v>
      </c>
      <c r="E2688" s="164" t="s">
        <v>1282</v>
      </c>
      <c r="F2688" s="164" t="s">
        <v>1282</v>
      </c>
      <c r="G2688" s="165">
        <v>205000</v>
      </c>
      <c r="H2688" s="165">
        <v>1</v>
      </c>
      <c r="I2688" s="164" t="s">
        <v>187</v>
      </c>
      <c r="J2688" s="164" t="s">
        <v>222</v>
      </c>
      <c r="K2688" s="164" t="s">
        <v>223</v>
      </c>
      <c r="L2688" s="165">
        <v>4</v>
      </c>
      <c r="M2688" s="165">
        <v>6</v>
      </c>
      <c r="N2688" s="164" t="s">
        <v>189</v>
      </c>
      <c r="O2688" s="165">
        <v>0</v>
      </c>
      <c r="P2688" s="165">
        <v>0</v>
      </c>
      <c r="Q2688" s="165">
        <v>21</v>
      </c>
      <c r="R2688" s="164" t="s">
        <v>200</v>
      </c>
      <c r="S2688" s="164" t="s">
        <v>201</v>
      </c>
      <c r="T2688" s="165">
        <v>464</v>
      </c>
      <c r="U2688" s="164" t="s">
        <v>200</v>
      </c>
      <c r="V2688" s="164" t="s">
        <v>1226</v>
      </c>
      <c r="W2688" s="165">
        <v>1</v>
      </c>
      <c r="X2688" s="165">
        <v>4</v>
      </c>
      <c r="Y2688" s="164" t="s">
        <v>203</v>
      </c>
      <c r="Z2688" s="164" t="s">
        <v>195</v>
      </c>
      <c r="AA2688" s="164" t="s">
        <v>196</v>
      </c>
      <c r="AB2688" s="164" t="s">
        <v>187</v>
      </c>
      <c r="AC2688" s="164" t="s">
        <v>187</v>
      </c>
      <c r="AD2688" s="165">
        <v>4</v>
      </c>
      <c r="AE2688" s="164" t="s">
        <v>187</v>
      </c>
      <c r="AF2688" s="165">
        <v>33.4354723466884</v>
      </c>
      <c r="AG2688" s="166">
        <v>73.224578029018701</v>
      </c>
      <c r="AO2688" s="121"/>
      <c r="AT2688" s="111"/>
      <c r="AX2688" s="121"/>
    </row>
    <row r="2689" spans="1:50" s="110" customFormat="1" ht="20" customHeight="1">
      <c r="A2689" s="125" t="s">
        <v>231</v>
      </c>
      <c r="B2689" s="126" t="s">
        <v>66</v>
      </c>
      <c r="C2689" s="127">
        <v>20242</v>
      </c>
      <c r="D2689" s="163">
        <v>115986</v>
      </c>
      <c r="E2689" s="164" t="s">
        <v>1288</v>
      </c>
      <c r="F2689" s="164" t="s">
        <v>1288</v>
      </c>
      <c r="G2689" s="165">
        <v>183000</v>
      </c>
      <c r="H2689" s="165">
        <v>1</v>
      </c>
      <c r="I2689" s="164" t="s">
        <v>187</v>
      </c>
      <c r="J2689" s="164" t="s">
        <v>222</v>
      </c>
      <c r="K2689" s="164" t="s">
        <v>223</v>
      </c>
      <c r="L2689" s="165">
        <v>4</v>
      </c>
      <c r="M2689" s="165">
        <v>6</v>
      </c>
      <c r="N2689" s="164" t="s">
        <v>189</v>
      </c>
      <c r="O2689" s="165">
        <v>0</v>
      </c>
      <c r="P2689" s="165">
        <v>0</v>
      </c>
      <c r="Q2689" s="165">
        <v>21</v>
      </c>
      <c r="R2689" s="164" t="s">
        <v>200</v>
      </c>
      <c r="S2689" s="164" t="s">
        <v>201</v>
      </c>
      <c r="T2689" s="165">
        <v>464</v>
      </c>
      <c r="U2689" s="164" t="s">
        <v>200</v>
      </c>
      <c r="V2689" s="164" t="s">
        <v>1226</v>
      </c>
      <c r="W2689" s="165">
        <v>1</v>
      </c>
      <c r="X2689" s="165">
        <v>4</v>
      </c>
      <c r="Y2689" s="164" t="s">
        <v>203</v>
      </c>
      <c r="Z2689" s="164" t="s">
        <v>195</v>
      </c>
      <c r="AA2689" s="164" t="s">
        <v>196</v>
      </c>
      <c r="AB2689" s="164" t="s">
        <v>187</v>
      </c>
      <c r="AC2689" s="164" t="s">
        <v>187</v>
      </c>
      <c r="AD2689" s="165">
        <v>4</v>
      </c>
      <c r="AE2689" s="164" t="s">
        <v>187</v>
      </c>
      <c r="AF2689" s="165">
        <v>30.634219999999999</v>
      </c>
      <c r="AG2689" s="166">
        <v>72.893780000000007</v>
      </c>
      <c r="AO2689" s="121"/>
      <c r="AT2689" s="111"/>
      <c r="AX2689" s="121"/>
    </row>
    <row r="2690" spans="1:50" s="110" customFormat="1" ht="20" customHeight="1">
      <c r="A2690" s="125" t="s">
        <v>231</v>
      </c>
      <c r="B2690" s="126" t="s">
        <v>66</v>
      </c>
      <c r="C2690" s="127">
        <v>21497</v>
      </c>
      <c r="D2690" s="163">
        <v>118325</v>
      </c>
      <c r="E2690" s="164" t="s">
        <v>1281</v>
      </c>
      <c r="F2690" s="164" t="s">
        <v>1281</v>
      </c>
      <c r="G2690" s="165">
        <v>179000</v>
      </c>
      <c r="H2690" s="165">
        <v>1</v>
      </c>
      <c r="I2690" s="164" t="s">
        <v>187</v>
      </c>
      <c r="J2690" s="164" t="s">
        <v>222</v>
      </c>
      <c r="K2690" s="164" t="s">
        <v>223</v>
      </c>
      <c r="L2690" s="165">
        <v>4</v>
      </c>
      <c r="M2690" s="165">
        <v>6</v>
      </c>
      <c r="N2690" s="164" t="s">
        <v>189</v>
      </c>
      <c r="O2690" s="165">
        <v>0</v>
      </c>
      <c r="P2690" s="165">
        <v>0</v>
      </c>
      <c r="Q2690" s="165">
        <v>21</v>
      </c>
      <c r="R2690" s="164" t="s">
        <v>200</v>
      </c>
      <c r="S2690" s="164" t="s">
        <v>201</v>
      </c>
      <c r="T2690" s="165">
        <v>464</v>
      </c>
      <c r="U2690" s="164" t="s">
        <v>200</v>
      </c>
      <c r="V2690" s="164" t="s">
        <v>1226</v>
      </c>
      <c r="W2690" s="165">
        <v>2</v>
      </c>
      <c r="X2690" s="165">
        <v>4</v>
      </c>
      <c r="Y2690" s="164" t="s">
        <v>203</v>
      </c>
      <c r="Z2690" s="164" t="s">
        <v>195</v>
      </c>
      <c r="AA2690" s="164" t="s">
        <v>196</v>
      </c>
      <c r="AB2690" s="164" t="s">
        <v>187</v>
      </c>
      <c r="AC2690" s="164" t="s">
        <v>187</v>
      </c>
      <c r="AD2690" s="165">
        <v>4</v>
      </c>
      <c r="AE2690" s="164" t="s">
        <v>187</v>
      </c>
      <c r="AF2690" s="165">
        <v>32.401649999999997</v>
      </c>
      <c r="AG2690" s="166">
        <v>74.63</v>
      </c>
      <c r="AO2690" s="121"/>
      <c r="AT2690" s="111"/>
      <c r="AX2690" s="121"/>
    </row>
    <row r="2691" spans="1:50" s="110" customFormat="1" ht="20" customHeight="1">
      <c r="A2691" s="125" t="s">
        <v>231</v>
      </c>
      <c r="B2691" s="126" t="s">
        <v>66</v>
      </c>
      <c r="C2691" s="127">
        <v>21519</v>
      </c>
      <c r="D2691" s="163">
        <v>118322</v>
      </c>
      <c r="E2691" s="164" t="s">
        <v>1266</v>
      </c>
      <c r="F2691" s="164" t="s">
        <v>1266</v>
      </c>
      <c r="G2691" s="165">
        <v>165000</v>
      </c>
      <c r="H2691" s="165">
        <v>1</v>
      </c>
      <c r="I2691" s="164" t="s">
        <v>187</v>
      </c>
      <c r="J2691" s="164" t="s">
        <v>222</v>
      </c>
      <c r="K2691" s="164" t="s">
        <v>223</v>
      </c>
      <c r="L2691" s="165">
        <v>4</v>
      </c>
      <c r="M2691" s="165">
        <v>6</v>
      </c>
      <c r="N2691" s="164" t="s">
        <v>189</v>
      </c>
      <c r="O2691" s="165">
        <v>0</v>
      </c>
      <c r="P2691" s="165">
        <v>0</v>
      </c>
      <c r="Q2691" s="165">
        <v>21</v>
      </c>
      <c r="R2691" s="164" t="s">
        <v>200</v>
      </c>
      <c r="S2691" s="164" t="s">
        <v>201</v>
      </c>
      <c r="T2691" s="165">
        <v>464</v>
      </c>
      <c r="U2691" s="164" t="s">
        <v>200</v>
      </c>
      <c r="V2691" s="164" t="s">
        <v>1226</v>
      </c>
      <c r="W2691" s="165">
        <v>1</v>
      </c>
      <c r="X2691" s="165">
        <v>4</v>
      </c>
      <c r="Y2691" s="164" t="s">
        <v>203</v>
      </c>
      <c r="Z2691" s="164" t="s">
        <v>195</v>
      </c>
      <c r="AA2691" s="164" t="s">
        <v>196</v>
      </c>
      <c r="AB2691" s="164" t="s">
        <v>187</v>
      </c>
      <c r="AC2691" s="164" t="s">
        <v>187</v>
      </c>
      <c r="AD2691" s="165">
        <v>3</v>
      </c>
      <c r="AE2691" s="164" t="s">
        <v>187</v>
      </c>
      <c r="AF2691" s="165">
        <v>31.38556234</v>
      </c>
      <c r="AG2691" s="166">
        <v>73.318912990000001</v>
      </c>
      <c r="AO2691" s="121"/>
      <c r="AT2691" s="111"/>
      <c r="AX2691" s="121"/>
    </row>
    <row r="2692" spans="1:50" s="110" customFormat="1" ht="20" customHeight="1">
      <c r="A2692" s="125" t="s">
        <v>231</v>
      </c>
      <c r="B2692" s="126" t="s">
        <v>66</v>
      </c>
      <c r="C2692" s="127">
        <v>20274</v>
      </c>
      <c r="D2692" s="163">
        <v>116009</v>
      </c>
      <c r="E2692" s="164" t="s">
        <v>1245</v>
      </c>
      <c r="F2692" s="164" t="s">
        <v>1245</v>
      </c>
      <c r="G2692" s="165">
        <v>116000</v>
      </c>
      <c r="H2692" s="165">
        <v>1</v>
      </c>
      <c r="I2692" s="164" t="s">
        <v>187</v>
      </c>
      <c r="J2692" s="164" t="s">
        <v>222</v>
      </c>
      <c r="K2692" s="164" t="s">
        <v>223</v>
      </c>
      <c r="L2692" s="165">
        <v>4</v>
      </c>
      <c r="M2692" s="165">
        <v>6</v>
      </c>
      <c r="N2692" s="164" t="s">
        <v>189</v>
      </c>
      <c r="O2692" s="165">
        <v>0</v>
      </c>
      <c r="P2692" s="165">
        <v>0</v>
      </c>
      <c r="Q2692" s="165">
        <v>21</v>
      </c>
      <c r="R2692" s="164" t="s">
        <v>200</v>
      </c>
      <c r="S2692" s="164" t="s">
        <v>201</v>
      </c>
      <c r="T2692" s="165">
        <v>464</v>
      </c>
      <c r="U2692" s="164" t="s">
        <v>200</v>
      </c>
      <c r="V2692" s="164" t="s">
        <v>1226</v>
      </c>
      <c r="W2692" s="165">
        <v>1</v>
      </c>
      <c r="X2692" s="165">
        <v>4</v>
      </c>
      <c r="Y2692" s="164" t="s">
        <v>203</v>
      </c>
      <c r="Z2692" s="164" t="s">
        <v>195</v>
      </c>
      <c r="AA2692" s="164" t="s">
        <v>196</v>
      </c>
      <c r="AB2692" s="164" t="s">
        <v>187</v>
      </c>
      <c r="AC2692" s="164" t="s">
        <v>187</v>
      </c>
      <c r="AD2692" s="165">
        <v>2</v>
      </c>
      <c r="AE2692" s="164" t="s">
        <v>187</v>
      </c>
      <c r="AF2692" s="165">
        <v>32.185169999999999</v>
      </c>
      <c r="AG2692" s="166">
        <v>72.814570000000003</v>
      </c>
      <c r="AO2692" s="121"/>
      <c r="AT2692" s="111"/>
      <c r="AX2692" s="121"/>
    </row>
    <row r="2693" spans="1:50" s="110" customFormat="1" ht="20" customHeight="1">
      <c r="A2693" s="125" t="s">
        <v>231</v>
      </c>
      <c r="B2693" s="126" t="s">
        <v>66</v>
      </c>
      <c r="C2693" s="127">
        <v>20236</v>
      </c>
      <c r="D2693" s="163">
        <v>115980</v>
      </c>
      <c r="E2693" s="164" t="s">
        <v>1243</v>
      </c>
      <c r="F2693" s="164" t="s">
        <v>1243</v>
      </c>
      <c r="G2693" s="165">
        <v>115000</v>
      </c>
      <c r="H2693" s="165">
        <v>1</v>
      </c>
      <c r="I2693" s="164" t="s">
        <v>187</v>
      </c>
      <c r="J2693" s="164" t="s">
        <v>222</v>
      </c>
      <c r="K2693" s="164" t="s">
        <v>223</v>
      </c>
      <c r="L2693" s="165">
        <v>4</v>
      </c>
      <c r="M2693" s="165">
        <v>6</v>
      </c>
      <c r="N2693" s="164" t="s">
        <v>189</v>
      </c>
      <c r="O2693" s="165">
        <v>0</v>
      </c>
      <c r="P2693" s="165">
        <v>0</v>
      </c>
      <c r="Q2693" s="165">
        <v>21</v>
      </c>
      <c r="R2693" s="164" t="s">
        <v>200</v>
      </c>
      <c r="S2693" s="164" t="s">
        <v>201</v>
      </c>
      <c r="T2693" s="165">
        <v>464</v>
      </c>
      <c r="U2693" s="164" t="s">
        <v>200</v>
      </c>
      <c r="V2693" s="164" t="s">
        <v>1226</v>
      </c>
      <c r="W2693" s="165">
        <v>2</v>
      </c>
      <c r="X2693" s="165">
        <v>4</v>
      </c>
      <c r="Y2693" s="164" t="s">
        <v>203</v>
      </c>
      <c r="Z2693" s="164" t="s">
        <v>195</v>
      </c>
      <c r="AA2693" s="164" t="s">
        <v>196</v>
      </c>
      <c r="AB2693" s="164" t="s">
        <v>187</v>
      </c>
      <c r="AC2693" s="164" t="s">
        <v>187</v>
      </c>
      <c r="AD2693" s="165">
        <v>2</v>
      </c>
      <c r="AE2693" s="164" t="s">
        <v>187</v>
      </c>
      <c r="AF2693" s="165">
        <v>31.360686003860501</v>
      </c>
      <c r="AG2693" s="166">
        <v>73.247502557421399</v>
      </c>
      <c r="AO2693" s="121"/>
      <c r="AT2693" s="111"/>
      <c r="AX2693" s="121"/>
    </row>
    <row r="2694" spans="1:50" s="110" customFormat="1" ht="20" customHeight="1">
      <c r="A2694" s="125" t="s">
        <v>231</v>
      </c>
      <c r="B2694" s="126" t="s">
        <v>66</v>
      </c>
      <c r="C2694" s="127">
        <v>20272</v>
      </c>
      <c r="D2694" s="163">
        <v>116007</v>
      </c>
      <c r="E2694" s="164" t="s">
        <v>1227</v>
      </c>
      <c r="F2694" s="164" t="s">
        <v>1227</v>
      </c>
      <c r="G2694" s="165">
        <v>113000</v>
      </c>
      <c r="H2694" s="165">
        <v>1</v>
      </c>
      <c r="I2694" s="164" t="s">
        <v>187</v>
      </c>
      <c r="J2694" s="164" t="s">
        <v>222</v>
      </c>
      <c r="K2694" s="164" t="s">
        <v>223</v>
      </c>
      <c r="L2694" s="165">
        <v>4</v>
      </c>
      <c r="M2694" s="165">
        <v>6</v>
      </c>
      <c r="N2694" s="164" t="s">
        <v>189</v>
      </c>
      <c r="O2694" s="165">
        <v>0</v>
      </c>
      <c r="P2694" s="165">
        <v>0</v>
      </c>
      <c r="Q2694" s="165">
        <v>21</v>
      </c>
      <c r="R2694" s="164" t="s">
        <v>200</v>
      </c>
      <c r="S2694" s="164" t="s">
        <v>201</v>
      </c>
      <c r="T2694" s="165">
        <v>464</v>
      </c>
      <c r="U2694" s="164" t="s">
        <v>200</v>
      </c>
      <c r="V2694" s="164" t="s">
        <v>1226</v>
      </c>
      <c r="W2694" s="165">
        <v>1</v>
      </c>
      <c r="X2694" s="165">
        <v>4</v>
      </c>
      <c r="Y2694" s="164" t="s">
        <v>203</v>
      </c>
      <c r="Z2694" s="164" t="s">
        <v>195</v>
      </c>
      <c r="AA2694" s="164" t="s">
        <v>196</v>
      </c>
      <c r="AB2694" s="164" t="s">
        <v>187</v>
      </c>
      <c r="AC2694" s="164" t="s">
        <v>187</v>
      </c>
      <c r="AD2694" s="165">
        <v>2</v>
      </c>
      <c r="AE2694" s="164" t="s">
        <v>187</v>
      </c>
      <c r="AF2694" s="165">
        <v>33.4354319590648</v>
      </c>
      <c r="AG2694" s="166">
        <v>73.224837055469706</v>
      </c>
      <c r="AO2694" s="121"/>
      <c r="AT2694" s="111"/>
      <c r="AX2694" s="121"/>
    </row>
    <row r="2695" spans="1:50" s="110" customFormat="1" ht="20" customHeight="1">
      <c r="A2695" s="125" t="s">
        <v>231</v>
      </c>
      <c r="B2695" s="126" t="s">
        <v>66</v>
      </c>
      <c r="C2695" s="127">
        <v>21523</v>
      </c>
      <c r="D2695" s="163">
        <v>118327</v>
      </c>
      <c r="E2695" s="164" t="s">
        <v>1287</v>
      </c>
      <c r="F2695" s="164" t="s">
        <v>1287</v>
      </c>
      <c r="G2695" s="165">
        <v>113000</v>
      </c>
      <c r="H2695" s="165">
        <v>1</v>
      </c>
      <c r="I2695" s="164" t="s">
        <v>187</v>
      </c>
      <c r="J2695" s="164" t="s">
        <v>219</v>
      </c>
      <c r="K2695" s="164" t="s">
        <v>220</v>
      </c>
      <c r="L2695" s="165">
        <v>5</v>
      </c>
      <c r="M2695" s="165">
        <v>6</v>
      </c>
      <c r="N2695" s="164" t="s">
        <v>189</v>
      </c>
      <c r="O2695" s="165">
        <v>0</v>
      </c>
      <c r="P2695" s="165">
        <v>0</v>
      </c>
      <c r="Q2695" s="165">
        <v>21</v>
      </c>
      <c r="R2695" s="164" t="s">
        <v>200</v>
      </c>
      <c r="S2695" s="164" t="s">
        <v>201</v>
      </c>
      <c r="T2695" s="165">
        <v>464</v>
      </c>
      <c r="U2695" s="164" t="s">
        <v>200</v>
      </c>
      <c r="V2695" s="164" t="s">
        <v>1226</v>
      </c>
      <c r="W2695" s="165">
        <v>2</v>
      </c>
      <c r="X2695" s="165">
        <v>4</v>
      </c>
      <c r="Y2695" s="164" t="s">
        <v>203</v>
      </c>
      <c r="Z2695" s="164" t="s">
        <v>195</v>
      </c>
      <c r="AA2695" s="164" t="s">
        <v>196</v>
      </c>
      <c r="AB2695" s="164" t="s">
        <v>187</v>
      </c>
      <c r="AC2695" s="164" t="s">
        <v>187</v>
      </c>
      <c r="AD2695" s="165">
        <v>2</v>
      </c>
      <c r="AE2695" s="164" t="s">
        <v>187</v>
      </c>
      <c r="AF2695" s="165">
        <v>35.288267900000001</v>
      </c>
      <c r="AG2695" s="166">
        <v>72.642943880000004</v>
      </c>
      <c r="AO2695" s="121"/>
      <c r="AT2695" s="111"/>
      <c r="AX2695" s="121"/>
    </row>
    <row r="2696" spans="1:50" s="110" customFormat="1" ht="20" customHeight="1">
      <c r="A2696" s="125" t="s">
        <v>231</v>
      </c>
      <c r="B2696" s="126" t="s">
        <v>66</v>
      </c>
      <c r="C2696" s="127">
        <v>20275</v>
      </c>
      <c r="D2696" s="163">
        <v>116010</v>
      </c>
      <c r="E2696" s="164" t="s">
        <v>1274</v>
      </c>
      <c r="F2696" s="164" t="s">
        <v>1274</v>
      </c>
      <c r="G2696" s="165">
        <v>100000</v>
      </c>
      <c r="H2696" s="165">
        <v>1</v>
      </c>
      <c r="I2696" s="164" t="s">
        <v>187</v>
      </c>
      <c r="J2696" s="164" t="s">
        <v>219</v>
      </c>
      <c r="K2696" s="164" t="s">
        <v>220</v>
      </c>
      <c r="L2696" s="165">
        <v>5</v>
      </c>
      <c r="M2696" s="165">
        <v>6</v>
      </c>
      <c r="N2696" s="164" t="s">
        <v>189</v>
      </c>
      <c r="O2696" s="165">
        <v>0</v>
      </c>
      <c r="P2696" s="165">
        <v>0</v>
      </c>
      <c r="Q2696" s="165">
        <v>21</v>
      </c>
      <c r="R2696" s="164" t="s">
        <v>200</v>
      </c>
      <c r="S2696" s="164" t="s">
        <v>201</v>
      </c>
      <c r="T2696" s="165">
        <v>464</v>
      </c>
      <c r="U2696" s="164" t="s">
        <v>200</v>
      </c>
      <c r="V2696" s="164" t="s">
        <v>1226</v>
      </c>
      <c r="W2696" s="165">
        <v>1</v>
      </c>
      <c r="X2696" s="165">
        <v>4</v>
      </c>
      <c r="Y2696" s="164" t="s">
        <v>203</v>
      </c>
      <c r="Z2696" s="164" t="s">
        <v>195</v>
      </c>
      <c r="AA2696" s="164" t="s">
        <v>196</v>
      </c>
      <c r="AB2696" s="164" t="s">
        <v>187</v>
      </c>
      <c r="AC2696" s="164" t="s">
        <v>187</v>
      </c>
      <c r="AD2696" s="165">
        <v>2</v>
      </c>
      <c r="AE2696" s="164" t="s">
        <v>187</v>
      </c>
      <c r="AF2696" s="165">
        <v>25.494675795093201</v>
      </c>
      <c r="AG2696" s="166">
        <v>68.516595459587606</v>
      </c>
      <c r="AO2696" s="121"/>
      <c r="AT2696" s="111"/>
      <c r="AX2696" s="121"/>
    </row>
    <row r="2697" spans="1:50" s="110" customFormat="1" ht="20" customHeight="1">
      <c r="A2697" s="125" t="s">
        <v>231</v>
      </c>
      <c r="B2697" s="126" t="s">
        <v>66</v>
      </c>
      <c r="C2697" s="127">
        <v>20232</v>
      </c>
      <c r="D2697" s="163">
        <v>115976</v>
      </c>
      <c r="E2697" s="164" t="s">
        <v>1232</v>
      </c>
      <c r="F2697" s="164" t="s">
        <v>1232</v>
      </c>
      <c r="G2697" s="165">
        <v>97000</v>
      </c>
      <c r="H2697" s="165">
        <v>1</v>
      </c>
      <c r="I2697" s="164" t="s">
        <v>187</v>
      </c>
      <c r="J2697" s="164" t="s">
        <v>222</v>
      </c>
      <c r="K2697" s="164" t="s">
        <v>223</v>
      </c>
      <c r="L2697" s="165">
        <v>4</v>
      </c>
      <c r="M2697" s="165">
        <v>6</v>
      </c>
      <c r="N2697" s="164" t="s">
        <v>189</v>
      </c>
      <c r="O2697" s="165">
        <v>0</v>
      </c>
      <c r="P2697" s="165">
        <v>0</v>
      </c>
      <c r="Q2697" s="165">
        <v>21</v>
      </c>
      <c r="R2697" s="164" t="s">
        <v>200</v>
      </c>
      <c r="S2697" s="164" t="s">
        <v>201</v>
      </c>
      <c r="T2697" s="165">
        <v>464</v>
      </c>
      <c r="U2697" s="164" t="s">
        <v>200</v>
      </c>
      <c r="V2697" s="164" t="s">
        <v>1226</v>
      </c>
      <c r="W2697" s="165">
        <v>2</v>
      </c>
      <c r="X2697" s="165">
        <v>4</v>
      </c>
      <c r="Y2697" s="164" t="s">
        <v>203</v>
      </c>
      <c r="Z2697" s="164" t="s">
        <v>195</v>
      </c>
      <c r="AA2697" s="164" t="s">
        <v>196</v>
      </c>
      <c r="AB2697" s="164" t="s">
        <v>187</v>
      </c>
      <c r="AC2697" s="164" t="s">
        <v>187</v>
      </c>
      <c r="AD2697" s="165">
        <v>2</v>
      </c>
      <c r="AE2697" s="164" t="s">
        <v>187</v>
      </c>
      <c r="AF2697" s="165">
        <v>31.356538967187198</v>
      </c>
      <c r="AG2697" s="166">
        <v>73.245471473548207</v>
      </c>
      <c r="AO2697" s="121"/>
      <c r="AT2697" s="111"/>
      <c r="AX2697" s="121"/>
    </row>
    <row r="2698" spans="1:50" s="110" customFormat="1" ht="20" customHeight="1">
      <c r="A2698" s="125" t="s">
        <v>231</v>
      </c>
      <c r="B2698" s="126" t="s">
        <v>66</v>
      </c>
      <c r="C2698" s="127">
        <v>20982</v>
      </c>
      <c r="D2698" s="163">
        <v>117706</v>
      </c>
      <c r="E2698" s="164" t="s">
        <v>1285</v>
      </c>
      <c r="F2698" s="164" t="s">
        <v>1285</v>
      </c>
      <c r="G2698" s="165">
        <v>95000</v>
      </c>
      <c r="H2698" s="165">
        <v>1</v>
      </c>
      <c r="I2698" s="164" t="s">
        <v>187</v>
      </c>
      <c r="J2698" s="164" t="s">
        <v>222</v>
      </c>
      <c r="K2698" s="164" t="s">
        <v>223</v>
      </c>
      <c r="L2698" s="165">
        <v>4</v>
      </c>
      <c r="M2698" s="165">
        <v>6</v>
      </c>
      <c r="N2698" s="164" t="s">
        <v>189</v>
      </c>
      <c r="O2698" s="165">
        <v>0</v>
      </c>
      <c r="P2698" s="165">
        <v>0</v>
      </c>
      <c r="Q2698" s="165">
        <v>21</v>
      </c>
      <c r="R2698" s="164" t="s">
        <v>200</v>
      </c>
      <c r="S2698" s="164" t="s">
        <v>201</v>
      </c>
      <c r="T2698" s="165">
        <v>464</v>
      </c>
      <c r="U2698" s="164" t="s">
        <v>200</v>
      </c>
      <c r="V2698" s="164" t="s">
        <v>1226</v>
      </c>
      <c r="W2698" s="165">
        <v>2</v>
      </c>
      <c r="X2698" s="165">
        <v>4</v>
      </c>
      <c r="Y2698" s="164" t="s">
        <v>203</v>
      </c>
      <c r="Z2698" s="164" t="s">
        <v>195</v>
      </c>
      <c r="AA2698" s="164" t="s">
        <v>196</v>
      </c>
      <c r="AB2698" s="164" t="s">
        <v>187</v>
      </c>
      <c r="AC2698" s="164" t="s">
        <v>187</v>
      </c>
      <c r="AD2698" s="165">
        <v>2</v>
      </c>
      <c r="AE2698" s="164" t="s">
        <v>187</v>
      </c>
      <c r="AF2698" s="165">
        <v>31.351690000000001</v>
      </c>
      <c r="AG2698" s="166">
        <v>73.241</v>
      </c>
      <c r="AO2698" s="121"/>
      <c r="AT2698" s="111"/>
      <c r="AX2698" s="121"/>
    </row>
    <row r="2699" spans="1:50" s="110" customFormat="1" ht="20" customHeight="1">
      <c r="A2699" s="125" t="s">
        <v>231</v>
      </c>
      <c r="B2699" s="126" t="s">
        <v>66</v>
      </c>
      <c r="C2699" s="127">
        <v>21518</v>
      </c>
      <c r="D2699" s="163">
        <v>118321</v>
      </c>
      <c r="E2699" s="164" t="s">
        <v>1265</v>
      </c>
      <c r="F2699" s="164" t="s">
        <v>1265</v>
      </c>
      <c r="G2699" s="165">
        <v>91000</v>
      </c>
      <c r="H2699" s="165">
        <v>1</v>
      </c>
      <c r="I2699" s="164" t="s">
        <v>187</v>
      </c>
      <c r="J2699" s="164" t="s">
        <v>222</v>
      </c>
      <c r="K2699" s="164" t="s">
        <v>223</v>
      </c>
      <c r="L2699" s="165">
        <v>4</v>
      </c>
      <c r="M2699" s="165">
        <v>6</v>
      </c>
      <c r="N2699" s="164" t="s">
        <v>189</v>
      </c>
      <c r="O2699" s="165">
        <v>0</v>
      </c>
      <c r="P2699" s="165">
        <v>0</v>
      </c>
      <c r="Q2699" s="165">
        <v>21</v>
      </c>
      <c r="R2699" s="164" t="s">
        <v>200</v>
      </c>
      <c r="S2699" s="164" t="s">
        <v>201</v>
      </c>
      <c r="T2699" s="165">
        <v>464</v>
      </c>
      <c r="U2699" s="164" t="s">
        <v>200</v>
      </c>
      <c r="V2699" s="164" t="s">
        <v>1226</v>
      </c>
      <c r="W2699" s="165">
        <v>2</v>
      </c>
      <c r="X2699" s="165">
        <v>4</v>
      </c>
      <c r="Y2699" s="164" t="s">
        <v>203</v>
      </c>
      <c r="Z2699" s="164" t="s">
        <v>195</v>
      </c>
      <c r="AA2699" s="164" t="s">
        <v>196</v>
      </c>
      <c r="AB2699" s="164" t="s">
        <v>187</v>
      </c>
      <c r="AC2699" s="164" t="s">
        <v>187</v>
      </c>
      <c r="AD2699" s="165">
        <v>2</v>
      </c>
      <c r="AE2699" s="164" t="s">
        <v>187</v>
      </c>
      <c r="AF2699" s="165">
        <v>31.384655049999999</v>
      </c>
      <c r="AG2699" s="166">
        <v>73.316212570000005</v>
      </c>
      <c r="AO2699" s="121"/>
      <c r="AT2699" s="111"/>
      <c r="AX2699" s="121"/>
    </row>
    <row r="2700" spans="1:50" s="110" customFormat="1" ht="20" customHeight="1">
      <c r="A2700" s="125" t="s">
        <v>231</v>
      </c>
      <c r="B2700" s="126" t="s">
        <v>66</v>
      </c>
      <c r="C2700" s="127">
        <v>20239</v>
      </c>
      <c r="D2700" s="163">
        <v>115983</v>
      </c>
      <c r="E2700" s="164" t="s">
        <v>1261</v>
      </c>
      <c r="F2700" s="164" t="s">
        <v>1261</v>
      </c>
      <c r="G2700" s="165">
        <v>89000</v>
      </c>
      <c r="H2700" s="165">
        <v>1</v>
      </c>
      <c r="I2700" s="164" t="s">
        <v>187</v>
      </c>
      <c r="J2700" s="164" t="s">
        <v>219</v>
      </c>
      <c r="K2700" s="164" t="s">
        <v>220</v>
      </c>
      <c r="L2700" s="165">
        <v>5</v>
      </c>
      <c r="M2700" s="165">
        <v>6</v>
      </c>
      <c r="N2700" s="164" t="s">
        <v>189</v>
      </c>
      <c r="O2700" s="165">
        <v>0</v>
      </c>
      <c r="P2700" s="165">
        <v>0</v>
      </c>
      <c r="Q2700" s="165">
        <v>21</v>
      </c>
      <c r="R2700" s="164" t="s">
        <v>200</v>
      </c>
      <c r="S2700" s="164" t="s">
        <v>201</v>
      </c>
      <c r="T2700" s="165">
        <v>464</v>
      </c>
      <c r="U2700" s="164" t="s">
        <v>200</v>
      </c>
      <c r="V2700" s="164" t="s">
        <v>1226</v>
      </c>
      <c r="W2700" s="165">
        <v>2</v>
      </c>
      <c r="X2700" s="165">
        <v>4</v>
      </c>
      <c r="Y2700" s="164" t="s">
        <v>203</v>
      </c>
      <c r="Z2700" s="164" t="s">
        <v>195</v>
      </c>
      <c r="AA2700" s="164" t="s">
        <v>196</v>
      </c>
      <c r="AB2700" s="164" t="s">
        <v>187</v>
      </c>
      <c r="AC2700" s="164" t="s">
        <v>187</v>
      </c>
      <c r="AD2700" s="165">
        <v>2</v>
      </c>
      <c r="AE2700" s="164" t="s">
        <v>187</v>
      </c>
      <c r="AF2700" s="165">
        <v>25.494135064746501</v>
      </c>
      <c r="AG2700" s="166">
        <v>68.509793040448997</v>
      </c>
      <c r="AO2700" s="121"/>
      <c r="AT2700" s="111"/>
      <c r="AX2700" s="121"/>
    </row>
    <row r="2701" spans="1:50" s="110" customFormat="1" ht="20" customHeight="1">
      <c r="A2701" s="125" t="s">
        <v>231</v>
      </c>
      <c r="B2701" s="126" t="s">
        <v>66</v>
      </c>
      <c r="C2701" s="127">
        <v>21515</v>
      </c>
      <c r="D2701" s="163">
        <v>118317</v>
      </c>
      <c r="E2701" s="164" t="s">
        <v>1248</v>
      </c>
      <c r="F2701" s="164" t="s">
        <v>1248</v>
      </c>
      <c r="G2701" s="165">
        <v>87000</v>
      </c>
      <c r="H2701" s="165">
        <v>1</v>
      </c>
      <c r="I2701" s="164" t="s">
        <v>187</v>
      </c>
      <c r="J2701" s="164" t="s">
        <v>222</v>
      </c>
      <c r="K2701" s="164" t="s">
        <v>223</v>
      </c>
      <c r="L2701" s="165">
        <v>4</v>
      </c>
      <c r="M2701" s="165">
        <v>6</v>
      </c>
      <c r="N2701" s="164" t="s">
        <v>189</v>
      </c>
      <c r="O2701" s="165">
        <v>0</v>
      </c>
      <c r="P2701" s="165">
        <v>0</v>
      </c>
      <c r="Q2701" s="165">
        <v>21</v>
      </c>
      <c r="R2701" s="164" t="s">
        <v>200</v>
      </c>
      <c r="S2701" s="164" t="s">
        <v>201</v>
      </c>
      <c r="T2701" s="165">
        <v>464</v>
      </c>
      <c r="U2701" s="164" t="s">
        <v>200</v>
      </c>
      <c r="V2701" s="164" t="s">
        <v>1226</v>
      </c>
      <c r="W2701" s="165">
        <v>1</v>
      </c>
      <c r="X2701" s="165">
        <v>4</v>
      </c>
      <c r="Y2701" s="164" t="s">
        <v>203</v>
      </c>
      <c r="Z2701" s="164" t="s">
        <v>195</v>
      </c>
      <c r="AA2701" s="164" t="s">
        <v>196</v>
      </c>
      <c r="AB2701" s="164" t="s">
        <v>187</v>
      </c>
      <c r="AC2701" s="164" t="s">
        <v>187</v>
      </c>
      <c r="AD2701" s="165">
        <v>2</v>
      </c>
      <c r="AE2701" s="164" t="s">
        <v>187</v>
      </c>
      <c r="AF2701" s="165">
        <v>30.106087209999998</v>
      </c>
      <c r="AG2701" s="166">
        <v>71.530616030000004</v>
      </c>
      <c r="AO2701" s="121"/>
      <c r="AT2701" s="111"/>
      <c r="AX2701" s="121"/>
    </row>
    <row r="2702" spans="1:50" s="110" customFormat="1" ht="20" customHeight="1">
      <c r="A2702" s="125" t="s">
        <v>231</v>
      </c>
      <c r="B2702" s="126" t="s">
        <v>66</v>
      </c>
      <c r="C2702" s="127">
        <v>21521</v>
      </c>
      <c r="D2702" s="163">
        <v>118324</v>
      </c>
      <c r="E2702" s="164" t="s">
        <v>1278</v>
      </c>
      <c r="F2702" s="164" t="s">
        <v>1278</v>
      </c>
      <c r="G2702" s="165">
        <v>75000</v>
      </c>
      <c r="H2702" s="165">
        <v>1</v>
      </c>
      <c r="I2702" s="164" t="s">
        <v>187</v>
      </c>
      <c r="J2702" s="164" t="s">
        <v>219</v>
      </c>
      <c r="K2702" s="164" t="s">
        <v>220</v>
      </c>
      <c r="L2702" s="165">
        <v>5</v>
      </c>
      <c r="M2702" s="165">
        <v>6</v>
      </c>
      <c r="N2702" s="164" t="s">
        <v>189</v>
      </c>
      <c r="O2702" s="165">
        <v>0</v>
      </c>
      <c r="P2702" s="165">
        <v>0</v>
      </c>
      <c r="Q2702" s="165">
        <v>21</v>
      </c>
      <c r="R2702" s="164" t="s">
        <v>200</v>
      </c>
      <c r="S2702" s="164" t="s">
        <v>201</v>
      </c>
      <c r="T2702" s="165">
        <v>464</v>
      </c>
      <c r="U2702" s="164" t="s">
        <v>200</v>
      </c>
      <c r="V2702" s="164" t="s">
        <v>1226</v>
      </c>
      <c r="W2702" s="165">
        <v>1</v>
      </c>
      <c r="X2702" s="165">
        <v>4</v>
      </c>
      <c r="Y2702" s="164" t="s">
        <v>203</v>
      </c>
      <c r="Z2702" s="164" t="s">
        <v>195</v>
      </c>
      <c r="AA2702" s="164" t="s">
        <v>196</v>
      </c>
      <c r="AB2702" s="164" t="s">
        <v>187</v>
      </c>
      <c r="AC2702" s="164" t="s">
        <v>187</v>
      </c>
      <c r="AD2702" s="165">
        <v>1</v>
      </c>
      <c r="AE2702" s="164" t="s">
        <v>187</v>
      </c>
      <c r="AF2702" s="165">
        <v>25.021576100000001</v>
      </c>
      <c r="AG2702" s="166">
        <v>67.009263469999993</v>
      </c>
      <c r="AO2702" s="121"/>
      <c r="AT2702" s="111"/>
      <c r="AX2702" s="121"/>
    </row>
    <row r="2703" spans="1:50" s="110" customFormat="1" ht="20" customHeight="1">
      <c r="A2703" s="125" t="s">
        <v>231</v>
      </c>
      <c r="B2703" s="126" t="s">
        <v>66</v>
      </c>
      <c r="C2703" s="127">
        <v>20273</v>
      </c>
      <c r="D2703" s="163">
        <v>116008</v>
      </c>
      <c r="E2703" s="164" t="s">
        <v>1241</v>
      </c>
      <c r="F2703" s="164" t="s">
        <v>1241</v>
      </c>
      <c r="G2703" s="165">
        <v>74000</v>
      </c>
      <c r="H2703" s="165">
        <v>1</v>
      </c>
      <c r="I2703" s="164" t="s">
        <v>187</v>
      </c>
      <c r="J2703" s="164" t="s">
        <v>219</v>
      </c>
      <c r="K2703" s="164" t="s">
        <v>220</v>
      </c>
      <c r="L2703" s="165">
        <v>5</v>
      </c>
      <c r="M2703" s="165">
        <v>6</v>
      </c>
      <c r="N2703" s="164" t="s">
        <v>189</v>
      </c>
      <c r="O2703" s="165">
        <v>0</v>
      </c>
      <c r="P2703" s="165">
        <v>0</v>
      </c>
      <c r="Q2703" s="165">
        <v>21</v>
      </c>
      <c r="R2703" s="164" t="s">
        <v>200</v>
      </c>
      <c r="S2703" s="164" t="s">
        <v>201</v>
      </c>
      <c r="T2703" s="165">
        <v>464</v>
      </c>
      <c r="U2703" s="164" t="s">
        <v>200</v>
      </c>
      <c r="V2703" s="164" t="s">
        <v>1226</v>
      </c>
      <c r="W2703" s="165">
        <v>1</v>
      </c>
      <c r="X2703" s="165">
        <v>4</v>
      </c>
      <c r="Y2703" s="164" t="s">
        <v>203</v>
      </c>
      <c r="Z2703" s="164" t="s">
        <v>195</v>
      </c>
      <c r="AA2703" s="164" t="s">
        <v>196</v>
      </c>
      <c r="AB2703" s="164" t="s">
        <v>187</v>
      </c>
      <c r="AC2703" s="164" t="s">
        <v>187</v>
      </c>
      <c r="AD2703" s="165">
        <v>1</v>
      </c>
      <c r="AE2703" s="164" t="s">
        <v>187</v>
      </c>
      <c r="AF2703" s="165">
        <v>25.496564011907601</v>
      </c>
      <c r="AG2703" s="166">
        <v>68.512149155251507</v>
      </c>
      <c r="AO2703" s="121"/>
      <c r="AT2703" s="111"/>
      <c r="AX2703" s="121"/>
    </row>
    <row r="2704" spans="1:50" s="110" customFormat="1" ht="20" customHeight="1">
      <c r="A2704" s="125" t="s">
        <v>231</v>
      </c>
      <c r="B2704" s="126" t="s">
        <v>66</v>
      </c>
      <c r="C2704" s="127">
        <v>21511</v>
      </c>
      <c r="D2704" s="163">
        <v>118307</v>
      </c>
      <c r="E2704" s="164" t="s">
        <v>1229</v>
      </c>
      <c r="F2704" s="164" t="s">
        <v>1229</v>
      </c>
      <c r="G2704" s="165">
        <v>68000</v>
      </c>
      <c r="H2704" s="165">
        <v>1</v>
      </c>
      <c r="I2704" s="164" t="s">
        <v>187</v>
      </c>
      <c r="J2704" s="164" t="s">
        <v>222</v>
      </c>
      <c r="K2704" s="164" t="s">
        <v>223</v>
      </c>
      <c r="L2704" s="165">
        <v>4</v>
      </c>
      <c r="M2704" s="165">
        <v>6</v>
      </c>
      <c r="N2704" s="164" t="s">
        <v>189</v>
      </c>
      <c r="O2704" s="165">
        <v>0</v>
      </c>
      <c r="P2704" s="165">
        <v>0</v>
      </c>
      <c r="Q2704" s="165">
        <v>21</v>
      </c>
      <c r="R2704" s="164" t="s">
        <v>200</v>
      </c>
      <c r="S2704" s="164" t="s">
        <v>201</v>
      </c>
      <c r="T2704" s="165">
        <v>464</v>
      </c>
      <c r="U2704" s="164" t="s">
        <v>200</v>
      </c>
      <c r="V2704" s="164" t="s">
        <v>1226</v>
      </c>
      <c r="W2704" s="165">
        <v>1</v>
      </c>
      <c r="X2704" s="165">
        <v>4</v>
      </c>
      <c r="Y2704" s="164" t="s">
        <v>203</v>
      </c>
      <c r="Z2704" s="164" t="s">
        <v>195</v>
      </c>
      <c r="AA2704" s="164" t="s">
        <v>196</v>
      </c>
      <c r="AB2704" s="164" t="s">
        <v>187</v>
      </c>
      <c r="AC2704" s="164" t="s">
        <v>187</v>
      </c>
      <c r="AD2704" s="165">
        <v>1</v>
      </c>
      <c r="AE2704" s="164" t="s">
        <v>187</v>
      </c>
      <c r="AF2704" s="165">
        <v>33.46017956</v>
      </c>
      <c r="AG2704" s="166">
        <v>73.298453339999995</v>
      </c>
      <c r="AO2704" s="121"/>
      <c r="AT2704" s="111"/>
      <c r="AX2704" s="121"/>
    </row>
    <row r="2705" spans="1:50" s="110" customFormat="1" ht="20" customHeight="1">
      <c r="A2705" s="125" t="s">
        <v>231</v>
      </c>
      <c r="B2705" s="126" t="s">
        <v>66</v>
      </c>
      <c r="C2705" s="127">
        <v>21496</v>
      </c>
      <c r="D2705" s="163">
        <v>118320</v>
      </c>
      <c r="E2705" s="164" t="s">
        <v>1264</v>
      </c>
      <c r="F2705" s="164" t="s">
        <v>1264</v>
      </c>
      <c r="G2705" s="165">
        <v>68000</v>
      </c>
      <c r="H2705" s="165">
        <v>1</v>
      </c>
      <c r="I2705" s="164" t="s">
        <v>187</v>
      </c>
      <c r="J2705" s="164" t="s">
        <v>222</v>
      </c>
      <c r="K2705" s="164" t="s">
        <v>223</v>
      </c>
      <c r="L2705" s="165">
        <v>4</v>
      </c>
      <c r="M2705" s="165">
        <v>6</v>
      </c>
      <c r="N2705" s="164" t="s">
        <v>189</v>
      </c>
      <c r="O2705" s="165">
        <v>0</v>
      </c>
      <c r="P2705" s="165">
        <v>0</v>
      </c>
      <c r="Q2705" s="165">
        <v>21</v>
      </c>
      <c r="R2705" s="164" t="s">
        <v>200</v>
      </c>
      <c r="S2705" s="164" t="s">
        <v>201</v>
      </c>
      <c r="T2705" s="165">
        <v>464</v>
      </c>
      <c r="U2705" s="164" t="s">
        <v>200</v>
      </c>
      <c r="V2705" s="164" t="s">
        <v>1226</v>
      </c>
      <c r="W2705" s="165">
        <v>2</v>
      </c>
      <c r="X2705" s="165">
        <v>4</v>
      </c>
      <c r="Y2705" s="164" t="s">
        <v>203</v>
      </c>
      <c r="Z2705" s="164" t="s">
        <v>195</v>
      </c>
      <c r="AA2705" s="164" t="s">
        <v>196</v>
      </c>
      <c r="AB2705" s="164" t="s">
        <v>187</v>
      </c>
      <c r="AC2705" s="164" t="s">
        <v>187</v>
      </c>
      <c r="AD2705" s="165">
        <v>1</v>
      </c>
      <c r="AE2705" s="164" t="s">
        <v>187</v>
      </c>
      <c r="AF2705" s="165">
        <v>33.79</v>
      </c>
      <c r="AG2705" s="166">
        <v>73.81</v>
      </c>
      <c r="AO2705" s="121"/>
      <c r="AT2705" s="111"/>
      <c r="AX2705" s="121"/>
    </row>
    <row r="2706" spans="1:50" s="110" customFormat="1" ht="20" customHeight="1">
      <c r="A2706" s="125" t="s">
        <v>231</v>
      </c>
      <c r="B2706" s="126" t="s">
        <v>66</v>
      </c>
      <c r="C2706" s="127">
        <v>21514</v>
      </c>
      <c r="D2706" s="163">
        <v>118316</v>
      </c>
      <c r="E2706" s="164" t="s">
        <v>1247</v>
      </c>
      <c r="F2706" s="164" t="s">
        <v>1247</v>
      </c>
      <c r="G2706" s="165">
        <v>64000</v>
      </c>
      <c r="H2706" s="165">
        <v>1</v>
      </c>
      <c r="I2706" s="164" t="s">
        <v>187</v>
      </c>
      <c r="J2706" s="164" t="s">
        <v>219</v>
      </c>
      <c r="K2706" s="164" t="s">
        <v>220</v>
      </c>
      <c r="L2706" s="165">
        <v>5</v>
      </c>
      <c r="M2706" s="165">
        <v>6</v>
      </c>
      <c r="N2706" s="164" t="s">
        <v>189</v>
      </c>
      <c r="O2706" s="165">
        <v>0</v>
      </c>
      <c r="P2706" s="165">
        <v>0</v>
      </c>
      <c r="Q2706" s="165">
        <v>21</v>
      </c>
      <c r="R2706" s="164" t="s">
        <v>200</v>
      </c>
      <c r="S2706" s="164" t="s">
        <v>201</v>
      </c>
      <c r="T2706" s="165">
        <v>464</v>
      </c>
      <c r="U2706" s="164" t="s">
        <v>200</v>
      </c>
      <c r="V2706" s="164" t="s">
        <v>1226</v>
      </c>
      <c r="W2706" s="165">
        <v>2</v>
      </c>
      <c r="X2706" s="165">
        <v>4</v>
      </c>
      <c r="Y2706" s="164" t="s">
        <v>203</v>
      </c>
      <c r="Z2706" s="164" t="s">
        <v>195</v>
      </c>
      <c r="AA2706" s="164" t="s">
        <v>196</v>
      </c>
      <c r="AB2706" s="164" t="s">
        <v>187</v>
      </c>
      <c r="AC2706" s="164" t="s">
        <v>187</v>
      </c>
      <c r="AD2706" s="165">
        <v>1</v>
      </c>
      <c r="AE2706" s="164" t="s">
        <v>187</v>
      </c>
      <c r="AF2706" s="165">
        <v>28.491384069999999</v>
      </c>
      <c r="AG2706" s="166">
        <v>70.549034140000003</v>
      </c>
      <c r="AO2706" s="121"/>
      <c r="AT2706" s="111"/>
      <c r="AX2706" s="121"/>
    </row>
    <row r="2707" spans="1:50" s="110" customFormat="1" ht="20" customHeight="1">
      <c r="A2707" s="125" t="s">
        <v>231</v>
      </c>
      <c r="B2707" s="126" t="s">
        <v>66</v>
      </c>
      <c r="C2707" s="127">
        <v>21513</v>
      </c>
      <c r="D2707" s="163">
        <v>118313</v>
      </c>
      <c r="E2707" s="164" t="s">
        <v>1240</v>
      </c>
      <c r="F2707" s="164" t="s">
        <v>1240</v>
      </c>
      <c r="G2707" s="165">
        <v>62000</v>
      </c>
      <c r="H2707" s="165">
        <v>1</v>
      </c>
      <c r="I2707" s="164" t="s">
        <v>187</v>
      </c>
      <c r="J2707" s="164" t="s">
        <v>222</v>
      </c>
      <c r="K2707" s="164" t="s">
        <v>223</v>
      </c>
      <c r="L2707" s="165">
        <v>4</v>
      </c>
      <c r="M2707" s="165">
        <v>6</v>
      </c>
      <c r="N2707" s="164" t="s">
        <v>189</v>
      </c>
      <c r="O2707" s="165">
        <v>0</v>
      </c>
      <c r="P2707" s="165">
        <v>0</v>
      </c>
      <c r="Q2707" s="165">
        <v>21</v>
      </c>
      <c r="R2707" s="164" t="s">
        <v>200</v>
      </c>
      <c r="S2707" s="164" t="s">
        <v>201</v>
      </c>
      <c r="T2707" s="165">
        <v>464</v>
      </c>
      <c r="U2707" s="164" t="s">
        <v>200</v>
      </c>
      <c r="V2707" s="164" t="s">
        <v>1226</v>
      </c>
      <c r="W2707" s="165">
        <v>1</v>
      </c>
      <c r="X2707" s="165">
        <v>4</v>
      </c>
      <c r="Y2707" s="164" t="s">
        <v>203</v>
      </c>
      <c r="Z2707" s="164" t="s">
        <v>195</v>
      </c>
      <c r="AA2707" s="164" t="s">
        <v>196</v>
      </c>
      <c r="AB2707" s="164" t="s">
        <v>187</v>
      </c>
      <c r="AC2707" s="164" t="s">
        <v>187</v>
      </c>
      <c r="AD2707" s="165">
        <v>1</v>
      </c>
      <c r="AE2707" s="164" t="s">
        <v>187</v>
      </c>
      <c r="AF2707" s="165">
        <v>30.10520653</v>
      </c>
      <c r="AG2707" s="166">
        <v>71.528385009999994</v>
      </c>
      <c r="AO2707" s="121"/>
      <c r="AT2707" s="111"/>
      <c r="AX2707" s="121"/>
    </row>
    <row r="2708" spans="1:50" s="110" customFormat="1" ht="20" customHeight="1">
      <c r="A2708" s="125" t="s">
        <v>231</v>
      </c>
      <c r="B2708" s="126" t="s">
        <v>66</v>
      </c>
      <c r="C2708" s="127">
        <v>20228</v>
      </c>
      <c r="D2708" s="163">
        <v>115972</v>
      </c>
      <c r="E2708" s="164" t="s">
        <v>1228</v>
      </c>
      <c r="F2708" s="164" t="s">
        <v>1228</v>
      </c>
      <c r="G2708" s="165">
        <v>57000</v>
      </c>
      <c r="H2708" s="165">
        <v>1</v>
      </c>
      <c r="I2708" s="164" t="s">
        <v>187</v>
      </c>
      <c r="J2708" s="164" t="s">
        <v>216</v>
      </c>
      <c r="K2708" s="164" t="s">
        <v>217</v>
      </c>
      <c r="L2708" s="165">
        <v>5</v>
      </c>
      <c r="M2708" s="165">
        <v>6</v>
      </c>
      <c r="N2708" s="164" t="s">
        <v>189</v>
      </c>
      <c r="O2708" s="165">
        <v>0</v>
      </c>
      <c r="P2708" s="165">
        <v>0</v>
      </c>
      <c r="Q2708" s="165">
        <v>21</v>
      </c>
      <c r="R2708" s="164" t="s">
        <v>200</v>
      </c>
      <c r="S2708" s="164" t="s">
        <v>201</v>
      </c>
      <c r="T2708" s="165">
        <v>464</v>
      </c>
      <c r="U2708" s="164" t="s">
        <v>200</v>
      </c>
      <c r="V2708" s="164" t="s">
        <v>1226</v>
      </c>
      <c r="W2708" s="165">
        <v>2</v>
      </c>
      <c r="X2708" s="165">
        <v>4</v>
      </c>
      <c r="Y2708" s="164" t="s">
        <v>203</v>
      </c>
      <c r="Z2708" s="164" t="s">
        <v>195</v>
      </c>
      <c r="AA2708" s="164" t="s">
        <v>196</v>
      </c>
      <c r="AB2708" s="164" t="s">
        <v>187</v>
      </c>
      <c r="AC2708" s="164" t="s">
        <v>187</v>
      </c>
      <c r="AD2708" s="165">
        <v>1</v>
      </c>
      <c r="AE2708" s="164" t="s">
        <v>187</v>
      </c>
      <c r="AF2708" s="165">
        <v>34.359769999999997</v>
      </c>
      <c r="AG2708" s="166">
        <v>73.566249999999997</v>
      </c>
      <c r="AO2708" s="121"/>
      <c r="AT2708" s="111"/>
      <c r="AX2708" s="121"/>
    </row>
    <row r="2709" spans="1:50" s="110" customFormat="1" ht="20" customHeight="1">
      <c r="A2709" s="125" t="s">
        <v>231</v>
      </c>
      <c r="B2709" s="126" t="s">
        <v>66</v>
      </c>
      <c r="C2709" s="127">
        <v>21516</v>
      </c>
      <c r="D2709" s="163">
        <v>118318</v>
      </c>
      <c r="E2709" s="164" t="s">
        <v>1257</v>
      </c>
      <c r="F2709" s="164" t="s">
        <v>1257</v>
      </c>
      <c r="G2709" s="165">
        <v>55000</v>
      </c>
      <c r="H2709" s="165">
        <v>1</v>
      </c>
      <c r="I2709" s="164" t="s">
        <v>187</v>
      </c>
      <c r="J2709" s="164" t="s">
        <v>222</v>
      </c>
      <c r="K2709" s="164" t="s">
        <v>223</v>
      </c>
      <c r="L2709" s="165">
        <v>4</v>
      </c>
      <c r="M2709" s="165">
        <v>6</v>
      </c>
      <c r="N2709" s="164" t="s">
        <v>189</v>
      </c>
      <c r="O2709" s="165">
        <v>0</v>
      </c>
      <c r="P2709" s="165">
        <v>0</v>
      </c>
      <c r="Q2709" s="165">
        <v>21</v>
      </c>
      <c r="R2709" s="164" t="s">
        <v>200</v>
      </c>
      <c r="S2709" s="164" t="s">
        <v>201</v>
      </c>
      <c r="T2709" s="165">
        <v>464</v>
      </c>
      <c r="U2709" s="164" t="s">
        <v>200</v>
      </c>
      <c r="V2709" s="164" t="s">
        <v>1226</v>
      </c>
      <c r="W2709" s="165">
        <v>1</v>
      </c>
      <c r="X2709" s="165">
        <v>4</v>
      </c>
      <c r="Y2709" s="164" t="s">
        <v>203</v>
      </c>
      <c r="Z2709" s="164" t="s">
        <v>195</v>
      </c>
      <c r="AA2709" s="164" t="s">
        <v>196</v>
      </c>
      <c r="AB2709" s="164" t="s">
        <v>187</v>
      </c>
      <c r="AC2709" s="164" t="s">
        <v>187</v>
      </c>
      <c r="AD2709" s="165">
        <v>1</v>
      </c>
      <c r="AE2709" s="164" t="s">
        <v>187</v>
      </c>
      <c r="AF2709" s="165">
        <v>31.384483979999999</v>
      </c>
      <c r="AG2709" s="166">
        <v>73.319198060000005</v>
      </c>
      <c r="AO2709" s="121"/>
      <c r="AT2709" s="111"/>
      <c r="AX2709" s="121"/>
    </row>
    <row r="2710" spans="1:50" s="110" customFormat="1" ht="20" customHeight="1">
      <c r="A2710" s="125" t="s">
        <v>231</v>
      </c>
      <c r="B2710" s="126" t="s">
        <v>66</v>
      </c>
      <c r="C2710" s="127">
        <v>21522</v>
      </c>
      <c r="D2710" s="163">
        <v>118326</v>
      </c>
      <c r="E2710" s="164" t="s">
        <v>1286</v>
      </c>
      <c r="F2710" s="164" t="s">
        <v>1286</v>
      </c>
      <c r="G2710" s="165">
        <v>52000</v>
      </c>
      <c r="H2710" s="165">
        <v>1</v>
      </c>
      <c r="I2710" s="164" t="s">
        <v>187</v>
      </c>
      <c r="J2710" s="164" t="s">
        <v>222</v>
      </c>
      <c r="K2710" s="164" t="s">
        <v>223</v>
      </c>
      <c r="L2710" s="165">
        <v>4</v>
      </c>
      <c r="M2710" s="165">
        <v>6</v>
      </c>
      <c r="N2710" s="164" t="s">
        <v>189</v>
      </c>
      <c r="O2710" s="165">
        <v>0</v>
      </c>
      <c r="P2710" s="165">
        <v>0</v>
      </c>
      <c r="Q2710" s="165">
        <v>21</v>
      </c>
      <c r="R2710" s="164" t="s">
        <v>200</v>
      </c>
      <c r="S2710" s="164" t="s">
        <v>201</v>
      </c>
      <c r="T2710" s="165">
        <v>464</v>
      </c>
      <c r="U2710" s="164" t="s">
        <v>200</v>
      </c>
      <c r="V2710" s="164" t="s">
        <v>1226</v>
      </c>
      <c r="W2710" s="165">
        <v>1</v>
      </c>
      <c r="X2710" s="165">
        <v>4</v>
      </c>
      <c r="Y2710" s="164" t="s">
        <v>203</v>
      </c>
      <c r="Z2710" s="164" t="s">
        <v>195</v>
      </c>
      <c r="AA2710" s="164" t="s">
        <v>196</v>
      </c>
      <c r="AB2710" s="164" t="s">
        <v>187</v>
      </c>
      <c r="AC2710" s="164" t="s">
        <v>187</v>
      </c>
      <c r="AD2710" s="165">
        <v>1</v>
      </c>
      <c r="AE2710" s="164" t="s">
        <v>187</v>
      </c>
      <c r="AF2710" s="165">
        <v>33.461693949999997</v>
      </c>
      <c r="AG2710" s="166">
        <v>73.301404469999994</v>
      </c>
      <c r="AO2710" s="121"/>
      <c r="AT2710" s="111"/>
      <c r="AX2710" s="121"/>
    </row>
    <row r="2711" spans="1:50" s="110" customFormat="1" ht="20" customHeight="1">
      <c r="A2711" s="125" t="s">
        <v>231</v>
      </c>
      <c r="B2711" s="126" t="s">
        <v>66</v>
      </c>
      <c r="C2711" s="127">
        <v>21800</v>
      </c>
      <c r="D2711" s="167"/>
      <c r="E2711" s="164" t="s">
        <v>1270</v>
      </c>
      <c r="F2711" s="164" t="s">
        <v>1270</v>
      </c>
      <c r="G2711" s="165">
        <v>49000</v>
      </c>
      <c r="H2711" s="165">
        <v>1</v>
      </c>
      <c r="I2711" s="164" t="s">
        <v>187</v>
      </c>
      <c r="J2711" s="164" t="s">
        <v>222</v>
      </c>
      <c r="K2711" s="164" t="s">
        <v>223</v>
      </c>
      <c r="L2711" s="165">
        <v>4</v>
      </c>
      <c r="M2711" s="165">
        <v>6</v>
      </c>
      <c r="N2711" s="164" t="s">
        <v>189</v>
      </c>
      <c r="O2711" s="165">
        <v>0</v>
      </c>
      <c r="P2711" s="165">
        <v>0</v>
      </c>
      <c r="Q2711" s="165">
        <v>21</v>
      </c>
      <c r="R2711" s="164" t="s">
        <v>200</v>
      </c>
      <c r="S2711" s="164" t="s">
        <v>201</v>
      </c>
      <c r="T2711" s="165">
        <v>464</v>
      </c>
      <c r="U2711" s="164" t="s">
        <v>200</v>
      </c>
      <c r="V2711" s="164" t="s">
        <v>1226</v>
      </c>
      <c r="W2711" s="165">
        <v>1</v>
      </c>
      <c r="X2711" s="165">
        <v>4</v>
      </c>
      <c r="Y2711" s="164" t="s">
        <v>203</v>
      </c>
      <c r="Z2711" s="164" t="s">
        <v>195</v>
      </c>
      <c r="AA2711" s="164" t="s">
        <v>196</v>
      </c>
      <c r="AB2711" s="164" t="s">
        <v>187</v>
      </c>
      <c r="AC2711" s="164" t="s">
        <v>187</v>
      </c>
      <c r="AD2711" s="165">
        <v>1</v>
      </c>
      <c r="AE2711" s="164" t="s">
        <v>187</v>
      </c>
      <c r="AF2711" s="165">
        <v>31.372440000000001</v>
      </c>
      <c r="AG2711" s="166">
        <v>74.373689999999996</v>
      </c>
      <c r="AO2711" s="121"/>
      <c r="AT2711" s="111"/>
      <c r="AX2711" s="121"/>
    </row>
    <row r="2712" spans="1:50" s="110" customFormat="1" ht="20" customHeight="1">
      <c r="A2712" s="125" t="s">
        <v>231</v>
      </c>
      <c r="B2712" s="126" t="s">
        <v>66</v>
      </c>
      <c r="C2712" s="127">
        <v>21512</v>
      </c>
      <c r="D2712" s="163">
        <v>118312</v>
      </c>
      <c r="E2712" s="164" t="s">
        <v>1239</v>
      </c>
      <c r="F2712" s="164" t="s">
        <v>1239</v>
      </c>
      <c r="G2712" s="165">
        <v>47000</v>
      </c>
      <c r="H2712" s="165">
        <v>1</v>
      </c>
      <c r="I2712" s="164" t="s">
        <v>187</v>
      </c>
      <c r="J2712" s="164" t="s">
        <v>222</v>
      </c>
      <c r="K2712" s="164" t="s">
        <v>223</v>
      </c>
      <c r="L2712" s="165">
        <v>4</v>
      </c>
      <c r="M2712" s="165">
        <v>6</v>
      </c>
      <c r="N2712" s="164" t="s">
        <v>189</v>
      </c>
      <c r="O2712" s="165">
        <v>0</v>
      </c>
      <c r="P2712" s="165">
        <v>0</v>
      </c>
      <c r="Q2712" s="165">
        <v>21</v>
      </c>
      <c r="R2712" s="164" t="s">
        <v>200</v>
      </c>
      <c r="S2712" s="164" t="s">
        <v>201</v>
      </c>
      <c r="T2712" s="165">
        <v>464</v>
      </c>
      <c r="U2712" s="164" t="s">
        <v>200</v>
      </c>
      <c r="V2712" s="164" t="s">
        <v>1226</v>
      </c>
      <c r="W2712" s="165">
        <v>1</v>
      </c>
      <c r="X2712" s="165">
        <v>4</v>
      </c>
      <c r="Y2712" s="164" t="s">
        <v>203</v>
      </c>
      <c r="Z2712" s="164" t="s">
        <v>195</v>
      </c>
      <c r="AA2712" s="164" t="s">
        <v>196</v>
      </c>
      <c r="AB2712" s="164" t="s">
        <v>187</v>
      </c>
      <c r="AC2712" s="164" t="s">
        <v>187</v>
      </c>
      <c r="AD2712" s="165">
        <v>1</v>
      </c>
      <c r="AE2712" s="164" t="s">
        <v>187</v>
      </c>
      <c r="AF2712" s="165">
        <v>33.460626390000002</v>
      </c>
      <c r="AG2712" s="166">
        <v>73.301734539999998</v>
      </c>
      <c r="AO2712" s="121"/>
      <c r="AT2712" s="111"/>
      <c r="AX2712" s="121"/>
    </row>
    <row r="2713" spans="1:50" s="110" customFormat="1" ht="20" customHeight="1">
      <c r="A2713" s="125" t="s">
        <v>231</v>
      </c>
      <c r="B2713" s="126" t="s">
        <v>66</v>
      </c>
      <c r="C2713" s="127">
        <v>21493</v>
      </c>
      <c r="D2713" s="163">
        <v>118311</v>
      </c>
      <c r="E2713" s="164" t="s">
        <v>1237</v>
      </c>
      <c r="F2713" s="164" t="s">
        <v>1237</v>
      </c>
      <c r="G2713" s="165">
        <v>39000</v>
      </c>
      <c r="H2713" s="165">
        <v>1</v>
      </c>
      <c r="I2713" s="164" t="s">
        <v>187</v>
      </c>
      <c r="J2713" s="164" t="s">
        <v>222</v>
      </c>
      <c r="K2713" s="164" t="s">
        <v>223</v>
      </c>
      <c r="L2713" s="165">
        <v>4</v>
      </c>
      <c r="M2713" s="165">
        <v>6</v>
      </c>
      <c r="N2713" s="164" t="s">
        <v>189</v>
      </c>
      <c r="O2713" s="165">
        <v>0</v>
      </c>
      <c r="P2713" s="165">
        <v>0</v>
      </c>
      <c r="Q2713" s="165">
        <v>21</v>
      </c>
      <c r="R2713" s="164" t="s">
        <v>200</v>
      </c>
      <c r="S2713" s="164" t="s">
        <v>201</v>
      </c>
      <c r="T2713" s="165">
        <v>464</v>
      </c>
      <c r="U2713" s="164" t="s">
        <v>200</v>
      </c>
      <c r="V2713" s="164" t="s">
        <v>1226</v>
      </c>
      <c r="W2713" s="165">
        <v>2</v>
      </c>
      <c r="X2713" s="165">
        <v>4</v>
      </c>
      <c r="Y2713" s="164" t="s">
        <v>203</v>
      </c>
      <c r="Z2713" s="164" t="s">
        <v>195</v>
      </c>
      <c r="AA2713" s="164" t="s">
        <v>196</v>
      </c>
      <c r="AB2713" s="164" t="s">
        <v>187</v>
      </c>
      <c r="AC2713" s="164" t="s">
        <v>187</v>
      </c>
      <c r="AD2713" s="165">
        <v>1</v>
      </c>
      <c r="AE2713" s="164" t="s">
        <v>187</v>
      </c>
      <c r="AF2713" s="165">
        <v>32.422690000000003</v>
      </c>
      <c r="AG2713" s="166">
        <v>73.528999999999996</v>
      </c>
      <c r="AO2713" s="121"/>
      <c r="AT2713" s="111"/>
      <c r="AX2713" s="121"/>
    </row>
    <row r="2714" spans="1:50" s="110" customFormat="1" ht="20" customHeight="1">
      <c r="A2714" s="125" t="s">
        <v>231</v>
      </c>
      <c r="B2714" s="126" t="s">
        <v>66</v>
      </c>
      <c r="C2714" s="127">
        <v>21517</v>
      </c>
      <c r="D2714" s="163">
        <v>118319</v>
      </c>
      <c r="E2714" s="164" t="s">
        <v>1260</v>
      </c>
      <c r="F2714" s="164" t="s">
        <v>1260</v>
      </c>
      <c r="G2714" s="165">
        <v>39000</v>
      </c>
      <c r="H2714" s="165">
        <v>1</v>
      </c>
      <c r="I2714" s="164" t="s">
        <v>187</v>
      </c>
      <c r="J2714" s="164" t="s">
        <v>222</v>
      </c>
      <c r="K2714" s="164" t="s">
        <v>223</v>
      </c>
      <c r="L2714" s="165">
        <v>4</v>
      </c>
      <c r="M2714" s="165">
        <v>6</v>
      </c>
      <c r="N2714" s="164" t="s">
        <v>189</v>
      </c>
      <c r="O2714" s="165">
        <v>0</v>
      </c>
      <c r="P2714" s="165">
        <v>0</v>
      </c>
      <c r="Q2714" s="165">
        <v>21</v>
      </c>
      <c r="R2714" s="164" t="s">
        <v>200</v>
      </c>
      <c r="S2714" s="164" t="s">
        <v>201</v>
      </c>
      <c r="T2714" s="165">
        <v>464</v>
      </c>
      <c r="U2714" s="164" t="s">
        <v>200</v>
      </c>
      <c r="V2714" s="164" t="s">
        <v>1226</v>
      </c>
      <c r="W2714" s="165">
        <v>1</v>
      </c>
      <c r="X2714" s="165">
        <v>4</v>
      </c>
      <c r="Y2714" s="164" t="s">
        <v>203</v>
      </c>
      <c r="Z2714" s="164" t="s">
        <v>195</v>
      </c>
      <c r="AA2714" s="164" t="s">
        <v>196</v>
      </c>
      <c r="AB2714" s="164" t="s">
        <v>187</v>
      </c>
      <c r="AC2714" s="164" t="s">
        <v>187</v>
      </c>
      <c r="AD2714" s="165">
        <v>1</v>
      </c>
      <c r="AE2714" s="164" t="s">
        <v>187</v>
      </c>
      <c r="AF2714" s="165">
        <v>32.877416650000001</v>
      </c>
      <c r="AG2714" s="166">
        <v>73.415948220000004</v>
      </c>
      <c r="AO2714" s="121"/>
      <c r="AT2714" s="111"/>
      <c r="AX2714" s="121"/>
    </row>
    <row r="2715" spans="1:50" s="110" customFormat="1" ht="20" customHeight="1">
      <c r="A2715" s="125" t="s">
        <v>231</v>
      </c>
      <c r="B2715" s="126" t="s">
        <v>66</v>
      </c>
      <c r="C2715" s="127">
        <v>21799</v>
      </c>
      <c r="D2715" s="167"/>
      <c r="E2715" s="164" t="s">
        <v>1269</v>
      </c>
      <c r="F2715" s="164" t="s">
        <v>1269</v>
      </c>
      <c r="G2715" s="165">
        <v>37000</v>
      </c>
      <c r="H2715" s="165">
        <v>1</v>
      </c>
      <c r="I2715" s="164" t="s">
        <v>187</v>
      </c>
      <c r="J2715" s="164" t="s">
        <v>222</v>
      </c>
      <c r="K2715" s="164" t="s">
        <v>223</v>
      </c>
      <c r="L2715" s="165">
        <v>4</v>
      </c>
      <c r="M2715" s="165">
        <v>6</v>
      </c>
      <c r="N2715" s="164" t="s">
        <v>189</v>
      </c>
      <c r="O2715" s="165">
        <v>0</v>
      </c>
      <c r="P2715" s="165">
        <v>0</v>
      </c>
      <c r="Q2715" s="165">
        <v>21</v>
      </c>
      <c r="R2715" s="164" t="s">
        <v>200</v>
      </c>
      <c r="S2715" s="164" t="s">
        <v>201</v>
      </c>
      <c r="T2715" s="165">
        <v>464</v>
      </c>
      <c r="U2715" s="164" t="s">
        <v>200</v>
      </c>
      <c r="V2715" s="164" t="s">
        <v>1226</v>
      </c>
      <c r="W2715" s="165">
        <v>1</v>
      </c>
      <c r="X2715" s="165">
        <v>4</v>
      </c>
      <c r="Y2715" s="164" t="s">
        <v>203</v>
      </c>
      <c r="Z2715" s="164" t="s">
        <v>195</v>
      </c>
      <c r="AA2715" s="164" t="s">
        <v>196</v>
      </c>
      <c r="AB2715" s="164" t="s">
        <v>187</v>
      </c>
      <c r="AC2715" s="164" t="s">
        <v>187</v>
      </c>
      <c r="AD2715" s="165">
        <v>1</v>
      </c>
      <c r="AE2715" s="164" t="s">
        <v>187</v>
      </c>
      <c r="AF2715" s="165">
        <v>33.426569999999998</v>
      </c>
      <c r="AG2715" s="166">
        <v>73.221559999999997</v>
      </c>
      <c r="AO2715" s="121"/>
      <c r="AT2715" s="111"/>
      <c r="AX2715" s="121"/>
    </row>
    <row r="2716" spans="1:50" s="110" customFormat="1" ht="20" customHeight="1">
      <c r="A2716" s="125" t="s">
        <v>231</v>
      </c>
      <c r="B2716" s="126" t="s">
        <v>66</v>
      </c>
      <c r="C2716" s="127">
        <v>21520</v>
      </c>
      <c r="D2716" s="163">
        <v>118323</v>
      </c>
      <c r="E2716" s="164" t="s">
        <v>1277</v>
      </c>
      <c r="F2716" s="164" t="s">
        <v>1277</v>
      </c>
      <c r="G2716" s="165">
        <v>37000</v>
      </c>
      <c r="H2716" s="165">
        <v>1</v>
      </c>
      <c r="I2716" s="164" t="s">
        <v>187</v>
      </c>
      <c r="J2716" s="164" t="s">
        <v>222</v>
      </c>
      <c r="K2716" s="164" t="s">
        <v>223</v>
      </c>
      <c r="L2716" s="165">
        <v>4</v>
      </c>
      <c r="M2716" s="165">
        <v>6</v>
      </c>
      <c r="N2716" s="164" t="s">
        <v>189</v>
      </c>
      <c r="O2716" s="165">
        <v>0</v>
      </c>
      <c r="P2716" s="165">
        <v>0</v>
      </c>
      <c r="Q2716" s="165">
        <v>21</v>
      </c>
      <c r="R2716" s="164" t="s">
        <v>200</v>
      </c>
      <c r="S2716" s="164" t="s">
        <v>201</v>
      </c>
      <c r="T2716" s="165">
        <v>464</v>
      </c>
      <c r="U2716" s="164" t="s">
        <v>200</v>
      </c>
      <c r="V2716" s="164" t="s">
        <v>1226</v>
      </c>
      <c r="W2716" s="165">
        <v>1</v>
      </c>
      <c r="X2716" s="165">
        <v>4</v>
      </c>
      <c r="Y2716" s="164" t="s">
        <v>203</v>
      </c>
      <c r="Z2716" s="164" t="s">
        <v>195</v>
      </c>
      <c r="AA2716" s="164" t="s">
        <v>196</v>
      </c>
      <c r="AB2716" s="164" t="s">
        <v>187</v>
      </c>
      <c r="AC2716" s="164" t="s">
        <v>187</v>
      </c>
      <c r="AD2716" s="165">
        <v>1</v>
      </c>
      <c r="AE2716" s="164" t="s">
        <v>187</v>
      </c>
      <c r="AF2716" s="165">
        <v>32.218024329999999</v>
      </c>
      <c r="AG2716" s="166">
        <v>72.889025360000005</v>
      </c>
      <c r="AO2716" s="121"/>
      <c r="AT2716" s="111"/>
      <c r="AX2716" s="121"/>
    </row>
    <row r="2717" spans="1:50" s="110" customFormat="1" ht="20" customHeight="1">
      <c r="A2717" s="125" t="s">
        <v>231</v>
      </c>
      <c r="B2717" s="126" t="s">
        <v>66</v>
      </c>
      <c r="C2717" s="127">
        <v>21782</v>
      </c>
      <c r="D2717" s="167"/>
      <c r="E2717" s="164" t="s">
        <v>1238</v>
      </c>
      <c r="F2717" s="164" t="s">
        <v>1238</v>
      </c>
      <c r="G2717" s="165">
        <v>36000</v>
      </c>
      <c r="H2717" s="165">
        <v>1</v>
      </c>
      <c r="I2717" s="164" t="s">
        <v>187</v>
      </c>
      <c r="J2717" s="164" t="s">
        <v>222</v>
      </c>
      <c r="K2717" s="164" t="s">
        <v>223</v>
      </c>
      <c r="L2717" s="165">
        <v>4</v>
      </c>
      <c r="M2717" s="165">
        <v>6</v>
      </c>
      <c r="N2717" s="164" t="s">
        <v>189</v>
      </c>
      <c r="O2717" s="165">
        <v>0</v>
      </c>
      <c r="P2717" s="165">
        <v>0</v>
      </c>
      <c r="Q2717" s="165">
        <v>21</v>
      </c>
      <c r="R2717" s="164" t="s">
        <v>200</v>
      </c>
      <c r="S2717" s="164" t="s">
        <v>201</v>
      </c>
      <c r="T2717" s="165">
        <v>464</v>
      </c>
      <c r="U2717" s="164" t="s">
        <v>200</v>
      </c>
      <c r="V2717" s="164" t="s">
        <v>1226</v>
      </c>
      <c r="W2717" s="165">
        <v>1</v>
      </c>
      <c r="X2717" s="165">
        <v>4</v>
      </c>
      <c r="Y2717" s="164" t="s">
        <v>203</v>
      </c>
      <c r="Z2717" s="164" t="s">
        <v>195</v>
      </c>
      <c r="AA2717" s="164" t="s">
        <v>196</v>
      </c>
      <c r="AB2717" s="164" t="s">
        <v>187</v>
      </c>
      <c r="AC2717" s="164" t="s">
        <v>187</v>
      </c>
      <c r="AD2717" s="165">
        <v>1</v>
      </c>
      <c r="AE2717" s="164" t="s">
        <v>187</v>
      </c>
      <c r="AF2717" s="165">
        <v>33.426569999999998</v>
      </c>
      <c r="AG2717" s="166">
        <v>73.221559999999997</v>
      </c>
      <c r="AO2717" s="121"/>
      <c r="AT2717" s="111"/>
      <c r="AX2717" s="121"/>
    </row>
    <row r="2718" spans="1:50" s="110" customFormat="1" ht="20" customHeight="1">
      <c r="A2718" s="125" t="s">
        <v>231</v>
      </c>
      <c r="B2718" s="126" t="s">
        <v>66</v>
      </c>
      <c r="C2718" s="127">
        <v>21494</v>
      </c>
      <c r="D2718" s="163">
        <v>118314</v>
      </c>
      <c r="E2718" s="164" t="s">
        <v>1242</v>
      </c>
      <c r="F2718" s="164" t="s">
        <v>1242</v>
      </c>
      <c r="G2718" s="165">
        <v>36000</v>
      </c>
      <c r="H2718" s="165">
        <v>1</v>
      </c>
      <c r="I2718" s="164" t="s">
        <v>187</v>
      </c>
      <c r="J2718" s="164" t="s">
        <v>216</v>
      </c>
      <c r="K2718" s="164" t="s">
        <v>217</v>
      </c>
      <c r="L2718" s="165">
        <v>5</v>
      </c>
      <c r="M2718" s="165">
        <v>6</v>
      </c>
      <c r="N2718" s="164" t="s">
        <v>189</v>
      </c>
      <c r="O2718" s="165">
        <v>0</v>
      </c>
      <c r="P2718" s="165">
        <v>0</v>
      </c>
      <c r="Q2718" s="165">
        <v>21</v>
      </c>
      <c r="R2718" s="164" t="s">
        <v>200</v>
      </c>
      <c r="S2718" s="164" t="s">
        <v>201</v>
      </c>
      <c r="T2718" s="165">
        <v>464</v>
      </c>
      <c r="U2718" s="164" t="s">
        <v>200</v>
      </c>
      <c r="V2718" s="164" t="s">
        <v>1226</v>
      </c>
      <c r="W2718" s="165">
        <v>2</v>
      </c>
      <c r="X2718" s="165">
        <v>4</v>
      </c>
      <c r="Y2718" s="164" t="s">
        <v>203</v>
      </c>
      <c r="Z2718" s="164" t="s">
        <v>195</v>
      </c>
      <c r="AA2718" s="164" t="s">
        <v>196</v>
      </c>
      <c r="AB2718" s="164" t="s">
        <v>187</v>
      </c>
      <c r="AC2718" s="164" t="s">
        <v>187</v>
      </c>
      <c r="AD2718" s="165">
        <v>1</v>
      </c>
      <c r="AE2718" s="164" t="s">
        <v>187</v>
      </c>
      <c r="AF2718" s="165">
        <v>33.795610000000003</v>
      </c>
      <c r="AG2718" s="166">
        <v>73.81</v>
      </c>
      <c r="AO2718" s="121"/>
      <c r="AT2718" s="111"/>
      <c r="AX2718" s="121"/>
    </row>
    <row r="2719" spans="1:50" s="110" customFormat="1" ht="20" customHeight="1">
      <c r="A2719" s="125" t="s">
        <v>231</v>
      </c>
      <c r="B2719" s="126" t="s">
        <v>66</v>
      </c>
      <c r="C2719" s="127">
        <v>21790</v>
      </c>
      <c r="D2719" s="167"/>
      <c r="E2719" s="164" t="s">
        <v>1256</v>
      </c>
      <c r="F2719" s="164" t="s">
        <v>1256</v>
      </c>
      <c r="G2719" s="165">
        <v>35000</v>
      </c>
      <c r="H2719" s="165">
        <v>1</v>
      </c>
      <c r="I2719" s="164" t="s">
        <v>187</v>
      </c>
      <c r="J2719" s="164" t="s">
        <v>222</v>
      </c>
      <c r="K2719" s="164" t="s">
        <v>223</v>
      </c>
      <c r="L2719" s="165">
        <v>4</v>
      </c>
      <c r="M2719" s="165">
        <v>6</v>
      </c>
      <c r="N2719" s="164" t="s">
        <v>189</v>
      </c>
      <c r="O2719" s="165">
        <v>0</v>
      </c>
      <c r="P2719" s="165">
        <v>0</v>
      </c>
      <c r="Q2719" s="165">
        <v>21</v>
      </c>
      <c r="R2719" s="164" t="s">
        <v>200</v>
      </c>
      <c r="S2719" s="164" t="s">
        <v>201</v>
      </c>
      <c r="T2719" s="165">
        <v>464</v>
      </c>
      <c r="U2719" s="164" t="s">
        <v>200</v>
      </c>
      <c r="V2719" s="164" t="s">
        <v>1226</v>
      </c>
      <c r="W2719" s="165">
        <v>2</v>
      </c>
      <c r="X2719" s="165">
        <v>4</v>
      </c>
      <c r="Y2719" s="164" t="s">
        <v>203</v>
      </c>
      <c r="Z2719" s="164" t="s">
        <v>195</v>
      </c>
      <c r="AA2719" s="164" t="s">
        <v>196</v>
      </c>
      <c r="AB2719" s="164" t="s">
        <v>187</v>
      </c>
      <c r="AC2719" s="164" t="s">
        <v>187</v>
      </c>
      <c r="AD2719" s="165">
        <v>1</v>
      </c>
      <c r="AE2719" s="164" t="s">
        <v>187</v>
      </c>
      <c r="AF2719" s="165">
        <v>30.07592</v>
      </c>
      <c r="AG2719" s="166">
        <v>71.009299999999996</v>
      </c>
      <c r="AO2719" s="121"/>
      <c r="AT2719" s="111"/>
      <c r="AX2719" s="121"/>
    </row>
    <row r="2720" spans="1:50" s="110" customFormat="1" ht="20" customHeight="1">
      <c r="A2720" s="125" t="s">
        <v>231</v>
      </c>
      <c r="B2720" s="126" t="s">
        <v>66</v>
      </c>
      <c r="C2720" s="127">
        <v>21787</v>
      </c>
      <c r="D2720" s="167"/>
      <c r="E2720" s="164" t="s">
        <v>1252</v>
      </c>
      <c r="F2720" s="164" t="s">
        <v>1252</v>
      </c>
      <c r="G2720" s="165">
        <v>33000</v>
      </c>
      <c r="H2720" s="165">
        <v>1</v>
      </c>
      <c r="I2720" s="164" t="s">
        <v>187</v>
      </c>
      <c r="J2720" s="164" t="s">
        <v>222</v>
      </c>
      <c r="K2720" s="164" t="s">
        <v>223</v>
      </c>
      <c r="L2720" s="165">
        <v>4</v>
      </c>
      <c r="M2720" s="165">
        <v>6</v>
      </c>
      <c r="N2720" s="164" t="s">
        <v>189</v>
      </c>
      <c r="O2720" s="165">
        <v>0</v>
      </c>
      <c r="P2720" s="165">
        <v>0</v>
      </c>
      <c r="Q2720" s="165">
        <v>21</v>
      </c>
      <c r="R2720" s="164" t="s">
        <v>200</v>
      </c>
      <c r="S2720" s="164" t="s">
        <v>201</v>
      </c>
      <c r="T2720" s="165">
        <v>464</v>
      </c>
      <c r="U2720" s="164" t="s">
        <v>200</v>
      </c>
      <c r="V2720" s="164" t="s">
        <v>1226</v>
      </c>
      <c r="W2720" s="165">
        <v>1</v>
      </c>
      <c r="X2720" s="165">
        <v>4</v>
      </c>
      <c r="Y2720" s="164" t="s">
        <v>203</v>
      </c>
      <c r="Z2720" s="164" t="s">
        <v>195</v>
      </c>
      <c r="AA2720" s="164" t="s">
        <v>196</v>
      </c>
      <c r="AB2720" s="164" t="s">
        <v>187</v>
      </c>
      <c r="AC2720" s="164" t="s">
        <v>187</v>
      </c>
      <c r="AD2720" s="165">
        <v>1</v>
      </c>
      <c r="AE2720" s="164" t="s">
        <v>187</v>
      </c>
      <c r="AF2720" s="165">
        <v>33.426569999999998</v>
      </c>
      <c r="AG2720" s="166">
        <v>73.221559999999997</v>
      </c>
      <c r="AO2720" s="121"/>
      <c r="AT2720" s="111"/>
      <c r="AX2720" s="121"/>
    </row>
    <row r="2721" spans="1:50" s="110" customFormat="1" ht="20" customHeight="1">
      <c r="A2721" s="125" t="s">
        <v>231</v>
      </c>
      <c r="B2721" s="126" t="s">
        <v>66</v>
      </c>
      <c r="C2721" s="127">
        <v>21792</v>
      </c>
      <c r="D2721" s="167"/>
      <c r="E2721" s="164" t="s">
        <v>1259</v>
      </c>
      <c r="F2721" s="164" t="s">
        <v>1259</v>
      </c>
      <c r="G2721" s="165">
        <v>32000</v>
      </c>
      <c r="H2721" s="165">
        <v>1</v>
      </c>
      <c r="I2721" s="164" t="s">
        <v>187</v>
      </c>
      <c r="J2721" s="164" t="s">
        <v>216</v>
      </c>
      <c r="K2721" s="164" t="s">
        <v>217</v>
      </c>
      <c r="L2721" s="165">
        <v>5</v>
      </c>
      <c r="M2721" s="165">
        <v>6</v>
      </c>
      <c r="N2721" s="164" t="s">
        <v>189</v>
      </c>
      <c r="O2721" s="165">
        <v>0</v>
      </c>
      <c r="P2721" s="165">
        <v>0</v>
      </c>
      <c r="Q2721" s="165">
        <v>21</v>
      </c>
      <c r="R2721" s="164" t="s">
        <v>200</v>
      </c>
      <c r="S2721" s="164" t="s">
        <v>201</v>
      </c>
      <c r="T2721" s="165">
        <v>464</v>
      </c>
      <c r="U2721" s="164" t="s">
        <v>200</v>
      </c>
      <c r="V2721" s="164" t="s">
        <v>1226</v>
      </c>
      <c r="W2721" s="165">
        <v>2</v>
      </c>
      <c r="X2721" s="165">
        <v>4</v>
      </c>
      <c r="Y2721" s="164" t="s">
        <v>203</v>
      </c>
      <c r="Z2721" s="164" t="s">
        <v>195</v>
      </c>
      <c r="AA2721" s="164" t="s">
        <v>196</v>
      </c>
      <c r="AB2721" s="164" t="s">
        <v>187</v>
      </c>
      <c r="AC2721" s="164" t="s">
        <v>187</v>
      </c>
      <c r="AD2721" s="165">
        <v>1</v>
      </c>
      <c r="AE2721" s="164" t="s">
        <v>187</v>
      </c>
      <c r="AF2721" s="165">
        <v>34.359769999999997</v>
      </c>
      <c r="AG2721" s="166">
        <v>73.566249999999997</v>
      </c>
      <c r="AO2721" s="121"/>
      <c r="AT2721" s="111"/>
      <c r="AX2721" s="121"/>
    </row>
    <row r="2722" spans="1:50" s="110" customFormat="1" ht="20" customHeight="1">
      <c r="A2722" s="125" t="s">
        <v>231</v>
      </c>
      <c r="B2722" s="126" t="s">
        <v>66</v>
      </c>
      <c r="C2722" s="127">
        <v>21804</v>
      </c>
      <c r="D2722" s="167"/>
      <c r="E2722" s="164" t="s">
        <v>1275</v>
      </c>
      <c r="F2722" s="164" t="s">
        <v>1275</v>
      </c>
      <c r="G2722" s="165">
        <v>32000</v>
      </c>
      <c r="H2722" s="165">
        <v>1</v>
      </c>
      <c r="I2722" s="164" t="s">
        <v>187</v>
      </c>
      <c r="J2722" s="164" t="s">
        <v>222</v>
      </c>
      <c r="K2722" s="164" t="s">
        <v>223</v>
      </c>
      <c r="L2722" s="165">
        <v>4</v>
      </c>
      <c r="M2722" s="165">
        <v>6</v>
      </c>
      <c r="N2722" s="164" t="s">
        <v>189</v>
      </c>
      <c r="O2722" s="165">
        <v>0</v>
      </c>
      <c r="P2722" s="165">
        <v>0</v>
      </c>
      <c r="Q2722" s="165">
        <v>21</v>
      </c>
      <c r="R2722" s="164" t="s">
        <v>200</v>
      </c>
      <c r="S2722" s="164" t="s">
        <v>201</v>
      </c>
      <c r="T2722" s="165">
        <v>464</v>
      </c>
      <c r="U2722" s="164" t="s">
        <v>200</v>
      </c>
      <c r="V2722" s="164" t="s">
        <v>1226</v>
      </c>
      <c r="W2722" s="165">
        <v>2</v>
      </c>
      <c r="X2722" s="165">
        <v>4</v>
      </c>
      <c r="Y2722" s="164" t="s">
        <v>203</v>
      </c>
      <c r="Z2722" s="164" t="s">
        <v>195</v>
      </c>
      <c r="AA2722" s="164" t="s">
        <v>196</v>
      </c>
      <c r="AB2722" s="164" t="s">
        <v>187</v>
      </c>
      <c r="AC2722" s="164" t="s">
        <v>187</v>
      </c>
      <c r="AD2722" s="165">
        <v>1</v>
      </c>
      <c r="AE2722" s="164" t="s">
        <v>187</v>
      </c>
      <c r="AF2722" s="165">
        <v>31.351690000000001</v>
      </c>
      <c r="AG2722" s="166">
        <v>73.241309999999999</v>
      </c>
      <c r="AO2722" s="121"/>
      <c r="AT2722" s="111"/>
      <c r="AX2722" s="121"/>
    </row>
    <row r="2723" spans="1:50" s="110" customFormat="1" ht="20" customHeight="1">
      <c r="A2723" s="125" t="s">
        <v>231</v>
      </c>
      <c r="B2723" s="126" t="s">
        <v>66</v>
      </c>
      <c r="C2723" s="127">
        <v>21802</v>
      </c>
      <c r="D2723" s="167"/>
      <c r="E2723" s="164" t="s">
        <v>1271</v>
      </c>
      <c r="F2723" s="164" t="s">
        <v>1271</v>
      </c>
      <c r="G2723" s="165">
        <v>31000</v>
      </c>
      <c r="H2723" s="165">
        <v>1</v>
      </c>
      <c r="I2723" s="164" t="s">
        <v>187</v>
      </c>
      <c r="J2723" s="164" t="s">
        <v>222</v>
      </c>
      <c r="K2723" s="164" t="s">
        <v>223</v>
      </c>
      <c r="L2723" s="165">
        <v>4</v>
      </c>
      <c r="M2723" s="165">
        <v>6</v>
      </c>
      <c r="N2723" s="164" t="s">
        <v>189</v>
      </c>
      <c r="O2723" s="165">
        <v>0</v>
      </c>
      <c r="P2723" s="165">
        <v>0</v>
      </c>
      <c r="Q2723" s="165">
        <v>21</v>
      </c>
      <c r="R2723" s="164" t="s">
        <v>200</v>
      </c>
      <c r="S2723" s="164" t="s">
        <v>201</v>
      </c>
      <c r="T2723" s="165">
        <v>464</v>
      </c>
      <c r="U2723" s="164" t="s">
        <v>200</v>
      </c>
      <c r="V2723" s="164" t="s">
        <v>1226</v>
      </c>
      <c r="W2723" s="165">
        <v>1</v>
      </c>
      <c r="X2723" s="165">
        <v>4</v>
      </c>
      <c r="Y2723" s="164" t="s">
        <v>203</v>
      </c>
      <c r="Z2723" s="164" t="s">
        <v>195</v>
      </c>
      <c r="AA2723" s="164" t="s">
        <v>196</v>
      </c>
      <c r="AB2723" s="164" t="s">
        <v>187</v>
      </c>
      <c r="AC2723" s="164" t="s">
        <v>187</v>
      </c>
      <c r="AD2723" s="165">
        <v>1</v>
      </c>
      <c r="AE2723" s="164" t="s">
        <v>187</v>
      </c>
      <c r="AF2723" s="165">
        <v>30.074590000000001</v>
      </c>
      <c r="AG2723" s="166">
        <v>71.452079999999995</v>
      </c>
      <c r="AO2723" s="121"/>
      <c r="AT2723" s="111"/>
      <c r="AX2723" s="121"/>
    </row>
    <row r="2724" spans="1:50" s="110" customFormat="1" ht="20" customHeight="1">
      <c r="A2724" s="125" t="s">
        <v>231</v>
      </c>
      <c r="B2724" s="126" t="s">
        <v>66</v>
      </c>
      <c r="C2724" s="127">
        <v>20241</v>
      </c>
      <c r="D2724" s="163">
        <v>115985</v>
      </c>
      <c r="E2724" s="164" t="s">
        <v>1273</v>
      </c>
      <c r="F2724" s="164" t="s">
        <v>1273</v>
      </c>
      <c r="G2724" s="165">
        <v>31000</v>
      </c>
      <c r="H2724" s="165">
        <v>1</v>
      </c>
      <c r="I2724" s="164" t="s">
        <v>187</v>
      </c>
      <c r="J2724" s="164" t="s">
        <v>219</v>
      </c>
      <c r="K2724" s="164" t="s">
        <v>220</v>
      </c>
      <c r="L2724" s="165">
        <v>5</v>
      </c>
      <c r="M2724" s="165">
        <v>6</v>
      </c>
      <c r="N2724" s="164" t="s">
        <v>189</v>
      </c>
      <c r="O2724" s="165">
        <v>0</v>
      </c>
      <c r="P2724" s="165">
        <v>0</v>
      </c>
      <c r="Q2724" s="165">
        <v>21</v>
      </c>
      <c r="R2724" s="164" t="s">
        <v>200</v>
      </c>
      <c r="S2724" s="164" t="s">
        <v>201</v>
      </c>
      <c r="T2724" s="165">
        <v>464</v>
      </c>
      <c r="U2724" s="164" t="s">
        <v>200</v>
      </c>
      <c r="V2724" s="164" t="s">
        <v>1226</v>
      </c>
      <c r="W2724" s="165">
        <v>2</v>
      </c>
      <c r="X2724" s="165">
        <v>4</v>
      </c>
      <c r="Y2724" s="164" t="s">
        <v>203</v>
      </c>
      <c r="Z2724" s="164" t="s">
        <v>195</v>
      </c>
      <c r="AA2724" s="164" t="s">
        <v>196</v>
      </c>
      <c r="AB2724" s="164" t="s">
        <v>187</v>
      </c>
      <c r="AC2724" s="164" t="s">
        <v>187</v>
      </c>
      <c r="AD2724" s="165">
        <v>1</v>
      </c>
      <c r="AE2724" s="164" t="s">
        <v>187</v>
      </c>
      <c r="AF2724" s="165">
        <v>31.352451455288101</v>
      </c>
      <c r="AG2724" s="166">
        <v>73.244383234132002</v>
      </c>
      <c r="AO2724" s="121"/>
      <c r="AT2724" s="111"/>
      <c r="AX2724" s="121"/>
    </row>
    <row r="2725" spans="1:50" s="110" customFormat="1" ht="20" customHeight="1">
      <c r="A2725" s="125" t="s">
        <v>231</v>
      </c>
      <c r="B2725" s="126" t="s">
        <v>66</v>
      </c>
      <c r="C2725" s="127">
        <v>21806</v>
      </c>
      <c r="D2725" s="167"/>
      <c r="E2725" s="164" t="s">
        <v>1279</v>
      </c>
      <c r="F2725" s="164" t="s">
        <v>1279</v>
      </c>
      <c r="G2725" s="165">
        <v>30000</v>
      </c>
      <c r="H2725" s="165">
        <v>1</v>
      </c>
      <c r="I2725" s="164" t="s">
        <v>187</v>
      </c>
      <c r="J2725" s="164" t="s">
        <v>222</v>
      </c>
      <c r="K2725" s="164" t="s">
        <v>223</v>
      </c>
      <c r="L2725" s="165">
        <v>4</v>
      </c>
      <c r="M2725" s="165">
        <v>6</v>
      </c>
      <c r="N2725" s="164" t="s">
        <v>189</v>
      </c>
      <c r="O2725" s="165">
        <v>0</v>
      </c>
      <c r="P2725" s="165">
        <v>0</v>
      </c>
      <c r="Q2725" s="165">
        <v>21</v>
      </c>
      <c r="R2725" s="164" t="s">
        <v>200</v>
      </c>
      <c r="S2725" s="164" t="s">
        <v>201</v>
      </c>
      <c r="T2725" s="165">
        <v>464</v>
      </c>
      <c r="U2725" s="164" t="s">
        <v>200</v>
      </c>
      <c r="V2725" s="164" t="s">
        <v>1226</v>
      </c>
      <c r="W2725" s="165">
        <v>2</v>
      </c>
      <c r="X2725" s="165">
        <v>4</v>
      </c>
      <c r="Y2725" s="164" t="s">
        <v>203</v>
      </c>
      <c r="Z2725" s="164" t="s">
        <v>195</v>
      </c>
      <c r="AA2725" s="164" t="s">
        <v>196</v>
      </c>
      <c r="AB2725" s="164" t="s">
        <v>187</v>
      </c>
      <c r="AC2725" s="164" t="s">
        <v>187</v>
      </c>
      <c r="AD2725" s="165">
        <v>1</v>
      </c>
      <c r="AE2725" s="164" t="s">
        <v>187</v>
      </c>
      <c r="AF2725" s="165">
        <v>31.372440000000001</v>
      </c>
      <c r="AG2725" s="166">
        <v>74.373689999999996</v>
      </c>
      <c r="AO2725" s="121"/>
      <c r="AT2725" s="111"/>
      <c r="AX2725" s="121"/>
    </row>
    <row r="2726" spans="1:50" s="110" customFormat="1" ht="20" customHeight="1">
      <c r="A2726" s="125" t="s">
        <v>231</v>
      </c>
      <c r="B2726" s="126" t="s">
        <v>66</v>
      </c>
      <c r="C2726" s="127">
        <v>21786</v>
      </c>
      <c r="D2726" s="167"/>
      <c r="E2726" s="164" t="s">
        <v>1251</v>
      </c>
      <c r="F2726" s="164" t="s">
        <v>1251</v>
      </c>
      <c r="G2726" s="165">
        <v>29000</v>
      </c>
      <c r="H2726" s="165">
        <v>1</v>
      </c>
      <c r="I2726" s="164" t="s">
        <v>187</v>
      </c>
      <c r="J2726" s="164" t="s">
        <v>222</v>
      </c>
      <c r="K2726" s="164" t="s">
        <v>223</v>
      </c>
      <c r="L2726" s="165">
        <v>4</v>
      </c>
      <c r="M2726" s="165">
        <v>6</v>
      </c>
      <c r="N2726" s="164" t="s">
        <v>189</v>
      </c>
      <c r="O2726" s="165">
        <v>0</v>
      </c>
      <c r="P2726" s="165">
        <v>0</v>
      </c>
      <c r="Q2726" s="165">
        <v>21</v>
      </c>
      <c r="R2726" s="164" t="s">
        <v>200</v>
      </c>
      <c r="S2726" s="164" t="s">
        <v>201</v>
      </c>
      <c r="T2726" s="165">
        <v>464</v>
      </c>
      <c r="U2726" s="164" t="s">
        <v>200</v>
      </c>
      <c r="V2726" s="164" t="s">
        <v>1226</v>
      </c>
      <c r="W2726" s="165">
        <v>1</v>
      </c>
      <c r="X2726" s="165">
        <v>4</v>
      </c>
      <c r="Y2726" s="164" t="s">
        <v>203</v>
      </c>
      <c r="Z2726" s="164" t="s">
        <v>195</v>
      </c>
      <c r="AA2726" s="164" t="s">
        <v>196</v>
      </c>
      <c r="AB2726" s="164" t="s">
        <v>187</v>
      </c>
      <c r="AC2726" s="164" t="s">
        <v>187</v>
      </c>
      <c r="AD2726" s="165">
        <v>1</v>
      </c>
      <c r="AE2726" s="164" t="s">
        <v>187</v>
      </c>
      <c r="AF2726" s="165">
        <v>32.844200000000001</v>
      </c>
      <c r="AG2726" s="166">
        <v>73.338279999999997</v>
      </c>
      <c r="AO2726" s="121"/>
      <c r="AT2726" s="111"/>
      <c r="AX2726" s="121"/>
    </row>
    <row r="2727" spans="1:50" s="110" customFormat="1" ht="20" customHeight="1">
      <c r="A2727" s="125" t="s">
        <v>231</v>
      </c>
      <c r="B2727" s="126" t="s">
        <v>66</v>
      </c>
      <c r="C2727" s="127">
        <v>21789</v>
      </c>
      <c r="D2727" s="167"/>
      <c r="E2727" s="164" t="s">
        <v>1254</v>
      </c>
      <c r="F2727" s="164" t="s">
        <v>1254</v>
      </c>
      <c r="G2727" s="165">
        <v>28000</v>
      </c>
      <c r="H2727" s="165">
        <v>1</v>
      </c>
      <c r="I2727" s="164" t="s">
        <v>187</v>
      </c>
      <c r="J2727" s="164" t="s">
        <v>222</v>
      </c>
      <c r="K2727" s="164" t="s">
        <v>223</v>
      </c>
      <c r="L2727" s="165">
        <v>4</v>
      </c>
      <c r="M2727" s="165">
        <v>6</v>
      </c>
      <c r="N2727" s="164" t="s">
        <v>189</v>
      </c>
      <c r="O2727" s="165">
        <v>0</v>
      </c>
      <c r="P2727" s="165">
        <v>0</v>
      </c>
      <c r="Q2727" s="165">
        <v>21</v>
      </c>
      <c r="R2727" s="164" t="s">
        <v>200</v>
      </c>
      <c r="S2727" s="164" t="s">
        <v>201</v>
      </c>
      <c r="T2727" s="165">
        <v>464</v>
      </c>
      <c r="U2727" s="164" t="s">
        <v>200</v>
      </c>
      <c r="V2727" s="164" t="s">
        <v>1226</v>
      </c>
      <c r="W2727" s="165">
        <v>1</v>
      </c>
      <c r="X2727" s="165">
        <v>4</v>
      </c>
      <c r="Y2727" s="164" t="s">
        <v>203</v>
      </c>
      <c r="Z2727" s="164" t="s">
        <v>195</v>
      </c>
      <c r="AA2727" s="164" t="s">
        <v>196</v>
      </c>
      <c r="AB2727" s="164" t="s">
        <v>187</v>
      </c>
      <c r="AC2727" s="164" t="s">
        <v>187</v>
      </c>
      <c r="AD2727" s="165">
        <v>1</v>
      </c>
      <c r="AE2727" s="164" t="s">
        <v>187</v>
      </c>
      <c r="AF2727" s="165">
        <v>33.426569999999998</v>
      </c>
      <c r="AG2727" s="166">
        <v>73.221559999999997</v>
      </c>
      <c r="AO2727" s="121"/>
      <c r="AT2727" s="111"/>
      <c r="AX2727" s="121"/>
    </row>
    <row r="2728" spans="1:50" s="110" customFormat="1" ht="20" customHeight="1">
      <c r="A2728" s="125" t="s">
        <v>231</v>
      </c>
      <c r="B2728" s="126" t="s">
        <v>66</v>
      </c>
      <c r="C2728" s="127">
        <v>21798</v>
      </c>
      <c r="D2728" s="167"/>
      <c r="E2728" s="164" t="s">
        <v>1268</v>
      </c>
      <c r="F2728" s="164" t="s">
        <v>1268</v>
      </c>
      <c r="G2728" s="165">
        <v>28000</v>
      </c>
      <c r="H2728" s="165">
        <v>1</v>
      </c>
      <c r="I2728" s="164" t="s">
        <v>187</v>
      </c>
      <c r="J2728" s="164" t="s">
        <v>222</v>
      </c>
      <c r="K2728" s="164" t="s">
        <v>223</v>
      </c>
      <c r="L2728" s="165">
        <v>4</v>
      </c>
      <c r="M2728" s="165">
        <v>6</v>
      </c>
      <c r="N2728" s="164" t="s">
        <v>189</v>
      </c>
      <c r="O2728" s="165">
        <v>0</v>
      </c>
      <c r="P2728" s="165">
        <v>0</v>
      </c>
      <c r="Q2728" s="165">
        <v>21</v>
      </c>
      <c r="R2728" s="164" t="s">
        <v>200</v>
      </c>
      <c r="S2728" s="164" t="s">
        <v>201</v>
      </c>
      <c r="T2728" s="165">
        <v>464</v>
      </c>
      <c r="U2728" s="164" t="s">
        <v>200</v>
      </c>
      <c r="V2728" s="164" t="s">
        <v>1226</v>
      </c>
      <c r="W2728" s="165">
        <v>1</v>
      </c>
      <c r="X2728" s="165">
        <v>4</v>
      </c>
      <c r="Y2728" s="164" t="s">
        <v>203</v>
      </c>
      <c r="Z2728" s="164" t="s">
        <v>195</v>
      </c>
      <c r="AA2728" s="164" t="s">
        <v>196</v>
      </c>
      <c r="AB2728" s="164" t="s">
        <v>187</v>
      </c>
      <c r="AC2728" s="164" t="s">
        <v>187</v>
      </c>
      <c r="AD2728" s="165">
        <v>1</v>
      </c>
      <c r="AE2728" s="164" t="s">
        <v>187</v>
      </c>
      <c r="AF2728" s="165">
        <v>32.185169999999999</v>
      </c>
      <c r="AG2728" s="166">
        <v>72.814570000000003</v>
      </c>
      <c r="AO2728" s="121"/>
      <c r="AT2728" s="111"/>
      <c r="AX2728" s="121"/>
    </row>
    <row r="2729" spans="1:50" s="110" customFormat="1" ht="20" customHeight="1">
      <c r="A2729" s="125" t="s">
        <v>231</v>
      </c>
      <c r="B2729" s="126" t="s">
        <v>66</v>
      </c>
      <c r="C2729" s="127">
        <v>20409</v>
      </c>
      <c r="D2729" s="163">
        <v>116193</v>
      </c>
      <c r="E2729" s="164" t="s">
        <v>1255</v>
      </c>
      <c r="F2729" s="164" t="s">
        <v>1255</v>
      </c>
      <c r="G2729" s="165">
        <v>27000</v>
      </c>
      <c r="H2729" s="165">
        <v>1</v>
      </c>
      <c r="I2729" s="164" t="s">
        <v>187</v>
      </c>
      <c r="J2729" s="164" t="s">
        <v>219</v>
      </c>
      <c r="K2729" s="164" t="s">
        <v>220</v>
      </c>
      <c r="L2729" s="165">
        <v>5</v>
      </c>
      <c r="M2729" s="165">
        <v>6</v>
      </c>
      <c r="N2729" s="164" t="s">
        <v>189</v>
      </c>
      <c r="O2729" s="165">
        <v>0</v>
      </c>
      <c r="P2729" s="165">
        <v>0</v>
      </c>
      <c r="Q2729" s="165">
        <v>21</v>
      </c>
      <c r="R2729" s="164" t="s">
        <v>200</v>
      </c>
      <c r="S2729" s="164" t="s">
        <v>201</v>
      </c>
      <c r="T2729" s="165">
        <v>464</v>
      </c>
      <c r="U2729" s="164" t="s">
        <v>200</v>
      </c>
      <c r="V2729" s="164" t="s">
        <v>1226</v>
      </c>
      <c r="W2729" s="165">
        <v>2</v>
      </c>
      <c r="X2729" s="165">
        <v>4</v>
      </c>
      <c r="Y2729" s="164" t="s">
        <v>203</v>
      </c>
      <c r="Z2729" s="164" t="s">
        <v>195</v>
      </c>
      <c r="AA2729" s="164" t="s">
        <v>196</v>
      </c>
      <c r="AB2729" s="164" t="s">
        <v>187</v>
      </c>
      <c r="AC2729" s="164" t="s">
        <v>187</v>
      </c>
      <c r="AD2729" s="165">
        <v>1</v>
      </c>
      <c r="AE2729" s="164" t="s">
        <v>187</v>
      </c>
      <c r="AF2729" s="165">
        <v>25.4935887798278</v>
      </c>
      <c r="AG2729" s="166">
        <v>68.507731978076393</v>
      </c>
      <c r="AO2729" s="121"/>
      <c r="AT2729" s="111"/>
      <c r="AX2729" s="121"/>
    </row>
    <row r="2730" spans="1:50" s="110" customFormat="1" ht="20" customHeight="1">
      <c r="A2730" s="125" t="s">
        <v>231</v>
      </c>
      <c r="B2730" s="126" t="s">
        <v>66</v>
      </c>
      <c r="C2730" s="127">
        <v>21795</v>
      </c>
      <c r="D2730" s="167"/>
      <c r="E2730" s="164" t="s">
        <v>1262</v>
      </c>
      <c r="F2730" s="164" t="s">
        <v>1262</v>
      </c>
      <c r="G2730" s="165">
        <v>27000</v>
      </c>
      <c r="H2730" s="165">
        <v>1</v>
      </c>
      <c r="I2730" s="164" t="s">
        <v>187</v>
      </c>
      <c r="J2730" s="164" t="s">
        <v>216</v>
      </c>
      <c r="K2730" s="164" t="s">
        <v>217</v>
      </c>
      <c r="L2730" s="165">
        <v>5</v>
      </c>
      <c r="M2730" s="165">
        <v>6</v>
      </c>
      <c r="N2730" s="164" t="s">
        <v>189</v>
      </c>
      <c r="O2730" s="165">
        <v>0</v>
      </c>
      <c r="P2730" s="165">
        <v>0</v>
      </c>
      <c r="Q2730" s="165">
        <v>21</v>
      </c>
      <c r="R2730" s="164" t="s">
        <v>200</v>
      </c>
      <c r="S2730" s="164" t="s">
        <v>201</v>
      </c>
      <c r="T2730" s="165">
        <v>464</v>
      </c>
      <c r="U2730" s="164" t="s">
        <v>200</v>
      </c>
      <c r="V2730" s="164" t="s">
        <v>1226</v>
      </c>
      <c r="W2730" s="165">
        <v>2</v>
      </c>
      <c r="X2730" s="165">
        <v>4</v>
      </c>
      <c r="Y2730" s="164" t="s">
        <v>203</v>
      </c>
      <c r="Z2730" s="164" t="s">
        <v>195</v>
      </c>
      <c r="AA2730" s="164" t="s">
        <v>196</v>
      </c>
      <c r="AB2730" s="164" t="s">
        <v>187</v>
      </c>
      <c r="AC2730" s="164" t="s">
        <v>187</v>
      </c>
      <c r="AD2730" s="165">
        <v>1</v>
      </c>
      <c r="AE2730" s="164" t="s">
        <v>187</v>
      </c>
      <c r="AF2730" s="165">
        <v>33.795610000000003</v>
      </c>
      <c r="AG2730" s="166">
        <v>73.810230000000004</v>
      </c>
      <c r="AO2730" s="121"/>
      <c r="AT2730" s="111"/>
      <c r="AX2730" s="121"/>
    </row>
    <row r="2731" spans="1:50" s="110" customFormat="1" ht="20" customHeight="1">
      <c r="A2731" s="125" t="s">
        <v>231</v>
      </c>
      <c r="B2731" s="126" t="s">
        <v>66</v>
      </c>
      <c r="C2731" s="127">
        <v>21788</v>
      </c>
      <c r="D2731" s="167"/>
      <c r="E2731" s="164" t="s">
        <v>1253</v>
      </c>
      <c r="F2731" s="164" t="s">
        <v>1253</v>
      </c>
      <c r="G2731" s="165">
        <v>26000</v>
      </c>
      <c r="H2731" s="165">
        <v>1</v>
      </c>
      <c r="I2731" s="164" t="s">
        <v>187</v>
      </c>
      <c r="J2731" s="164" t="s">
        <v>222</v>
      </c>
      <c r="K2731" s="164" t="s">
        <v>223</v>
      </c>
      <c r="L2731" s="165">
        <v>4</v>
      </c>
      <c r="M2731" s="165">
        <v>6</v>
      </c>
      <c r="N2731" s="164" t="s">
        <v>189</v>
      </c>
      <c r="O2731" s="165">
        <v>0</v>
      </c>
      <c r="P2731" s="165">
        <v>0</v>
      </c>
      <c r="Q2731" s="165">
        <v>21</v>
      </c>
      <c r="R2731" s="164" t="s">
        <v>200</v>
      </c>
      <c r="S2731" s="164" t="s">
        <v>201</v>
      </c>
      <c r="T2731" s="165">
        <v>464</v>
      </c>
      <c r="U2731" s="164" t="s">
        <v>200</v>
      </c>
      <c r="V2731" s="164" t="s">
        <v>1226</v>
      </c>
      <c r="W2731" s="165">
        <v>1</v>
      </c>
      <c r="X2731" s="165">
        <v>4</v>
      </c>
      <c r="Y2731" s="164" t="s">
        <v>203</v>
      </c>
      <c r="Z2731" s="164" t="s">
        <v>195</v>
      </c>
      <c r="AA2731" s="164" t="s">
        <v>196</v>
      </c>
      <c r="AB2731" s="164" t="s">
        <v>187</v>
      </c>
      <c r="AC2731" s="164" t="s">
        <v>187</v>
      </c>
      <c r="AD2731" s="165">
        <v>1</v>
      </c>
      <c r="AE2731" s="164" t="s">
        <v>187</v>
      </c>
      <c r="AF2731" s="165">
        <v>31.351690000000001</v>
      </c>
      <c r="AG2731" s="166">
        <v>73.241309999999999</v>
      </c>
      <c r="AO2731" s="121"/>
      <c r="AT2731" s="111"/>
      <c r="AX2731" s="121"/>
    </row>
    <row r="2732" spans="1:50" s="110" customFormat="1" ht="20" customHeight="1">
      <c r="A2732" s="125" t="s">
        <v>231</v>
      </c>
      <c r="B2732" s="126" t="s">
        <v>66</v>
      </c>
      <c r="C2732" s="127">
        <v>21796</v>
      </c>
      <c r="D2732" s="167"/>
      <c r="E2732" s="164" t="s">
        <v>1263</v>
      </c>
      <c r="F2732" s="164" t="s">
        <v>1263</v>
      </c>
      <c r="G2732" s="165">
        <v>24000</v>
      </c>
      <c r="H2732" s="165">
        <v>1</v>
      </c>
      <c r="I2732" s="164" t="s">
        <v>187</v>
      </c>
      <c r="J2732" s="164" t="s">
        <v>222</v>
      </c>
      <c r="K2732" s="164" t="s">
        <v>223</v>
      </c>
      <c r="L2732" s="165">
        <v>4</v>
      </c>
      <c r="M2732" s="165">
        <v>6</v>
      </c>
      <c r="N2732" s="164" t="s">
        <v>189</v>
      </c>
      <c r="O2732" s="165">
        <v>0</v>
      </c>
      <c r="P2732" s="165">
        <v>0</v>
      </c>
      <c r="Q2732" s="165">
        <v>21</v>
      </c>
      <c r="R2732" s="164" t="s">
        <v>200</v>
      </c>
      <c r="S2732" s="164" t="s">
        <v>201</v>
      </c>
      <c r="T2732" s="165">
        <v>464</v>
      </c>
      <c r="U2732" s="164" t="s">
        <v>200</v>
      </c>
      <c r="V2732" s="164" t="s">
        <v>1226</v>
      </c>
      <c r="W2732" s="165">
        <v>2</v>
      </c>
      <c r="X2732" s="165">
        <v>4</v>
      </c>
      <c r="Y2732" s="164" t="s">
        <v>203</v>
      </c>
      <c r="Z2732" s="164" t="s">
        <v>195</v>
      </c>
      <c r="AA2732" s="164" t="s">
        <v>196</v>
      </c>
      <c r="AB2732" s="164" t="s">
        <v>187</v>
      </c>
      <c r="AC2732" s="164" t="s">
        <v>187</v>
      </c>
      <c r="AD2732" s="165">
        <v>1</v>
      </c>
      <c r="AE2732" s="164" t="s">
        <v>187</v>
      </c>
      <c r="AF2732" s="165">
        <v>33.467120000000001</v>
      </c>
      <c r="AG2732" s="166">
        <v>73.893020000000007</v>
      </c>
      <c r="AO2732" s="121"/>
      <c r="AT2732" s="111"/>
      <c r="AX2732" s="121"/>
    </row>
    <row r="2733" spans="1:50" s="110" customFormat="1" ht="20" customHeight="1">
      <c r="A2733" s="125" t="s">
        <v>231</v>
      </c>
      <c r="B2733" s="126" t="s">
        <v>66</v>
      </c>
      <c r="C2733" s="127">
        <v>20231</v>
      </c>
      <c r="D2733" s="163">
        <v>115975</v>
      </c>
      <c r="E2733" s="164" t="s">
        <v>1230</v>
      </c>
      <c r="F2733" s="164" t="s">
        <v>1230</v>
      </c>
      <c r="G2733" s="165">
        <v>22000</v>
      </c>
      <c r="H2733" s="165">
        <v>1</v>
      </c>
      <c r="I2733" s="164" t="s">
        <v>187</v>
      </c>
      <c r="J2733" s="164" t="s">
        <v>219</v>
      </c>
      <c r="K2733" s="164" t="s">
        <v>220</v>
      </c>
      <c r="L2733" s="165">
        <v>5</v>
      </c>
      <c r="M2733" s="165">
        <v>6</v>
      </c>
      <c r="N2733" s="164" t="s">
        <v>189</v>
      </c>
      <c r="O2733" s="165">
        <v>0</v>
      </c>
      <c r="P2733" s="165">
        <v>0</v>
      </c>
      <c r="Q2733" s="165">
        <v>21</v>
      </c>
      <c r="R2733" s="164" t="s">
        <v>200</v>
      </c>
      <c r="S2733" s="164" t="s">
        <v>201</v>
      </c>
      <c r="T2733" s="165">
        <v>464</v>
      </c>
      <c r="U2733" s="164" t="s">
        <v>200</v>
      </c>
      <c r="V2733" s="164" t="s">
        <v>1226</v>
      </c>
      <c r="W2733" s="165">
        <v>3</v>
      </c>
      <c r="X2733" s="165">
        <v>4</v>
      </c>
      <c r="Y2733" s="164" t="s">
        <v>203</v>
      </c>
      <c r="Z2733" s="164" t="s">
        <v>195</v>
      </c>
      <c r="AA2733" s="164" t="s">
        <v>196</v>
      </c>
      <c r="AB2733" s="164" t="s">
        <v>187</v>
      </c>
      <c r="AC2733" s="164" t="s">
        <v>187</v>
      </c>
      <c r="AD2733" s="165">
        <v>1</v>
      </c>
      <c r="AE2733" s="164" t="s">
        <v>187</v>
      </c>
      <c r="AF2733" s="165">
        <v>25.492724061340699</v>
      </c>
      <c r="AG2733" s="166">
        <v>68.511549139008906</v>
      </c>
      <c r="AO2733" s="121"/>
      <c r="AT2733" s="111"/>
      <c r="AX2733" s="121"/>
    </row>
    <row r="2734" spans="1:50" s="110" customFormat="1" ht="20" customHeight="1">
      <c r="A2734" s="125" t="s">
        <v>231</v>
      </c>
      <c r="B2734" s="126" t="s">
        <v>66</v>
      </c>
      <c r="C2734" s="127">
        <v>21785</v>
      </c>
      <c r="D2734" s="167"/>
      <c r="E2734" s="164" t="s">
        <v>1249</v>
      </c>
      <c r="F2734" s="164" t="s">
        <v>1249</v>
      </c>
      <c r="G2734" s="165">
        <v>22000</v>
      </c>
      <c r="H2734" s="165">
        <v>1</v>
      </c>
      <c r="I2734" s="164" t="s">
        <v>187</v>
      </c>
      <c r="J2734" s="164" t="s">
        <v>222</v>
      </c>
      <c r="K2734" s="164" t="s">
        <v>223</v>
      </c>
      <c r="L2734" s="165">
        <v>4</v>
      </c>
      <c r="M2734" s="165">
        <v>6</v>
      </c>
      <c r="N2734" s="164" t="s">
        <v>189</v>
      </c>
      <c r="O2734" s="165">
        <v>0</v>
      </c>
      <c r="P2734" s="165">
        <v>0</v>
      </c>
      <c r="Q2734" s="165">
        <v>21</v>
      </c>
      <c r="R2734" s="164" t="s">
        <v>200</v>
      </c>
      <c r="S2734" s="164" t="s">
        <v>201</v>
      </c>
      <c r="T2734" s="165">
        <v>464</v>
      </c>
      <c r="U2734" s="164" t="s">
        <v>200</v>
      </c>
      <c r="V2734" s="164" t="s">
        <v>1226</v>
      </c>
      <c r="W2734" s="165">
        <v>1</v>
      </c>
      <c r="X2734" s="165">
        <v>4</v>
      </c>
      <c r="Y2734" s="164" t="s">
        <v>203</v>
      </c>
      <c r="Z2734" s="164" t="s">
        <v>195</v>
      </c>
      <c r="AA2734" s="164" t="s">
        <v>196</v>
      </c>
      <c r="AB2734" s="164" t="s">
        <v>187</v>
      </c>
      <c r="AC2734" s="164" t="s">
        <v>187</v>
      </c>
      <c r="AD2734" s="165">
        <v>1</v>
      </c>
      <c r="AE2734" s="164" t="s">
        <v>187</v>
      </c>
      <c r="AF2734" s="165">
        <v>33.426569999999998</v>
      </c>
      <c r="AG2734" s="166">
        <v>73.221559999999997</v>
      </c>
      <c r="AO2734" s="121"/>
      <c r="AT2734" s="111"/>
      <c r="AX2734" s="121"/>
    </row>
    <row r="2735" spans="1:50" s="110" customFormat="1" ht="20" customHeight="1">
      <c r="A2735" s="125" t="s">
        <v>231</v>
      </c>
      <c r="B2735" s="126" t="s">
        <v>66</v>
      </c>
      <c r="C2735" s="127">
        <v>21797</v>
      </c>
      <c r="D2735" s="167"/>
      <c r="E2735" s="164" t="s">
        <v>1267</v>
      </c>
      <c r="F2735" s="164" t="s">
        <v>1267</v>
      </c>
      <c r="G2735" s="165">
        <v>22000</v>
      </c>
      <c r="H2735" s="165">
        <v>1</v>
      </c>
      <c r="I2735" s="164" t="s">
        <v>187</v>
      </c>
      <c r="J2735" s="164" t="s">
        <v>222</v>
      </c>
      <c r="K2735" s="164" t="s">
        <v>223</v>
      </c>
      <c r="L2735" s="165">
        <v>4</v>
      </c>
      <c r="M2735" s="165">
        <v>6</v>
      </c>
      <c r="N2735" s="164" t="s">
        <v>189</v>
      </c>
      <c r="O2735" s="165">
        <v>0</v>
      </c>
      <c r="P2735" s="165">
        <v>0</v>
      </c>
      <c r="Q2735" s="165">
        <v>21</v>
      </c>
      <c r="R2735" s="164" t="s">
        <v>200</v>
      </c>
      <c r="S2735" s="164" t="s">
        <v>201</v>
      </c>
      <c r="T2735" s="165">
        <v>464</v>
      </c>
      <c r="U2735" s="164" t="s">
        <v>200</v>
      </c>
      <c r="V2735" s="164" t="s">
        <v>1226</v>
      </c>
      <c r="W2735" s="165">
        <v>1</v>
      </c>
      <c r="X2735" s="165">
        <v>4</v>
      </c>
      <c r="Y2735" s="164" t="s">
        <v>203</v>
      </c>
      <c r="Z2735" s="164" t="s">
        <v>195</v>
      </c>
      <c r="AA2735" s="164" t="s">
        <v>196</v>
      </c>
      <c r="AB2735" s="164" t="s">
        <v>187</v>
      </c>
      <c r="AC2735" s="164" t="s">
        <v>187</v>
      </c>
      <c r="AD2735" s="165">
        <v>1</v>
      </c>
      <c r="AE2735" s="164" t="s">
        <v>187</v>
      </c>
      <c r="AF2735" s="165">
        <v>33.426569999999998</v>
      </c>
      <c r="AG2735" s="166">
        <v>73.221559999999997</v>
      </c>
      <c r="AO2735" s="121"/>
      <c r="AT2735" s="111"/>
      <c r="AX2735" s="121"/>
    </row>
    <row r="2736" spans="1:50" s="110" customFormat="1" ht="20" customHeight="1">
      <c r="A2736" s="125" t="s">
        <v>231</v>
      </c>
      <c r="B2736" s="126" t="s">
        <v>66</v>
      </c>
      <c r="C2736" s="127">
        <v>21791</v>
      </c>
      <c r="D2736" s="167"/>
      <c r="E2736" s="164" t="s">
        <v>1258</v>
      </c>
      <c r="F2736" s="164" t="s">
        <v>1258</v>
      </c>
      <c r="G2736" s="165">
        <v>20000</v>
      </c>
      <c r="H2736" s="165">
        <v>1</v>
      </c>
      <c r="I2736" s="164" t="s">
        <v>187</v>
      </c>
      <c r="J2736" s="164" t="s">
        <v>222</v>
      </c>
      <c r="K2736" s="164" t="s">
        <v>223</v>
      </c>
      <c r="L2736" s="165">
        <v>4</v>
      </c>
      <c r="M2736" s="165">
        <v>6</v>
      </c>
      <c r="N2736" s="164" t="s">
        <v>189</v>
      </c>
      <c r="O2736" s="165">
        <v>0</v>
      </c>
      <c r="P2736" s="165">
        <v>0</v>
      </c>
      <c r="Q2736" s="165">
        <v>21</v>
      </c>
      <c r="R2736" s="164" t="s">
        <v>200</v>
      </c>
      <c r="S2736" s="164" t="s">
        <v>201</v>
      </c>
      <c r="T2736" s="165">
        <v>464</v>
      </c>
      <c r="U2736" s="164" t="s">
        <v>200</v>
      </c>
      <c r="V2736" s="164" t="s">
        <v>1226</v>
      </c>
      <c r="W2736" s="165">
        <v>1</v>
      </c>
      <c r="X2736" s="165">
        <v>4</v>
      </c>
      <c r="Y2736" s="164" t="s">
        <v>203</v>
      </c>
      <c r="Z2736" s="164" t="s">
        <v>195</v>
      </c>
      <c r="AA2736" s="164" t="s">
        <v>196</v>
      </c>
      <c r="AB2736" s="164" t="s">
        <v>187</v>
      </c>
      <c r="AC2736" s="164" t="s">
        <v>187</v>
      </c>
      <c r="AD2736" s="165">
        <v>1</v>
      </c>
      <c r="AE2736" s="164" t="s">
        <v>187</v>
      </c>
      <c r="AF2736" s="165">
        <v>28.46237</v>
      </c>
      <c r="AG2736" s="166">
        <v>70.476389999999995</v>
      </c>
      <c r="AO2736" s="121"/>
      <c r="AT2736" s="111"/>
      <c r="AX2736" s="121"/>
    </row>
    <row r="2737" spans="1:50" s="110" customFormat="1" ht="20" customHeight="1">
      <c r="A2737" s="125" t="s">
        <v>231</v>
      </c>
      <c r="B2737" s="126" t="s">
        <v>66</v>
      </c>
      <c r="C2737" s="127">
        <v>21490</v>
      </c>
      <c r="D2737" s="163">
        <v>118308</v>
      </c>
      <c r="E2737" s="164" t="s">
        <v>1231</v>
      </c>
      <c r="F2737" s="164" t="s">
        <v>1231</v>
      </c>
      <c r="G2737" s="165">
        <v>11000</v>
      </c>
      <c r="H2737" s="165">
        <v>1</v>
      </c>
      <c r="I2737" s="164" t="s">
        <v>187</v>
      </c>
      <c r="J2737" s="164" t="s">
        <v>219</v>
      </c>
      <c r="K2737" s="164" t="s">
        <v>220</v>
      </c>
      <c r="L2737" s="165">
        <v>5</v>
      </c>
      <c r="M2737" s="165">
        <v>6</v>
      </c>
      <c r="N2737" s="164" t="s">
        <v>189</v>
      </c>
      <c r="O2737" s="165">
        <v>0</v>
      </c>
      <c r="P2737" s="165">
        <v>0</v>
      </c>
      <c r="Q2737" s="165">
        <v>21</v>
      </c>
      <c r="R2737" s="164" t="s">
        <v>200</v>
      </c>
      <c r="S2737" s="164" t="s">
        <v>201</v>
      </c>
      <c r="T2737" s="165">
        <v>464</v>
      </c>
      <c r="U2737" s="164" t="s">
        <v>200</v>
      </c>
      <c r="V2737" s="164" t="s">
        <v>1226</v>
      </c>
      <c r="W2737" s="165">
        <v>2</v>
      </c>
      <c r="X2737" s="165">
        <v>4</v>
      </c>
      <c r="Y2737" s="164" t="s">
        <v>203</v>
      </c>
      <c r="Z2737" s="164" t="s">
        <v>195</v>
      </c>
      <c r="AA2737" s="164" t="s">
        <v>196</v>
      </c>
      <c r="AB2737" s="164" t="s">
        <v>187</v>
      </c>
      <c r="AC2737" s="164" t="s">
        <v>187</v>
      </c>
      <c r="AD2737" s="165">
        <v>1</v>
      </c>
      <c r="AE2737" s="164" t="s">
        <v>187</v>
      </c>
      <c r="AF2737" s="165">
        <v>24.994509999999998</v>
      </c>
      <c r="AG2737" s="166">
        <v>66.935000000000002</v>
      </c>
      <c r="AO2737" s="121"/>
      <c r="AT2737" s="111"/>
      <c r="AX2737" s="121"/>
    </row>
    <row r="2738" spans="1:50" s="110" customFormat="1" ht="20" customHeight="1">
      <c r="A2738" s="125" t="s">
        <v>231</v>
      </c>
      <c r="B2738" s="126" t="s">
        <v>66</v>
      </c>
      <c r="C2738" s="127">
        <v>20233</v>
      </c>
      <c r="D2738" s="163">
        <v>115977</v>
      </c>
      <c r="E2738" s="164" t="s">
        <v>1233</v>
      </c>
      <c r="F2738" s="164" t="s">
        <v>1233</v>
      </c>
      <c r="G2738" s="165">
        <v>11000</v>
      </c>
      <c r="H2738" s="165">
        <v>1</v>
      </c>
      <c r="I2738" s="164" t="s">
        <v>187</v>
      </c>
      <c r="J2738" s="164" t="s">
        <v>219</v>
      </c>
      <c r="K2738" s="164" t="s">
        <v>220</v>
      </c>
      <c r="L2738" s="165">
        <v>5</v>
      </c>
      <c r="M2738" s="165">
        <v>6</v>
      </c>
      <c r="N2738" s="164" t="s">
        <v>189</v>
      </c>
      <c r="O2738" s="165">
        <v>0</v>
      </c>
      <c r="P2738" s="165">
        <v>0</v>
      </c>
      <c r="Q2738" s="165">
        <v>21</v>
      </c>
      <c r="R2738" s="164" t="s">
        <v>200</v>
      </c>
      <c r="S2738" s="164" t="s">
        <v>201</v>
      </c>
      <c r="T2738" s="165">
        <v>464</v>
      </c>
      <c r="U2738" s="164" t="s">
        <v>200</v>
      </c>
      <c r="V2738" s="164" t="s">
        <v>1226</v>
      </c>
      <c r="W2738" s="165">
        <v>2</v>
      </c>
      <c r="X2738" s="165">
        <v>4</v>
      </c>
      <c r="Y2738" s="164" t="s">
        <v>203</v>
      </c>
      <c r="Z2738" s="164" t="s">
        <v>195</v>
      </c>
      <c r="AA2738" s="164" t="s">
        <v>196</v>
      </c>
      <c r="AB2738" s="164" t="s">
        <v>187</v>
      </c>
      <c r="AC2738" s="164" t="s">
        <v>187</v>
      </c>
      <c r="AD2738" s="165">
        <v>1</v>
      </c>
      <c r="AE2738" s="164" t="s">
        <v>187</v>
      </c>
      <c r="AF2738" s="165">
        <v>25.498764349499901</v>
      </c>
      <c r="AG2738" s="166">
        <v>68.515831533313005</v>
      </c>
      <c r="AO2738" s="121"/>
      <c r="AT2738" s="111"/>
      <c r="AX2738" s="121"/>
    </row>
    <row r="2739" spans="1:50" s="110" customFormat="1" ht="20" customHeight="1">
      <c r="A2739" s="125" t="s">
        <v>231</v>
      </c>
      <c r="B2739" s="126" t="s">
        <v>66</v>
      </c>
      <c r="C2739" s="127">
        <v>21807</v>
      </c>
      <c r="D2739" s="167"/>
      <c r="E2739" s="164" t="s">
        <v>1280</v>
      </c>
      <c r="F2739" s="164" t="s">
        <v>1280</v>
      </c>
      <c r="G2739" s="165">
        <v>7300</v>
      </c>
      <c r="H2739" s="165">
        <v>1</v>
      </c>
      <c r="I2739" s="164" t="s">
        <v>187</v>
      </c>
      <c r="J2739" s="164" t="s">
        <v>216</v>
      </c>
      <c r="K2739" s="164" t="s">
        <v>217</v>
      </c>
      <c r="L2739" s="165">
        <v>5</v>
      </c>
      <c r="M2739" s="165">
        <v>6</v>
      </c>
      <c r="N2739" s="164" t="s">
        <v>189</v>
      </c>
      <c r="O2739" s="165">
        <v>0</v>
      </c>
      <c r="P2739" s="165">
        <v>0</v>
      </c>
      <c r="Q2739" s="165">
        <v>21</v>
      </c>
      <c r="R2739" s="164" t="s">
        <v>200</v>
      </c>
      <c r="S2739" s="164" t="s">
        <v>201</v>
      </c>
      <c r="T2739" s="165">
        <v>464</v>
      </c>
      <c r="U2739" s="164" t="s">
        <v>200</v>
      </c>
      <c r="V2739" s="164" t="s">
        <v>1226</v>
      </c>
      <c r="W2739" s="165">
        <v>2</v>
      </c>
      <c r="X2739" s="165">
        <v>4</v>
      </c>
      <c r="Y2739" s="164" t="s">
        <v>203</v>
      </c>
      <c r="Z2739" s="164" t="s">
        <v>195</v>
      </c>
      <c r="AA2739" s="164" t="s">
        <v>196</v>
      </c>
      <c r="AB2739" s="164" t="s">
        <v>187</v>
      </c>
      <c r="AC2739" s="164" t="s">
        <v>187</v>
      </c>
      <c r="AD2739" s="165">
        <v>1</v>
      </c>
      <c r="AE2739" s="164" t="s">
        <v>187</v>
      </c>
      <c r="AF2739" s="165">
        <v>26.865480000000002</v>
      </c>
      <c r="AG2739" s="166">
        <v>69.054590000000005</v>
      </c>
      <c r="AO2739" s="121"/>
      <c r="AT2739" s="111"/>
      <c r="AX2739" s="121"/>
    </row>
    <row r="2740" spans="1:50" s="110" customFormat="1" ht="20" customHeight="1">
      <c r="A2740" s="125" t="s">
        <v>231</v>
      </c>
      <c r="B2740" s="126" t="s">
        <v>66</v>
      </c>
      <c r="C2740" s="127">
        <v>21783</v>
      </c>
      <c r="D2740" s="167"/>
      <c r="E2740" s="164" t="s">
        <v>1244</v>
      </c>
      <c r="F2740" s="164" t="s">
        <v>1244</v>
      </c>
      <c r="G2740" s="165">
        <v>3200</v>
      </c>
      <c r="H2740" s="165">
        <v>1</v>
      </c>
      <c r="I2740" s="164" t="s">
        <v>187</v>
      </c>
      <c r="J2740" s="164" t="s">
        <v>216</v>
      </c>
      <c r="K2740" s="164" t="s">
        <v>217</v>
      </c>
      <c r="L2740" s="165">
        <v>5</v>
      </c>
      <c r="M2740" s="165">
        <v>6</v>
      </c>
      <c r="N2740" s="164" t="s">
        <v>189</v>
      </c>
      <c r="O2740" s="165">
        <v>0</v>
      </c>
      <c r="P2740" s="165">
        <v>0</v>
      </c>
      <c r="Q2740" s="165">
        <v>21</v>
      </c>
      <c r="R2740" s="164" t="s">
        <v>200</v>
      </c>
      <c r="S2740" s="164" t="s">
        <v>201</v>
      </c>
      <c r="T2740" s="165">
        <v>464</v>
      </c>
      <c r="U2740" s="164" t="s">
        <v>200</v>
      </c>
      <c r="V2740" s="164" t="s">
        <v>1226</v>
      </c>
      <c r="W2740" s="165">
        <v>2</v>
      </c>
      <c r="X2740" s="165">
        <v>4</v>
      </c>
      <c r="Y2740" s="164" t="s">
        <v>203</v>
      </c>
      <c r="Z2740" s="164" t="s">
        <v>195</v>
      </c>
      <c r="AA2740" s="164" t="s">
        <v>196</v>
      </c>
      <c r="AB2740" s="164" t="s">
        <v>187</v>
      </c>
      <c r="AC2740" s="164" t="s">
        <v>187</v>
      </c>
      <c r="AD2740" s="165">
        <v>1</v>
      </c>
      <c r="AE2740" s="164" t="s">
        <v>187</v>
      </c>
      <c r="AF2740" s="165">
        <v>24.837005999999999</v>
      </c>
      <c r="AG2740" s="166">
        <v>67.143744999999996</v>
      </c>
      <c r="AO2740" s="121"/>
      <c r="AT2740" s="111"/>
      <c r="AX2740" s="121"/>
    </row>
    <row r="2741" spans="1:50" s="110" customFormat="1" ht="20" customHeight="1">
      <c r="A2741" s="125" t="s">
        <v>231</v>
      </c>
      <c r="B2741" s="126" t="s">
        <v>66</v>
      </c>
      <c r="C2741" s="127">
        <v>21805</v>
      </c>
      <c r="D2741" s="167"/>
      <c r="E2741" s="164" t="s">
        <v>1276</v>
      </c>
      <c r="F2741" s="164" t="s">
        <v>1276</v>
      </c>
      <c r="G2741" s="165">
        <v>2600</v>
      </c>
      <c r="H2741" s="165">
        <v>1</v>
      </c>
      <c r="I2741" s="164" t="s">
        <v>187</v>
      </c>
      <c r="J2741" s="164" t="s">
        <v>216</v>
      </c>
      <c r="K2741" s="164" t="s">
        <v>217</v>
      </c>
      <c r="L2741" s="165">
        <v>5</v>
      </c>
      <c r="M2741" s="165">
        <v>6</v>
      </c>
      <c r="N2741" s="164" t="s">
        <v>189</v>
      </c>
      <c r="O2741" s="165">
        <v>0</v>
      </c>
      <c r="P2741" s="165">
        <v>0</v>
      </c>
      <c r="Q2741" s="165">
        <v>21</v>
      </c>
      <c r="R2741" s="164" t="s">
        <v>200</v>
      </c>
      <c r="S2741" s="164" t="s">
        <v>201</v>
      </c>
      <c r="T2741" s="165">
        <v>464</v>
      </c>
      <c r="U2741" s="164" t="s">
        <v>200</v>
      </c>
      <c r="V2741" s="164" t="s">
        <v>1226</v>
      </c>
      <c r="W2741" s="165">
        <v>2</v>
      </c>
      <c r="X2741" s="165">
        <v>4</v>
      </c>
      <c r="Y2741" s="164" t="s">
        <v>203</v>
      </c>
      <c r="Z2741" s="164" t="s">
        <v>195</v>
      </c>
      <c r="AA2741" s="164" t="s">
        <v>196</v>
      </c>
      <c r="AB2741" s="164" t="s">
        <v>187</v>
      </c>
      <c r="AC2741" s="164" t="s">
        <v>187</v>
      </c>
      <c r="AD2741" s="165">
        <v>1</v>
      </c>
      <c r="AE2741" s="164" t="s">
        <v>187</v>
      </c>
      <c r="AF2741" s="165">
        <v>24.837005999999999</v>
      </c>
      <c r="AG2741" s="166">
        <v>67.143744999999996</v>
      </c>
      <c r="AO2741" s="121"/>
      <c r="AT2741" s="111"/>
      <c r="AX2741" s="121"/>
    </row>
    <row r="2742" spans="1:50" s="110" customFormat="1" ht="20" customHeight="1">
      <c r="A2742" s="125" t="s">
        <v>231</v>
      </c>
      <c r="B2742" s="126" t="s">
        <v>66</v>
      </c>
      <c r="C2742" s="127">
        <v>21492</v>
      </c>
      <c r="D2742" s="163">
        <v>118310</v>
      </c>
      <c r="E2742" s="164" t="s">
        <v>1235</v>
      </c>
      <c r="F2742" s="164" t="s">
        <v>1235</v>
      </c>
      <c r="G2742" s="165">
        <v>2300</v>
      </c>
      <c r="H2742" s="165">
        <v>1</v>
      </c>
      <c r="I2742" s="164" t="s">
        <v>187</v>
      </c>
      <c r="J2742" s="164" t="s">
        <v>216</v>
      </c>
      <c r="K2742" s="164" t="s">
        <v>217</v>
      </c>
      <c r="L2742" s="165">
        <v>5</v>
      </c>
      <c r="M2742" s="165">
        <v>6</v>
      </c>
      <c r="N2742" s="164" t="s">
        <v>189</v>
      </c>
      <c r="O2742" s="165">
        <v>0</v>
      </c>
      <c r="P2742" s="165">
        <v>0</v>
      </c>
      <c r="Q2742" s="165">
        <v>21</v>
      </c>
      <c r="R2742" s="164" t="s">
        <v>200</v>
      </c>
      <c r="S2742" s="164" t="s">
        <v>201</v>
      </c>
      <c r="T2742" s="165">
        <v>464</v>
      </c>
      <c r="U2742" s="164" t="s">
        <v>200</v>
      </c>
      <c r="V2742" s="164" t="s">
        <v>1226</v>
      </c>
      <c r="W2742" s="165">
        <v>3</v>
      </c>
      <c r="X2742" s="165">
        <v>4</v>
      </c>
      <c r="Y2742" s="164" t="s">
        <v>203</v>
      </c>
      <c r="Z2742" s="164" t="s">
        <v>195</v>
      </c>
      <c r="AA2742" s="164" t="s">
        <v>196</v>
      </c>
      <c r="AB2742" s="164" t="s">
        <v>187</v>
      </c>
      <c r="AC2742" s="164" t="s">
        <v>187</v>
      </c>
      <c r="AD2742" s="165">
        <v>1</v>
      </c>
      <c r="AE2742" s="164" t="s">
        <v>187</v>
      </c>
      <c r="AF2742" s="165">
        <v>24.994509999999998</v>
      </c>
      <c r="AG2742" s="166">
        <v>66.935000000000002</v>
      </c>
      <c r="AO2742" s="121"/>
      <c r="AT2742" s="111"/>
      <c r="AX2742" s="121"/>
    </row>
    <row r="2743" spans="1:50" s="110" customFormat="1" ht="20" customHeight="1">
      <c r="A2743" s="125" t="s">
        <v>231</v>
      </c>
      <c r="B2743" s="126" t="s">
        <v>66</v>
      </c>
      <c r="C2743" s="127">
        <v>21811</v>
      </c>
      <c r="D2743" s="167"/>
      <c r="E2743" s="164" t="s">
        <v>1284</v>
      </c>
      <c r="F2743" s="164" t="s">
        <v>1284</v>
      </c>
      <c r="G2743" s="165">
        <v>1900</v>
      </c>
      <c r="H2743" s="165">
        <v>1</v>
      </c>
      <c r="I2743" s="164" t="s">
        <v>187</v>
      </c>
      <c r="J2743" s="164" t="s">
        <v>216</v>
      </c>
      <c r="K2743" s="164" t="s">
        <v>217</v>
      </c>
      <c r="L2743" s="165">
        <v>5</v>
      </c>
      <c r="M2743" s="165">
        <v>6</v>
      </c>
      <c r="N2743" s="164" t="s">
        <v>189</v>
      </c>
      <c r="O2743" s="165">
        <v>0</v>
      </c>
      <c r="P2743" s="165">
        <v>0</v>
      </c>
      <c r="Q2743" s="165">
        <v>21</v>
      </c>
      <c r="R2743" s="164" t="s">
        <v>200</v>
      </c>
      <c r="S2743" s="164" t="s">
        <v>201</v>
      </c>
      <c r="T2743" s="165">
        <v>464</v>
      </c>
      <c r="U2743" s="164" t="s">
        <v>200</v>
      </c>
      <c r="V2743" s="164" t="s">
        <v>1226</v>
      </c>
      <c r="W2743" s="165">
        <v>2</v>
      </c>
      <c r="X2743" s="165">
        <v>4</v>
      </c>
      <c r="Y2743" s="164" t="s">
        <v>203</v>
      </c>
      <c r="Z2743" s="164" t="s">
        <v>195</v>
      </c>
      <c r="AA2743" s="164" t="s">
        <v>196</v>
      </c>
      <c r="AB2743" s="164" t="s">
        <v>187</v>
      </c>
      <c r="AC2743" s="164" t="s">
        <v>187</v>
      </c>
      <c r="AD2743" s="165">
        <v>1</v>
      </c>
      <c r="AE2743" s="164" t="s">
        <v>187</v>
      </c>
      <c r="AF2743" s="165">
        <v>24.837005999999999</v>
      </c>
      <c r="AG2743" s="166">
        <v>67.143744999999996</v>
      </c>
      <c r="AO2743" s="121"/>
      <c r="AT2743" s="111"/>
      <c r="AX2743" s="121"/>
    </row>
    <row r="2744" spans="1:50" s="110" customFormat="1" ht="20" customHeight="1">
      <c r="A2744" s="125" t="s">
        <v>224</v>
      </c>
      <c r="B2744" s="126" t="s">
        <v>68</v>
      </c>
      <c r="C2744" s="127">
        <v>17667</v>
      </c>
      <c r="D2744" s="163">
        <v>113109</v>
      </c>
      <c r="E2744" s="164" t="s">
        <v>1225</v>
      </c>
      <c r="F2744" s="164" t="s">
        <v>1225</v>
      </c>
      <c r="G2744" s="165">
        <v>1500</v>
      </c>
      <c r="H2744" s="165">
        <v>1</v>
      </c>
      <c r="I2744" s="164" t="s">
        <v>187</v>
      </c>
      <c r="J2744" s="164" t="s">
        <v>222</v>
      </c>
      <c r="K2744" s="164" t="s">
        <v>223</v>
      </c>
      <c r="L2744" s="165">
        <v>4</v>
      </c>
      <c r="M2744" s="165">
        <v>6</v>
      </c>
      <c r="N2744" s="164" t="s">
        <v>189</v>
      </c>
      <c r="O2744" s="165">
        <v>0</v>
      </c>
      <c r="P2744" s="165">
        <v>0</v>
      </c>
      <c r="Q2744" s="165">
        <v>21</v>
      </c>
      <c r="R2744" s="164" t="s">
        <v>200</v>
      </c>
      <c r="S2744" s="164" t="s">
        <v>201</v>
      </c>
      <c r="T2744" s="165">
        <v>464</v>
      </c>
      <c r="U2744" s="164" t="s">
        <v>200</v>
      </c>
      <c r="V2744" s="164" t="s">
        <v>1226</v>
      </c>
      <c r="W2744" s="165">
        <v>5</v>
      </c>
      <c r="X2744" s="165">
        <v>4</v>
      </c>
      <c r="Y2744" s="164" t="s">
        <v>203</v>
      </c>
      <c r="Z2744" s="164" t="s">
        <v>195</v>
      </c>
      <c r="AA2744" s="164" t="s">
        <v>196</v>
      </c>
      <c r="AB2744" s="164" t="s">
        <v>187</v>
      </c>
      <c r="AC2744" s="164" t="s">
        <v>187</v>
      </c>
      <c r="AD2744" s="165">
        <v>1</v>
      </c>
      <c r="AE2744" s="164" t="s">
        <v>187</v>
      </c>
      <c r="AF2744" s="165">
        <v>7.2259426497858703</v>
      </c>
      <c r="AG2744" s="166">
        <v>81.555330981777004</v>
      </c>
      <c r="AO2744" s="121"/>
      <c r="AT2744" s="111"/>
      <c r="AX2744" s="121"/>
    </row>
    <row r="2745" spans="1:50" s="110" customFormat="1" ht="20" customHeight="1">
      <c r="A2745" s="125" t="s">
        <v>486</v>
      </c>
      <c r="B2745" s="126" t="s">
        <v>57</v>
      </c>
      <c r="C2745" s="127">
        <v>18045</v>
      </c>
      <c r="D2745" s="163">
        <v>113540</v>
      </c>
      <c r="E2745" s="164" t="s">
        <v>1352</v>
      </c>
      <c r="F2745" s="164" t="s">
        <v>1352</v>
      </c>
      <c r="G2745" s="165">
        <v>1174000</v>
      </c>
      <c r="H2745" s="165">
        <v>1</v>
      </c>
      <c r="I2745" s="164" t="s">
        <v>187</v>
      </c>
      <c r="J2745" s="164" t="s">
        <v>198</v>
      </c>
      <c r="K2745" s="164" t="s">
        <v>199</v>
      </c>
      <c r="L2745" s="165">
        <v>5</v>
      </c>
      <c r="M2745" s="165">
        <v>6</v>
      </c>
      <c r="N2745" s="164" t="s">
        <v>189</v>
      </c>
      <c r="O2745" s="165">
        <v>0</v>
      </c>
      <c r="P2745" s="165">
        <v>0</v>
      </c>
      <c r="Q2745" s="165">
        <v>21</v>
      </c>
      <c r="R2745" s="164" t="s">
        <v>200</v>
      </c>
      <c r="S2745" s="164" t="s">
        <v>201</v>
      </c>
      <c r="T2745" s="165">
        <v>465</v>
      </c>
      <c r="U2745" s="164" t="s">
        <v>200</v>
      </c>
      <c r="V2745" s="164" t="s">
        <v>1353</v>
      </c>
      <c r="W2745" s="165">
        <v>5</v>
      </c>
      <c r="X2745" s="165">
        <v>4</v>
      </c>
      <c r="Y2745" s="164" t="s">
        <v>203</v>
      </c>
      <c r="Z2745" s="164" t="s">
        <v>195</v>
      </c>
      <c r="AA2745" s="164" t="s">
        <v>196</v>
      </c>
      <c r="AB2745" s="164" t="s">
        <v>187</v>
      </c>
      <c r="AC2745" s="164" t="s">
        <v>187</v>
      </c>
      <c r="AD2745" s="165">
        <v>23</v>
      </c>
      <c r="AE2745" s="164" t="s">
        <v>187</v>
      </c>
      <c r="AF2745" s="165">
        <v>22.563970000000001</v>
      </c>
      <c r="AG2745" s="166">
        <v>92.379934000000006</v>
      </c>
      <c r="AO2745" s="121"/>
      <c r="AT2745" s="111"/>
      <c r="AX2745" s="121"/>
    </row>
    <row r="2746" spans="1:50" s="110" customFormat="1" ht="20" customHeight="1">
      <c r="A2746" s="125" t="s">
        <v>231</v>
      </c>
      <c r="B2746" s="126" t="s">
        <v>66</v>
      </c>
      <c r="C2746" s="127">
        <v>18045</v>
      </c>
      <c r="D2746" s="163">
        <v>113540</v>
      </c>
      <c r="E2746" s="164" t="s">
        <v>1352</v>
      </c>
      <c r="F2746" s="164" t="s">
        <v>1352</v>
      </c>
      <c r="G2746" s="165">
        <v>7855000</v>
      </c>
      <c r="H2746" s="165">
        <v>1</v>
      </c>
      <c r="I2746" s="164" t="s">
        <v>187</v>
      </c>
      <c r="J2746" s="164" t="s">
        <v>222</v>
      </c>
      <c r="K2746" s="164" t="s">
        <v>223</v>
      </c>
      <c r="L2746" s="165">
        <v>4</v>
      </c>
      <c r="M2746" s="165">
        <v>6</v>
      </c>
      <c r="N2746" s="164" t="s">
        <v>189</v>
      </c>
      <c r="O2746" s="165">
        <v>0</v>
      </c>
      <c r="P2746" s="165">
        <v>0</v>
      </c>
      <c r="Q2746" s="165">
        <v>21</v>
      </c>
      <c r="R2746" s="164" t="s">
        <v>200</v>
      </c>
      <c r="S2746" s="164" t="s">
        <v>201</v>
      </c>
      <c r="T2746" s="165">
        <v>465</v>
      </c>
      <c r="U2746" s="164" t="s">
        <v>200</v>
      </c>
      <c r="V2746" s="164" t="s">
        <v>1353</v>
      </c>
      <c r="W2746" s="165">
        <v>5</v>
      </c>
      <c r="X2746" s="165">
        <v>4</v>
      </c>
      <c r="Y2746" s="164" t="s">
        <v>203</v>
      </c>
      <c r="Z2746" s="164" t="s">
        <v>195</v>
      </c>
      <c r="AA2746" s="164" t="s">
        <v>196</v>
      </c>
      <c r="AB2746" s="164" t="s">
        <v>187</v>
      </c>
      <c r="AC2746" s="164" t="s">
        <v>187</v>
      </c>
      <c r="AD2746" s="165">
        <v>157</v>
      </c>
      <c r="AE2746" s="164" t="s">
        <v>187</v>
      </c>
      <c r="AF2746" s="165">
        <v>25.4957331151614</v>
      </c>
      <c r="AG2746" s="166">
        <v>68.514007889444997</v>
      </c>
      <c r="AO2746" s="121"/>
      <c r="AT2746" s="111"/>
      <c r="AX2746" s="121"/>
    </row>
    <row r="2747" spans="1:50" s="110" customFormat="1" ht="20" customHeight="1">
      <c r="A2747" s="125" t="s">
        <v>231</v>
      </c>
      <c r="B2747" s="126" t="s">
        <v>66</v>
      </c>
      <c r="C2747" s="127">
        <v>21813</v>
      </c>
      <c r="D2747" s="167"/>
      <c r="E2747" s="164" t="s">
        <v>1354</v>
      </c>
      <c r="F2747" s="164" t="s">
        <v>1354</v>
      </c>
      <c r="G2747" s="165">
        <v>103000</v>
      </c>
      <c r="H2747" s="165">
        <v>1</v>
      </c>
      <c r="I2747" s="164" t="s">
        <v>187</v>
      </c>
      <c r="J2747" s="164" t="s">
        <v>219</v>
      </c>
      <c r="K2747" s="164" t="s">
        <v>220</v>
      </c>
      <c r="L2747" s="165">
        <v>5</v>
      </c>
      <c r="M2747" s="165">
        <v>6</v>
      </c>
      <c r="N2747" s="164" t="s">
        <v>189</v>
      </c>
      <c r="O2747" s="165">
        <v>0</v>
      </c>
      <c r="P2747" s="165">
        <v>0</v>
      </c>
      <c r="Q2747" s="165">
        <v>21</v>
      </c>
      <c r="R2747" s="164" t="s">
        <v>200</v>
      </c>
      <c r="S2747" s="164" t="s">
        <v>201</v>
      </c>
      <c r="T2747" s="165">
        <v>465</v>
      </c>
      <c r="U2747" s="164" t="s">
        <v>200</v>
      </c>
      <c r="V2747" s="164" t="s">
        <v>1353</v>
      </c>
      <c r="W2747" s="165">
        <v>2</v>
      </c>
      <c r="X2747" s="165">
        <v>4</v>
      </c>
      <c r="Y2747" s="164" t="s">
        <v>203</v>
      </c>
      <c r="Z2747" s="164" t="s">
        <v>195</v>
      </c>
      <c r="AA2747" s="164" t="s">
        <v>196</v>
      </c>
      <c r="AB2747" s="164" t="s">
        <v>187</v>
      </c>
      <c r="AC2747" s="164" t="s">
        <v>187</v>
      </c>
      <c r="AD2747" s="165">
        <v>2</v>
      </c>
      <c r="AE2747" s="164" t="s">
        <v>187</v>
      </c>
      <c r="AF2747" s="165">
        <v>26.865480000000002</v>
      </c>
      <c r="AG2747" s="166">
        <v>69.054590000000005</v>
      </c>
      <c r="AO2747" s="121"/>
      <c r="AT2747" s="111"/>
      <c r="AX2747" s="121"/>
    </row>
    <row r="2748" spans="1:50" s="110" customFormat="1" ht="20" customHeight="1">
      <c r="A2748" s="125" t="s">
        <v>224</v>
      </c>
      <c r="B2748" s="126" t="s">
        <v>68</v>
      </c>
      <c r="C2748" s="127">
        <v>18045</v>
      </c>
      <c r="D2748" s="163">
        <v>113540</v>
      </c>
      <c r="E2748" s="164" t="s">
        <v>1352</v>
      </c>
      <c r="F2748" s="164" t="s">
        <v>1352</v>
      </c>
      <c r="G2748" s="165">
        <v>49000</v>
      </c>
      <c r="H2748" s="165">
        <v>1</v>
      </c>
      <c r="I2748" s="164" t="s">
        <v>187</v>
      </c>
      <c r="J2748" s="164" t="s">
        <v>1989</v>
      </c>
      <c r="K2748" s="164" t="s">
        <v>1990</v>
      </c>
      <c r="L2748" s="165">
        <v>5</v>
      </c>
      <c r="M2748" s="165">
        <v>6</v>
      </c>
      <c r="N2748" s="164" t="s">
        <v>189</v>
      </c>
      <c r="O2748" s="165">
        <v>0</v>
      </c>
      <c r="P2748" s="165">
        <v>0</v>
      </c>
      <c r="Q2748" s="165">
        <v>21</v>
      </c>
      <c r="R2748" s="164" t="s">
        <v>200</v>
      </c>
      <c r="S2748" s="164" t="s">
        <v>201</v>
      </c>
      <c r="T2748" s="165">
        <v>465</v>
      </c>
      <c r="U2748" s="164" t="s">
        <v>200</v>
      </c>
      <c r="V2748" s="164" t="s">
        <v>1353</v>
      </c>
      <c r="W2748" s="165">
        <v>5</v>
      </c>
      <c r="X2748" s="165">
        <v>4</v>
      </c>
      <c r="Y2748" s="164" t="s">
        <v>203</v>
      </c>
      <c r="Z2748" s="164" t="s">
        <v>195</v>
      </c>
      <c r="AA2748" s="164" t="s">
        <v>196</v>
      </c>
      <c r="AB2748" s="164" t="s">
        <v>187</v>
      </c>
      <c r="AC2748" s="164" t="s">
        <v>187</v>
      </c>
      <c r="AD2748" s="165">
        <v>1</v>
      </c>
      <c r="AE2748" s="164" t="s">
        <v>187</v>
      </c>
      <c r="AF2748" s="165">
        <v>7.1850062353337201</v>
      </c>
      <c r="AG2748" s="166">
        <v>80.679282639097593</v>
      </c>
      <c r="AO2748" s="121"/>
      <c r="AT2748" s="111"/>
      <c r="AX2748" s="121"/>
    </row>
    <row r="2749" spans="1:50" s="110" customFormat="1" ht="20" customHeight="1">
      <c r="A2749" s="125" t="s">
        <v>486</v>
      </c>
      <c r="B2749" s="126" t="s">
        <v>57</v>
      </c>
      <c r="C2749" s="127">
        <v>18084</v>
      </c>
      <c r="D2749" s="163">
        <v>113585</v>
      </c>
      <c r="E2749" s="164" t="s">
        <v>1362</v>
      </c>
      <c r="F2749" s="164" t="s">
        <v>1362</v>
      </c>
      <c r="G2749" s="165">
        <v>133878000</v>
      </c>
      <c r="H2749" s="165">
        <v>1</v>
      </c>
      <c r="I2749" s="164" t="s">
        <v>187</v>
      </c>
      <c r="J2749" s="164" t="s">
        <v>198</v>
      </c>
      <c r="K2749" s="164" t="s">
        <v>199</v>
      </c>
      <c r="L2749" s="165">
        <v>5</v>
      </c>
      <c r="M2749" s="165">
        <v>6</v>
      </c>
      <c r="N2749" s="164" t="s">
        <v>189</v>
      </c>
      <c r="O2749" s="165">
        <v>0</v>
      </c>
      <c r="P2749" s="165">
        <v>0</v>
      </c>
      <c r="Q2749" s="165">
        <v>21</v>
      </c>
      <c r="R2749" s="164" t="s">
        <v>200</v>
      </c>
      <c r="S2749" s="164" t="s">
        <v>201</v>
      </c>
      <c r="T2749" s="165">
        <v>466</v>
      </c>
      <c r="U2749" s="164" t="s">
        <v>200</v>
      </c>
      <c r="V2749" s="164" t="s">
        <v>1363</v>
      </c>
      <c r="W2749" s="165">
        <v>7</v>
      </c>
      <c r="X2749" s="165">
        <v>4</v>
      </c>
      <c r="Y2749" s="164" t="s">
        <v>203</v>
      </c>
      <c r="Z2749" s="164" t="s">
        <v>195</v>
      </c>
      <c r="AA2749" s="164" t="s">
        <v>196</v>
      </c>
      <c r="AB2749" s="164" t="s">
        <v>187</v>
      </c>
      <c r="AC2749" s="164" t="s">
        <v>187</v>
      </c>
      <c r="AD2749" s="165">
        <v>2678</v>
      </c>
      <c r="AE2749" s="164" t="s">
        <v>187</v>
      </c>
      <c r="AF2749" s="165">
        <v>24.011205383133898</v>
      </c>
      <c r="AG2749" s="166">
        <v>90.806552450976</v>
      </c>
      <c r="AO2749" s="121"/>
      <c r="AT2749" s="111"/>
      <c r="AX2749" s="121"/>
    </row>
    <row r="2750" spans="1:50" s="110" customFormat="1" ht="20" customHeight="1">
      <c r="A2750" s="125" t="s">
        <v>486</v>
      </c>
      <c r="B2750" s="126" t="s">
        <v>57</v>
      </c>
      <c r="C2750" s="127">
        <v>21815</v>
      </c>
      <c r="D2750" s="167"/>
      <c r="E2750" s="164" t="s">
        <v>1365</v>
      </c>
      <c r="F2750" s="164" t="s">
        <v>1365</v>
      </c>
      <c r="G2750" s="165">
        <v>3500</v>
      </c>
      <c r="H2750" s="165">
        <v>1</v>
      </c>
      <c r="I2750" s="164" t="s">
        <v>187</v>
      </c>
      <c r="J2750" s="164" t="s">
        <v>216</v>
      </c>
      <c r="K2750" s="164" t="s">
        <v>217</v>
      </c>
      <c r="L2750" s="165">
        <v>5</v>
      </c>
      <c r="M2750" s="165">
        <v>6</v>
      </c>
      <c r="N2750" s="164" t="s">
        <v>189</v>
      </c>
      <c r="O2750" s="165">
        <v>0</v>
      </c>
      <c r="P2750" s="165">
        <v>0</v>
      </c>
      <c r="Q2750" s="165">
        <v>21</v>
      </c>
      <c r="R2750" s="164" t="s">
        <v>200</v>
      </c>
      <c r="S2750" s="164" t="s">
        <v>201</v>
      </c>
      <c r="T2750" s="165">
        <v>466</v>
      </c>
      <c r="U2750" s="164" t="s">
        <v>200</v>
      </c>
      <c r="V2750" s="164" t="s">
        <v>1363</v>
      </c>
      <c r="W2750" s="165">
        <v>3</v>
      </c>
      <c r="X2750" s="165">
        <v>4</v>
      </c>
      <c r="Y2750" s="164" t="s">
        <v>203</v>
      </c>
      <c r="Z2750" s="164" t="s">
        <v>195</v>
      </c>
      <c r="AA2750" s="164" t="s">
        <v>196</v>
      </c>
      <c r="AB2750" s="164" t="s">
        <v>187</v>
      </c>
      <c r="AC2750" s="164" t="s">
        <v>187</v>
      </c>
      <c r="AD2750" s="165">
        <v>1</v>
      </c>
      <c r="AE2750" s="164" t="s">
        <v>187</v>
      </c>
      <c r="AF2750" s="165">
        <v>23.795660000000002</v>
      </c>
      <c r="AG2750" s="166">
        <v>90.263570000000001</v>
      </c>
      <c r="AO2750" s="121"/>
      <c r="AT2750" s="111"/>
      <c r="AX2750" s="121"/>
    </row>
    <row r="2751" spans="1:50" s="110" customFormat="1" ht="20" customHeight="1">
      <c r="A2751" s="125" t="s">
        <v>231</v>
      </c>
      <c r="B2751" s="126" t="s">
        <v>66</v>
      </c>
      <c r="C2751" s="127">
        <v>18084</v>
      </c>
      <c r="D2751" s="163">
        <v>113585</v>
      </c>
      <c r="E2751" s="164" t="s">
        <v>1362</v>
      </c>
      <c r="F2751" s="164" t="s">
        <v>1362</v>
      </c>
      <c r="G2751" s="165">
        <v>13409000</v>
      </c>
      <c r="H2751" s="165">
        <v>1</v>
      </c>
      <c r="I2751" s="164" t="s">
        <v>187</v>
      </c>
      <c r="J2751" s="164" t="s">
        <v>222</v>
      </c>
      <c r="K2751" s="164" t="s">
        <v>223</v>
      </c>
      <c r="L2751" s="165">
        <v>4</v>
      </c>
      <c r="M2751" s="165">
        <v>6</v>
      </c>
      <c r="N2751" s="164" t="s">
        <v>189</v>
      </c>
      <c r="O2751" s="165">
        <v>0</v>
      </c>
      <c r="P2751" s="168"/>
      <c r="Q2751" s="165">
        <v>21</v>
      </c>
      <c r="R2751" s="164" t="s">
        <v>200</v>
      </c>
      <c r="S2751" s="164" t="s">
        <v>201</v>
      </c>
      <c r="T2751" s="165">
        <v>466</v>
      </c>
      <c r="U2751" s="164" t="s">
        <v>200</v>
      </c>
      <c r="V2751" s="164" t="s">
        <v>1363</v>
      </c>
      <c r="W2751" s="165">
        <v>7</v>
      </c>
      <c r="X2751" s="165">
        <v>4</v>
      </c>
      <c r="Y2751" s="164" t="s">
        <v>203</v>
      </c>
      <c r="Z2751" s="164" t="s">
        <v>195</v>
      </c>
      <c r="AA2751" s="164" t="s">
        <v>196</v>
      </c>
      <c r="AB2751" s="164" t="s">
        <v>187</v>
      </c>
      <c r="AC2751" s="164" t="s">
        <v>187</v>
      </c>
      <c r="AD2751" s="165">
        <v>268</v>
      </c>
      <c r="AE2751" s="164" t="s">
        <v>187</v>
      </c>
      <c r="AF2751" s="165">
        <v>25.522832682782099</v>
      </c>
      <c r="AG2751" s="166">
        <v>69.016149189633396</v>
      </c>
      <c r="AO2751" s="121"/>
      <c r="AT2751" s="111"/>
      <c r="AX2751" s="121"/>
    </row>
    <row r="2752" spans="1:50" s="110" customFormat="1" ht="20" customHeight="1">
      <c r="A2752" s="125" t="s">
        <v>231</v>
      </c>
      <c r="B2752" s="126" t="s">
        <v>66</v>
      </c>
      <c r="C2752" s="127">
        <v>21236</v>
      </c>
      <c r="D2752" s="163">
        <v>118058</v>
      </c>
      <c r="E2752" s="164" t="s">
        <v>1364</v>
      </c>
      <c r="F2752" s="164" t="s">
        <v>1364</v>
      </c>
      <c r="G2752" s="165">
        <v>757000</v>
      </c>
      <c r="H2752" s="165">
        <v>1</v>
      </c>
      <c r="I2752" s="164" t="s">
        <v>187</v>
      </c>
      <c r="J2752" s="164" t="s">
        <v>219</v>
      </c>
      <c r="K2752" s="164" t="s">
        <v>220</v>
      </c>
      <c r="L2752" s="165">
        <v>5</v>
      </c>
      <c r="M2752" s="165">
        <v>6</v>
      </c>
      <c r="N2752" s="164" t="s">
        <v>189</v>
      </c>
      <c r="O2752" s="165">
        <v>0</v>
      </c>
      <c r="P2752" s="165">
        <v>0</v>
      </c>
      <c r="Q2752" s="165">
        <v>21</v>
      </c>
      <c r="R2752" s="164" t="s">
        <v>200</v>
      </c>
      <c r="S2752" s="164" t="s">
        <v>201</v>
      </c>
      <c r="T2752" s="165">
        <v>466</v>
      </c>
      <c r="U2752" s="164" t="s">
        <v>200</v>
      </c>
      <c r="V2752" s="164" t="s">
        <v>1363</v>
      </c>
      <c r="W2752" s="165">
        <v>3</v>
      </c>
      <c r="X2752" s="165">
        <v>4</v>
      </c>
      <c r="Y2752" s="164" t="s">
        <v>203</v>
      </c>
      <c r="Z2752" s="164" t="s">
        <v>195</v>
      </c>
      <c r="AA2752" s="164" t="s">
        <v>196</v>
      </c>
      <c r="AB2752" s="164" t="s">
        <v>187</v>
      </c>
      <c r="AC2752" s="164" t="s">
        <v>187</v>
      </c>
      <c r="AD2752" s="165">
        <v>15</v>
      </c>
      <c r="AE2752" s="164" t="s">
        <v>187</v>
      </c>
      <c r="AF2752" s="165">
        <v>24.909700000000001</v>
      </c>
      <c r="AG2752" s="166">
        <v>66.988</v>
      </c>
      <c r="AO2752" s="121"/>
      <c r="AT2752" s="111"/>
      <c r="AX2752" s="121"/>
    </row>
    <row r="2753" spans="1:50" s="110" customFormat="1" ht="20" customHeight="1">
      <c r="A2753" s="125" t="s">
        <v>224</v>
      </c>
      <c r="B2753" s="126" t="s">
        <v>68</v>
      </c>
      <c r="C2753" s="127">
        <v>18084</v>
      </c>
      <c r="D2753" s="163">
        <v>113585</v>
      </c>
      <c r="E2753" s="164" t="s">
        <v>1362</v>
      </c>
      <c r="F2753" s="164" t="s">
        <v>1362</v>
      </c>
      <c r="G2753" s="165">
        <v>199000</v>
      </c>
      <c r="H2753" s="165">
        <v>1</v>
      </c>
      <c r="I2753" s="164" t="s">
        <v>187</v>
      </c>
      <c r="J2753" s="164" t="s">
        <v>1989</v>
      </c>
      <c r="K2753" s="164" t="s">
        <v>1990</v>
      </c>
      <c r="L2753" s="165">
        <v>5</v>
      </c>
      <c r="M2753" s="165">
        <v>6</v>
      </c>
      <c r="N2753" s="164" t="s">
        <v>189</v>
      </c>
      <c r="O2753" s="165">
        <v>0</v>
      </c>
      <c r="P2753" s="165">
        <v>0</v>
      </c>
      <c r="Q2753" s="165">
        <v>21</v>
      </c>
      <c r="R2753" s="164" t="s">
        <v>200</v>
      </c>
      <c r="S2753" s="164" t="s">
        <v>201</v>
      </c>
      <c r="T2753" s="165">
        <v>466</v>
      </c>
      <c r="U2753" s="164" t="s">
        <v>200</v>
      </c>
      <c r="V2753" s="164" t="s">
        <v>1363</v>
      </c>
      <c r="W2753" s="165">
        <v>7</v>
      </c>
      <c r="X2753" s="165">
        <v>4</v>
      </c>
      <c r="Y2753" s="164" t="s">
        <v>203</v>
      </c>
      <c r="Z2753" s="164" t="s">
        <v>195</v>
      </c>
      <c r="AA2753" s="164" t="s">
        <v>196</v>
      </c>
      <c r="AB2753" s="164" t="s">
        <v>187</v>
      </c>
      <c r="AC2753" s="164" t="s">
        <v>187</v>
      </c>
      <c r="AD2753" s="165">
        <v>4</v>
      </c>
      <c r="AE2753" s="164" t="s">
        <v>187</v>
      </c>
      <c r="AF2753" s="165">
        <v>7.1850904923340897</v>
      </c>
      <c r="AG2753" s="166">
        <v>80.678959469880496</v>
      </c>
      <c r="AO2753" s="121"/>
      <c r="AT2753" s="111"/>
      <c r="AX2753" s="121"/>
    </row>
    <row r="2754" spans="1:50" s="110" customFormat="1" ht="20" customHeight="1">
      <c r="A2754" s="125" t="s">
        <v>486</v>
      </c>
      <c r="B2754" s="126" t="s">
        <v>57</v>
      </c>
      <c r="C2754" s="127">
        <v>17482</v>
      </c>
      <c r="D2754" s="163">
        <v>112893</v>
      </c>
      <c r="E2754" s="164" t="s">
        <v>409</v>
      </c>
      <c r="F2754" s="164" t="s">
        <v>409</v>
      </c>
      <c r="G2754" s="165">
        <v>3300</v>
      </c>
      <c r="H2754" s="165">
        <v>1</v>
      </c>
      <c r="I2754" s="164" t="s">
        <v>187</v>
      </c>
      <c r="J2754" s="164" t="s">
        <v>198</v>
      </c>
      <c r="K2754" s="164" t="s">
        <v>199</v>
      </c>
      <c r="L2754" s="165">
        <v>5</v>
      </c>
      <c r="M2754" s="165">
        <v>6</v>
      </c>
      <c r="N2754" s="164" t="s">
        <v>189</v>
      </c>
      <c r="O2754" s="165">
        <v>0</v>
      </c>
      <c r="P2754" s="165">
        <v>0</v>
      </c>
      <c r="Q2754" s="165">
        <v>21</v>
      </c>
      <c r="R2754" s="164" t="s">
        <v>200</v>
      </c>
      <c r="S2754" s="164" t="s">
        <v>201</v>
      </c>
      <c r="T2754" s="165">
        <v>471</v>
      </c>
      <c r="U2754" s="164" t="s">
        <v>200</v>
      </c>
      <c r="V2754" s="164" t="s">
        <v>410</v>
      </c>
      <c r="W2754" s="165">
        <v>3</v>
      </c>
      <c r="X2754" s="165">
        <v>4</v>
      </c>
      <c r="Y2754" s="164" t="s">
        <v>203</v>
      </c>
      <c r="Z2754" s="164" t="s">
        <v>195</v>
      </c>
      <c r="AA2754" s="164" t="s">
        <v>196</v>
      </c>
      <c r="AB2754" s="164" t="s">
        <v>187</v>
      </c>
      <c r="AC2754" s="164" t="s">
        <v>187</v>
      </c>
      <c r="AD2754" s="165">
        <v>1</v>
      </c>
      <c r="AE2754" s="164" t="s">
        <v>187</v>
      </c>
      <c r="AF2754" s="165">
        <v>23.014939843989701</v>
      </c>
      <c r="AG2754" s="166">
        <v>90.024594672908194</v>
      </c>
      <c r="AO2754" s="121"/>
      <c r="AT2754" s="111"/>
      <c r="AX2754" s="121"/>
    </row>
    <row r="2755" spans="1:50" s="110" customFormat="1" ht="20" customHeight="1">
      <c r="A2755" s="125" t="s">
        <v>231</v>
      </c>
      <c r="B2755" s="126" t="s">
        <v>66</v>
      </c>
      <c r="C2755" s="127">
        <v>17482</v>
      </c>
      <c r="D2755" s="163">
        <v>112893</v>
      </c>
      <c r="E2755" s="164" t="s">
        <v>409</v>
      </c>
      <c r="F2755" s="164" t="s">
        <v>409</v>
      </c>
      <c r="G2755" s="165">
        <v>92000</v>
      </c>
      <c r="H2755" s="165">
        <v>1</v>
      </c>
      <c r="I2755" s="164" t="s">
        <v>187</v>
      </c>
      <c r="J2755" s="164" t="s">
        <v>216</v>
      </c>
      <c r="K2755" s="164" t="s">
        <v>217</v>
      </c>
      <c r="L2755" s="165">
        <v>5</v>
      </c>
      <c r="M2755" s="165">
        <v>6</v>
      </c>
      <c r="N2755" s="164" t="s">
        <v>189</v>
      </c>
      <c r="O2755" s="165">
        <v>0</v>
      </c>
      <c r="P2755" s="165">
        <v>0</v>
      </c>
      <c r="Q2755" s="165">
        <v>21</v>
      </c>
      <c r="R2755" s="164" t="s">
        <v>200</v>
      </c>
      <c r="S2755" s="164" t="s">
        <v>201</v>
      </c>
      <c r="T2755" s="165">
        <v>471</v>
      </c>
      <c r="U2755" s="164" t="s">
        <v>200</v>
      </c>
      <c r="V2755" s="164" t="s">
        <v>410</v>
      </c>
      <c r="W2755" s="165">
        <v>3</v>
      </c>
      <c r="X2755" s="165">
        <v>4</v>
      </c>
      <c r="Y2755" s="164" t="s">
        <v>203</v>
      </c>
      <c r="Z2755" s="164" t="s">
        <v>195</v>
      </c>
      <c r="AA2755" s="164" t="s">
        <v>196</v>
      </c>
      <c r="AB2755" s="164" t="s">
        <v>187</v>
      </c>
      <c r="AC2755" s="164" t="s">
        <v>187</v>
      </c>
      <c r="AD2755" s="165">
        <v>2</v>
      </c>
      <c r="AE2755" s="164" t="s">
        <v>187</v>
      </c>
      <c r="AF2755" s="165">
        <v>33.981235294786998</v>
      </c>
      <c r="AG2755" s="166">
        <v>71.562458007460606</v>
      </c>
      <c r="AO2755" s="121"/>
      <c r="AT2755" s="111"/>
      <c r="AX2755" s="121"/>
    </row>
    <row r="2756" spans="1:50" s="110" customFormat="1" ht="20" customHeight="1">
      <c r="A2756" s="125" t="s">
        <v>486</v>
      </c>
      <c r="B2756" s="126" t="s">
        <v>57</v>
      </c>
      <c r="C2756" s="127">
        <v>21048</v>
      </c>
      <c r="D2756" s="163">
        <v>117869</v>
      </c>
      <c r="E2756" s="164" t="s">
        <v>495</v>
      </c>
      <c r="F2756" s="164" t="s">
        <v>496</v>
      </c>
      <c r="G2756" s="165">
        <v>400</v>
      </c>
      <c r="H2756" s="165">
        <v>1</v>
      </c>
      <c r="I2756" s="164" t="s">
        <v>187</v>
      </c>
      <c r="J2756" s="164" t="s">
        <v>198</v>
      </c>
      <c r="K2756" s="164" t="s">
        <v>199</v>
      </c>
      <c r="L2756" s="165">
        <v>5</v>
      </c>
      <c r="M2756" s="165">
        <v>6</v>
      </c>
      <c r="N2756" s="164" t="s">
        <v>189</v>
      </c>
      <c r="O2756" s="165">
        <v>0</v>
      </c>
      <c r="P2756" s="165">
        <v>0</v>
      </c>
      <c r="Q2756" s="165">
        <v>21</v>
      </c>
      <c r="R2756" s="164" t="s">
        <v>200</v>
      </c>
      <c r="S2756" s="164" t="s">
        <v>201</v>
      </c>
      <c r="T2756" s="165">
        <v>472</v>
      </c>
      <c r="U2756" s="164" t="s">
        <v>200</v>
      </c>
      <c r="V2756" s="164" t="s">
        <v>494</v>
      </c>
      <c r="W2756" s="165">
        <v>2</v>
      </c>
      <c r="X2756" s="165">
        <v>4</v>
      </c>
      <c r="Y2756" s="164" t="s">
        <v>203</v>
      </c>
      <c r="Z2756" s="164" t="s">
        <v>195</v>
      </c>
      <c r="AA2756" s="164" t="s">
        <v>196</v>
      </c>
      <c r="AB2756" s="164" t="s">
        <v>187</v>
      </c>
      <c r="AC2756" s="164" t="s">
        <v>187</v>
      </c>
      <c r="AD2756" s="165">
        <v>1</v>
      </c>
      <c r="AE2756" s="164" t="s">
        <v>187</v>
      </c>
      <c r="AF2756" s="165">
        <v>22.42877</v>
      </c>
      <c r="AG2756" s="166">
        <v>89.459789999999998</v>
      </c>
      <c r="AO2756" s="121"/>
      <c r="AT2756" s="111"/>
      <c r="AX2756" s="121"/>
    </row>
    <row r="2757" spans="1:50" s="110" customFormat="1" ht="20" customHeight="1">
      <c r="A2757" s="125" t="s">
        <v>231</v>
      </c>
      <c r="B2757" s="126" t="s">
        <v>66</v>
      </c>
      <c r="C2757" s="127">
        <v>16414</v>
      </c>
      <c r="D2757" s="163">
        <v>111565</v>
      </c>
      <c r="E2757" s="164" t="s">
        <v>491</v>
      </c>
      <c r="F2757" s="164" t="s">
        <v>491</v>
      </c>
      <c r="G2757" s="165">
        <v>457000</v>
      </c>
      <c r="H2757" s="165">
        <v>1</v>
      </c>
      <c r="I2757" s="164" t="s">
        <v>187</v>
      </c>
      <c r="J2757" s="164" t="s">
        <v>492</v>
      </c>
      <c r="K2757" s="164" t="s">
        <v>493</v>
      </c>
      <c r="L2757" s="165">
        <v>4</v>
      </c>
      <c r="M2757" s="165">
        <v>6</v>
      </c>
      <c r="N2757" s="164" t="s">
        <v>189</v>
      </c>
      <c r="O2757" s="165">
        <v>1.1439999999999999</v>
      </c>
      <c r="P2757" s="168"/>
      <c r="Q2757" s="165">
        <v>21</v>
      </c>
      <c r="R2757" s="164" t="s">
        <v>200</v>
      </c>
      <c r="S2757" s="164" t="s">
        <v>201</v>
      </c>
      <c r="T2757" s="165">
        <v>472</v>
      </c>
      <c r="U2757" s="164" t="s">
        <v>200</v>
      </c>
      <c r="V2757" s="164" t="s">
        <v>494</v>
      </c>
      <c r="W2757" s="165">
        <v>2</v>
      </c>
      <c r="X2757" s="165">
        <v>4</v>
      </c>
      <c r="Y2757" s="164" t="s">
        <v>203</v>
      </c>
      <c r="Z2757" s="164" t="s">
        <v>195</v>
      </c>
      <c r="AA2757" s="164" t="s">
        <v>196</v>
      </c>
      <c r="AB2757" s="164" t="s">
        <v>187</v>
      </c>
      <c r="AC2757" s="164" t="s">
        <v>187</v>
      </c>
      <c r="AD2757" s="165">
        <v>9</v>
      </c>
      <c r="AE2757" s="164" t="s">
        <v>209</v>
      </c>
      <c r="AF2757" s="165">
        <v>26.040897697370799</v>
      </c>
      <c r="AG2757" s="166">
        <v>68.946658609307306</v>
      </c>
      <c r="AO2757" s="121"/>
      <c r="AT2757" s="111"/>
      <c r="AX2757" s="121"/>
    </row>
    <row r="2758" spans="1:50" s="110" customFormat="1" ht="20" customHeight="1">
      <c r="A2758" s="125" t="s">
        <v>486</v>
      </c>
      <c r="B2758" s="126" t="s">
        <v>57</v>
      </c>
      <c r="C2758" s="127">
        <v>17489</v>
      </c>
      <c r="D2758" s="163">
        <v>112902</v>
      </c>
      <c r="E2758" s="164" t="s">
        <v>451</v>
      </c>
      <c r="F2758" s="164" t="s">
        <v>451</v>
      </c>
      <c r="G2758" s="165">
        <v>24000</v>
      </c>
      <c r="H2758" s="165">
        <v>1</v>
      </c>
      <c r="I2758" s="164" t="s">
        <v>187</v>
      </c>
      <c r="J2758" s="164" t="s">
        <v>198</v>
      </c>
      <c r="K2758" s="164" t="s">
        <v>199</v>
      </c>
      <c r="L2758" s="165">
        <v>5</v>
      </c>
      <c r="M2758" s="165">
        <v>6</v>
      </c>
      <c r="N2758" s="164" t="s">
        <v>189</v>
      </c>
      <c r="O2758" s="165">
        <v>0</v>
      </c>
      <c r="P2758" s="165">
        <v>0</v>
      </c>
      <c r="Q2758" s="165">
        <v>21</v>
      </c>
      <c r="R2758" s="164" t="s">
        <v>200</v>
      </c>
      <c r="S2758" s="164" t="s">
        <v>201</v>
      </c>
      <c r="T2758" s="165">
        <v>475</v>
      </c>
      <c r="U2758" s="164" t="s">
        <v>200</v>
      </c>
      <c r="V2758" s="164" t="s">
        <v>392</v>
      </c>
      <c r="W2758" s="165">
        <v>4</v>
      </c>
      <c r="X2758" s="165">
        <v>4</v>
      </c>
      <c r="Y2758" s="164" t="s">
        <v>203</v>
      </c>
      <c r="Z2758" s="164" t="s">
        <v>195</v>
      </c>
      <c r="AA2758" s="164" t="s">
        <v>196</v>
      </c>
      <c r="AB2758" s="164" t="s">
        <v>187</v>
      </c>
      <c r="AC2758" s="164" t="s">
        <v>187</v>
      </c>
      <c r="AD2758" s="165">
        <v>1</v>
      </c>
      <c r="AE2758" s="164" t="s">
        <v>187</v>
      </c>
      <c r="AF2758" s="165">
        <v>23.068296793755199</v>
      </c>
      <c r="AG2758" s="166">
        <v>89.919708959143904</v>
      </c>
      <c r="AO2758" s="121"/>
      <c r="AT2758" s="111"/>
      <c r="AX2758" s="121"/>
    </row>
    <row r="2759" spans="1:50" s="110" customFormat="1" ht="20" customHeight="1">
      <c r="A2759" s="125" t="s">
        <v>237</v>
      </c>
      <c r="B2759" s="126" t="s">
        <v>60</v>
      </c>
      <c r="C2759" s="127">
        <v>17433</v>
      </c>
      <c r="D2759" s="128">
        <v>112836</v>
      </c>
      <c r="E2759" s="129" t="s">
        <v>1083</v>
      </c>
      <c r="F2759" s="129" t="s">
        <v>1084</v>
      </c>
      <c r="G2759" s="130">
        <v>344000</v>
      </c>
      <c r="H2759" s="130">
        <v>5</v>
      </c>
      <c r="I2759" s="129" t="s">
        <v>209</v>
      </c>
      <c r="J2759" s="129" t="s">
        <v>210</v>
      </c>
      <c r="K2759" s="129" t="s">
        <v>211</v>
      </c>
      <c r="L2759" s="130">
        <v>5</v>
      </c>
      <c r="M2759" s="130">
        <v>6</v>
      </c>
      <c r="N2759" s="129" t="s">
        <v>189</v>
      </c>
      <c r="O2759" s="130">
        <v>23</v>
      </c>
      <c r="P2759" s="130">
        <v>12</v>
      </c>
      <c r="Q2759" s="130">
        <v>21</v>
      </c>
      <c r="R2759" s="129" t="s">
        <v>200</v>
      </c>
      <c r="S2759" s="129" t="s">
        <v>201</v>
      </c>
      <c r="T2759" s="130">
        <v>475</v>
      </c>
      <c r="U2759" s="129" t="s">
        <v>200</v>
      </c>
      <c r="V2759" s="129" t="s">
        <v>392</v>
      </c>
      <c r="W2759" s="130">
        <v>12</v>
      </c>
      <c r="X2759" s="130">
        <v>2</v>
      </c>
      <c r="Y2759" s="129" t="s">
        <v>194</v>
      </c>
      <c r="Z2759" s="129" t="s">
        <v>195</v>
      </c>
      <c r="AA2759" s="129" t="s">
        <v>196</v>
      </c>
      <c r="AB2759" s="129" t="s">
        <v>187</v>
      </c>
      <c r="AC2759" s="129" t="s">
        <v>209</v>
      </c>
      <c r="AD2759" s="131"/>
      <c r="AE2759" s="129" t="s">
        <v>209</v>
      </c>
      <c r="AF2759" s="130">
        <v>3.18833361760238</v>
      </c>
      <c r="AG2759" s="132">
        <v>101.691094511203</v>
      </c>
      <c r="AO2759" s="121"/>
      <c r="AT2759" s="111"/>
      <c r="AX2759" s="121"/>
    </row>
    <row r="2760" spans="1:50" s="110" customFormat="1" ht="20" customHeight="1">
      <c r="A2760" s="125" t="s">
        <v>231</v>
      </c>
      <c r="B2760" s="126" t="s">
        <v>66</v>
      </c>
      <c r="C2760" s="127">
        <v>16879</v>
      </c>
      <c r="D2760" s="163">
        <v>112161</v>
      </c>
      <c r="E2760" s="164" t="s">
        <v>721</v>
      </c>
      <c r="F2760" s="164" t="s">
        <v>721</v>
      </c>
      <c r="G2760" s="165">
        <v>2328000</v>
      </c>
      <c r="H2760" s="165">
        <v>1</v>
      </c>
      <c r="I2760" s="164" t="s">
        <v>187</v>
      </c>
      <c r="J2760" s="164" t="s">
        <v>650</v>
      </c>
      <c r="K2760" s="164" t="s">
        <v>651</v>
      </c>
      <c r="L2760" s="165">
        <v>3</v>
      </c>
      <c r="M2760" s="165">
        <v>6</v>
      </c>
      <c r="N2760" s="164" t="s">
        <v>189</v>
      </c>
      <c r="O2760" s="165">
        <v>1E-3</v>
      </c>
      <c r="P2760" s="168"/>
      <c r="Q2760" s="165">
        <v>21</v>
      </c>
      <c r="R2760" s="164" t="s">
        <v>200</v>
      </c>
      <c r="S2760" s="164" t="s">
        <v>201</v>
      </c>
      <c r="T2760" s="165">
        <v>475</v>
      </c>
      <c r="U2760" s="164" t="s">
        <v>200</v>
      </c>
      <c r="V2760" s="164" t="s">
        <v>392</v>
      </c>
      <c r="W2760" s="165">
        <v>2</v>
      </c>
      <c r="X2760" s="165">
        <v>4</v>
      </c>
      <c r="Y2760" s="164" t="s">
        <v>203</v>
      </c>
      <c r="Z2760" s="164" t="s">
        <v>195</v>
      </c>
      <c r="AA2760" s="164" t="s">
        <v>196</v>
      </c>
      <c r="AB2760" s="164" t="s">
        <v>187</v>
      </c>
      <c r="AC2760" s="164" t="s">
        <v>187</v>
      </c>
      <c r="AD2760" s="165">
        <v>47</v>
      </c>
      <c r="AE2760" s="164" t="s">
        <v>187</v>
      </c>
      <c r="AF2760" s="165">
        <v>34.3676699998706</v>
      </c>
      <c r="AG2760" s="166">
        <v>73.508840000065902</v>
      </c>
      <c r="AO2760" s="121"/>
      <c r="AT2760" s="111"/>
      <c r="AX2760" s="121"/>
    </row>
    <row r="2761" spans="1:50" s="110" customFormat="1" ht="20" customHeight="1">
      <c r="A2761" s="125" t="s">
        <v>231</v>
      </c>
      <c r="B2761" s="126" t="s">
        <v>66</v>
      </c>
      <c r="C2761" s="127">
        <v>16770</v>
      </c>
      <c r="D2761" s="163">
        <v>112023</v>
      </c>
      <c r="E2761" s="164" t="s">
        <v>689</v>
      </c>
      <c r="F2761" s="164" t="s">
        <v>689</v>
      </c>
      <c r="G2761" s="165">
        <v>47000</v>
      </c>
      <c r="H2761" s="165">
        <v>1</v>
      </c>
      <c r="I2761" s="164" t="s">
        <v>187</v>
      </c>
      <c r="J2761" s="164" t="s">
        <v>222</v>
      </c>
      <c r="K2761" s="164" t="s">
        <v>223</v>
      </c>
      <c r="L2761" s="165">
        <v>4</v>
      </c>
      <c r="M2761" s="165">
        <v>6</v>
      </c>
      <c r="N2761" s="164" t="s">
        <v>189</v>
      </c>
      <c r="O2761" s="165">
        <v>0</v>
      </c>
      <c r="P2761" s="165">
        <v>0</v>
      </c>
      <c r="Q2761" s="165">
        <v>21</v>
      </c>
      <c r="R2761" s="164" t="s">
        <v>200</v>
      </c>
      <c r="S2761" s="164" t="s">
        <v>201</v>
      </c>
      <c r="T2761" s="165">
        <v>475</v>
      </c>
      <c r="U2761" s="164" t="s">
        <v>200</v>
      </c>
      <c r="V2761" s="164" t="s">
        <v>392</v>
      </c>
      <c r="W2761" s="165">
        <v>3</v>
      </c>
      <c r="X2761" s="165">
        <v>4</v>
      </c>
      <c r="Y2761" s="164" t="s">
        <v>203</v>
      </c>
      <c r="Z2761" s="164" t="s">
        <v>195</v>
      </c>
      <c r="AA2761" s="164" t="s">
        <v>196</v>
      </c>
      <c r="AB2761" s="164" t="s">
        <v>187</v>
      </c>
      <c r="AC2761" s="164" t="s">
        <v>187</v>
      </c>
      <c r="AD2761" s="165">
        <v>1</v>
      </c>
      <c r="AE2761" s="164" t="s">
        <v>187</v>
      </c>
      <c r="AF2761" s="165">
        <v>35.370186593900002</v>
      </c>
      <c r="AG2761" s="166">
        <v>74.466384574900005</v>
      </c>
      <c r="AO2761" s="121"/>
      <c r="AT2761" s="111"/>
      <c r="AX2761" s="121"/>
    </row>
    <row r="2762" spans="1:50" s="110" customFormat="1" ht="20" customHeight="1">
      <c r="A2762" s="125" t="s">
        <v>231</v>
      </c>
      <c r="B2762" s="126" t="s">
        <v>66</v>
      </c>
      <c r="C2762" s="127">
        <v>16313</v>
      </c>
      <c r="D2762" s="163">
        <v>111443</v>
      </c>
      <c r="E2762" s="164" t="s">
        <v>294</v>
      </c>
      <c r="F2762" s="164" t="s">
        <v>294</v>
      </c>
      <c r="G2762" s="165">
        <v>44000</v>
      </c>
      <c r="H2762" s="165">
        <v>1</v>
      </c>
      <c r="I2762" s="164" t="s">
        <v>187</v>
      </c>
      <c r="J2762" s="164" t="s">
        <v>293</v>
      </c>
      <c r="K2762" s="164" t="s">
        <v>294</v>
      </c>
      <c r="L2762" s="165">
        <v>3</v>
      </c>
      <c r="M2762" s="165">
        <v>6</v>
      </c>
      <c r="N2762" s="164" t="s">
        <v>189</v>
      </c>
      <c r="O2762" s="165">
        <v>0</v>
      </c>
      <c r="P2762" s="165">
        <v>0</v>
      </c>
      <c r="Q2762" s="165">
        <v>21</v>
      </c>
      <c r="R2762" s="164" t="s">
        <v>200</v>
      </c>
      <c r="S2762" s="164" t="s">
        <v>201</v>
      </c>
      <c r="T2762" s="165">
        <v>475</v>
      </c>
      <c r="U2762" s="164" t="s">
        <v>200</v>
      </c>
      <c r="V2762" s="164" t="s">
        <v>392</v>
      </c>
      <c r="W2762" s="165">
        <v>2</v>
      </c>
      <c r="X2762" s="165">
        <v>4</v>
      </c>
      <c r="Y2762" s="164" t="s">
        <v>203</v>
      </c>
      <c r="Z2762" s="164" t="s">
        <v>195</v>
      </c>
      <c r="AA2762" s="164" t="s">
        <v>196</v>
      </c>
      <c r="AB2762" s="164" t="s">
        <v>187</v>
      </c>
      <c r="AC2762" s="164" t="s">
        <v>187</v>
      </c>
      <c r="AD2762" s="165">
        <v>1</v>
      </c>
      <c r="AE2762" s="164" t="s">
        <v>187</v>
      </c>
      <c r="AF2762" s="165">
        <v>35.150060000068898</v>
      </c>
      <c r="AG2762" s="166">
        <v>76.014029999684695</v>
      </c>
      <c r="AO2762" s="121"/>
      <c r="AT2762" s="111"/>
      <c r="AX2762" s="121"/>
    </row>
    <row r="2763" spans="1:50" s="110" customFormat="1" ht="20" customHeight="1">
      <c r="A2763" s="125" t="s">
        <v>231</v>
      </c>
      <c r="B2763" s="126" t="s">
        <v>66</v>
      </c>
      <c r="C2763" s="127">
        <v>16710</v>
      </c>
      <c r="D2763" s="163">
        <v>111945</v>
      </c>
      <c r="E2763" s="164" t="s">
        <v>644</v>
      </c>
      <c r="F2763" s="164" t="s">
        <v>644</v>
      </c>
      <c r="G2763" s="165">
        <v>6800</v>
      </c>
      <c r="H2763" s="165">
        <v>1</v>
      </c>
      <c r="I2763" s="164" t="s">
        <v>187</v>
      </c>
      <c r="J2763" s="164" t="s">
        <v>219</v>
      </c>
      <c r="K2763" s="164" t="s">
        <v>220</v>
      </c>
      <c r="L2763" s="165">
        <v>5</v>
      </c>
      <c r="M2763" s="165">
        <v>6</v>
      </c>
      <c r="N2763" s="164" t="s">
        <v>189</v>
      </c>
      <c r="O2763" s="165">
        <v>0</v>
      </c>
      <c r="P2763" s="165">
        <v>0</v>
      </c>
      <c r="Q2763" s="165">
        <v>21</v>
      </c>
      <c r="R2763" s="164" t="s">
        <v>200</v>
      </c>
      <c r="S2763" s="164" t="s">
        <v>201</v>
      </c>
      <c r="T2763" s="165">
        <v>475</v>
      </c>
      <c r="U2763" s="164" t="s">
        <v>200</v>
      </c>
      <c r="V2763" s="164" t="s">
        <v>392</v>
      </c>
      <c r="W2763" s="165">
        <v>2</v>
      </c>
      <c r="X2763" s="165">
        <v>4</v>
      </c>
      <c r="Y2763" s="164" t="s">
        <v>203</v>
      </c>
      <c r="Z2763" s="164" t="s">
        <v>195</v>
      </c>
      <c r="AA2763" s="164" t="s">
        <v>196</v>
      </c>
      <c r="AB2763" s="164" t="s">
        <v>187</v>
      </c>
      <c r="AC2763" s="164" t="s">
        <v>187</v>
      </c>
      <c r="AD2763" s="165">
        <v>1</v>
      </c>
      <c r="AE2763" s="164" t="s">
        <v>187</v>
      </c>
      <c r="AF2763" s="165">
        <v>27.6130544516238</v>
      </c>
      <c r="AG2763" s="166">
        <v>67.808390713034299</v>
      </c>
      <c r="AO2763" s="121"/>
      <c r="AT2763" s="111"/>
      <c r="AX2763" s="121"/>
    </row>
    <row r="2764" spans="1:50" s="110" customFormat="1" ht="20" customHeight="1">
      <c r="A2764" s="125" t="s">
        <v>231</v>
      </c>
      <c r="B2764" s="126" t="s">
        <v>66</v>
      </c>
      <c r="C2764" s="127">
        <v>17493</v>
      </c>
      <c r="D2764" s="163">
        <v>112908</v>
      </c>
      <c r="E2764" s="164" t="s">
        <v>504</v>
      </c>
      <c r="F2764" s="164" t="s">
        <v>504</v>
      </c>
      <c r="G2764" s="165">
        <v>1100</v>
      </c>
      <c r="H2764" s="165">
        <v>1</v>
      </c>
      <c r="I2764" s="164" t="s">
        <v>187</v>
      </c>
      <c r="J2764" s="164" t="s">
        <v>219</v>
      </c>
      <c r="K2764" s="164" t="s">
        <v>220</v>
      </c>
      <c r="L2764" s="165">
        <v>5</v>
      </c>
      <c r="M2764" s="165">
        <v>6</v>
      </c>
      <c r="N2764" s="164" t="s">
        <v>189</v>
      </c>
      <c r="O2764" s="165">
        <v>0</v>
      </c>
      <c r="P2764" s="165">
        <v>0</v>
      </c>
      <c r="Q2764" s="165">
        <v>21</v>
      </c>
      <c r="R2764" s="164" t="s">
        <v>200</v>
      </c>
      <c r="S2764" s="164" t="s">
        <v>201</v>
      </c>
      <c r="T2764" s="165">
        <v>475</v>
      </c>
      <c r="U2764" s="164" t="s">
        <v>200</v>
      </c>
      <c r="V2764" s="164" t="s">
        <v>392</v>
      </c>
      <c r="W2764" s="165">
        <v>2</v>
      </c>
      <c r="X2764" s="165">
        <v>4</v>
      </c>
      <c r="Y2764" s="164" t="s">
        <v>203</v>
      </c>
      <c r="Z2764" s="164" t="s">
        <v>195</v>
      </c>
      <c r="AA2764" s="164" t="s">
        <v>196</v>
      </c>
      <c r="AB2764" s="164" t="s">
        <v>187</v>
      </c>
      <c r="AC2764" s="164" t="s">
        <v>187</v>
      </c>
      <c r="AD2764" s="165">
        <v>1</v>
      </c>
      <c r="AE2764" s="164" t="s">
        <v>187</v>
      </c>
      <c r="AF2764" s="165">
        <v>25.4980687658785</v>
      </c>
      <c r="AG2764" s="166">
        <v>68.511069193708295</v>
      </c>
      <c r="AO2764" s="121"/>
      <c r="AT2764" s="111"/>
      <c r="AX2764" s="121"/>
    </row>
    <row r="2765" spans="1:50" s="110" customFormat="1" ht="20" customHeight="1">
      <c r="A2765" s="125" t="s">
        <v>231</v>
      </c>
      <c r="B2765" s="126" t="s">
        <v>66</v>
      </c>
      <c r="C2765" s="127">
        <v>17500</v>
      </c>
      <c r="D2765" s="163">
        <v>112916</v>
      </c>
      <c r="E2765" s="164" t="s">
        <v>580</v>
      </c>
      <c r="F2765" s="164" t="s">
        <v>580</v>
      </c>
      <c r="G2765" s="165">
        <v>900</v>
      </c>
      <c r="H2765" s="165">
        <v>1</v>
      </c>
      <c r="I2765" s="164" t="s">
        <v>187</v>
      </c>
      <c r="J2765" s="164" t="s">
        <v>219</v>
      </c>
      <c r="K2765" s="164" t="s">
        <v>220</v>
      </c>
      <c r="L2765" s="165">
        <v>5</v>
      </c>
      <c r="M2765" s="165">
        <v>6</v>
      </c>
      <c r="N2765" s="164" t="s">
        <v>189</v>
      </c>
      <c r="O2765" s="165">
        <v>0</v>
      </c>
      <c r="P2765" s="165">
        <v>0</v>
      </c>
      <c r="Q2765" s="165">
        <v>21</v>
      </c>
      <c r="R2765" s="164" t="s">
        <v>200</v>
      </c>
      <c r="S2765" s="164" t="s">
        <v>201</v>
      </c>
      <c r="T2765" s="165">
        <v>475</v>
      </c>
      <c r="U2765" s="164" t="s">
        <v>200</v>
      </c>
      <c r="V2765" s="164" t="s">
        <v>392</v>
      </c>
      <c r="W2765" s="165">
        <v>1</v>
      </c>
      <c r="X2765" s="165">
        <v>4</v>
      </c>
      <c r="Y2765" s="164" t="s">
        <v>203</v>
      </c>
      <c r="Z2765" s="164" t="s">
        <v>195</v>
      </c>
      <c r="AA2765" s="164" t="s">
        <v>196</v>
      </c>
      <c r="AB2765" s="164" t="s">
        <v>187</v>
      </c>
      <c r="AC2765" s="164" t="s">
        <v>187</v>
      </c>
      <c r="AD2765" s="165">
        <v>1</v>
      </c>
      <c r="AE2765" s="164" t="s">
        <v>187</v>
      </c>
      <c r="AF2765" s="165">
        <v>27.6126633108004</v>
      </c>
      <c r="AG2765" s="166">
        <v>67.804614870279906</v>
      </c>
      <c r="AO2765" s="121"/>
      <c r="AT2765" s="111"/>
      <c r="AX2765" s="121"/>
    </row>
    <row r="2766" spans="1:50" s="110" customFormat="1" ht="20" customHeight="1">
      <c r="A2766" s="125" t="s">
        <v>231</v>
      </c>
      <c r="B2766" s="126" t="s">
        <v>66</v>
      </c>
      <c r="C2766" s="127">
        <v>17489</v>
      </c>
      <c r="D2766" s="163">
        <v>112902</v>
      </c>
      <c r="E2766" s="164" t="s">
        <v>451</v>
      </c>
      <c r="F2766" s="164" t="s">
        <v>451</v>
      </c>
      <c r="G2766" s="165">
        <v>600</v>
      </c>
      <c r="H2766" s="165">
        <v>1</v>
      </c>
      <c r="I2766" s="164" t="s">
        <v>187</v>
      </c>
      <c r="J2766" s="164" t="s">
        <v>219</v>
      </c>
      <c r="K2766" s="164" t="s">
        <v>220</v>
      </c>
      <c r="L2766" s="165">
        <v>5</v>
      </c>
      <c r="M2766" s="165">
        <v>6</v>
      </c>
      <c r="N2766" s="164" t="s">
        <v>189</v>
      </c>
      <c r="O2766" s="165">
        <v>0</v>
      </c>
      <c r="P2766" s="165">
        <v>0</v>
      </c>
      <c r="Q2766" s="165">
        <v>21</v>
      </c>
      <c r="R2766" s="164" t="s">
        <v>200</v>
      </c>
      <c r="S2766" s="164" t="s">
        <v>201</v>
      </c>
      <c r="T2766" s="165">
        <v>475</v>
      </c>
      <c r="U2766" s="164" t="s">
        <v>200</v>
      </c>
      <c r="V2766" s="164" t="s">
        <v>392</v>
      </c>
      <c r="W2766" s="165">
        <v>4</v>
      </c>
      <c r="X2766" s="165">
        <v>4</v>
      </c>
      <c r="Y2766" s="164" t="s">
        <v>203</v>
      </c>
      <c r="Z2766" s="164" t="s">
        <v>195</v>
      </c>
      <c r="AA2766" s="164" t="s">
        <v>196</v>
      </c>
      <c r="AB2766" s="164" t="s">
        <v>187</v>
      </c>
      <c r="AC2766" s="164" t="s">
        <v>187</v>
      </c>
      <c r="AD2766" s="165">
        <v>1</v>
      </c>
      <c r="AE2766" s="164" t="s">
        <v>187</v>
      </c>
      <c r="AF2766" s="165">
        <v>26.872741953908999</v>
      </c>
      <c r="AG2766" s="166">
        <v>69.062105004124106</v>
      </c>
      <c r="AO2766" s="121"/>
      <c r="AT2766" s="111"/>
      <c r="AX2766" s="121"/>
    </row>
    <row r="2767" spans="1:50" s="110" customFormat="1" ht="20" customHeight="1">
      <c r="A2767" s="125" t="s">
        <v>185</v>
      </c>
      <c r="B2767" s="126" t="s">
        <v>59</v>
      </c>
      <c r="C2767" s="127">
        <v>15121</v>
      </c>
      <c r="D2767" s="163">
        <v>109604</v>
      </c>
      <c r="E2767" s="164" t="s">
        <v>415</v>
      </c>
      <c r="F2767" s="164" t="s">
        <v>415</v>
      </c>
      <c r="G2767" s="165">
        <v>37540000</v>
      </c>
      <c r="H2767" s="165">
        <v>1</v>
      </c>
      <c r="I2767" s="164" t="s">
        <v>187</v>
      </c>
      <c r="J2767" s="164" t="s">
        <v>414</v>
      </c>
      <c r="K2767" s="164" t="s">
        <v>415</v>
      </c>
      <c r="L2767" s="165">
        <v>5</v>
      </c>
      <c r="M2767" s="165">
        <v>6</v>
      </c>
      <c r="N2767" s="164" t="s">
        <v>189</v>
      </c>
      <c r="O2767" s="165">
        <v>0.49</v>
      </c>
      <c r="P2767" s="165">
        <v>5.0999999999999997E-2</v>
      </c>
      <c r="Q2767" s="165">
        <v>17</v>
      </c>
      <c r="R2767" s="164" t="s">
        <v>190</v>
      </c>
      <c r="S2767" s="164" t="s">
        <v>191</v>
      </c>
      <c r="T2767" s="165">
        <v>293</v>
      </c>
      <c r="U2767" s="164" t="s">
        <v>315</v>
      </c>
      <c r="V2767" s="164" t="s">
        <v>316</v>
      </c>
      <c r="W2767" s="165">
        <v>1</v>
      </c>
      <c r="X2767" s="165">
        <v>2</v>
      </c>
      <c r="Y2767" s="164" t="s">
        <v>194</v>
      </c>
      <c r="Z2767" s="164" t="s">
        <v>195</v>
      </c>
      <c r="AA2767" s="164" t="s">
        <v>196</v>
      </c>
      <c r="AB2767" s="164" t="s">
        <v>187</v>
      </c>
      <c r="AC2767" s="164" t="s">
        <v>187</v>
      </c>
      <c r="AD2767" s="165">
        <v>751</v>
      </c>
      <c r="AE2767" s="164" t="s">
        <v>209</v>
      </c>
      <c r="AF2767" s="165">
        <v>-6.9110978485868504</v>
      </c>
      <c r="AG2767" s="166">
        <v>107.605858416733</v>
      </c>
      <c r="AO2767" s="121"/>
      <c r="AT2767" s="111"/>
      <c r="AX2767" s="121"/>
    </row>
    <row r="2768" spans="1:50" s="110" customFormat="1" ht="20" customHeight="1">
      <c r="A2768" s="125" t="s">
        <v>185</v>
      </c>
      <c r="B2768" s="126" t="s">
        <v>59</v>
      </c>
      <c r="C2768" s="127">
        <v>10815</v>
      </c>
      <c r="D2768" s="163">
        <v>101296</v>
      </c>
      <c r="E2768" s="164" t="s">
        <v>481</v>
      </c>
      <c r="F2768" s="164" t="s">
        <v>481</v>
      </c>
      <c r="G2768" s="165">
        <v>5606000</v>
      </c>
      <c r="H2768" s="165">
        <v>1</v>
      </c>
      <c r="I2768" s="164" t="s">
        <v>187</v>
      </c>
      <c r="J2768" s="164" t="s">
        <v>482</v>
      </c>
      <c r="K2768" s="164" t="s">
        <v>481</v>
      </c>
      <c r="L2768" s="165">
        <v>3</v>
      </c>
      <c r="M2768" s="165">
        <v>6</v>
      </c>
      <c r="N2768" s="164" t="s">
        <v>189</v>
      </c>
      <c r="O2768" s="165">
        <v>2.23</v>
      </c>
      <c r="P2768" s="165">
        <v>1E-3</v>
      </c>
      <c r="Q2768" s="165">
        <v>17</v>
      </c>
      <c r="R2768" s="164" t="s">
        <v>190</v>
      </c>
      <c r="S2768" s="164" t="s">
        <v>191</v>
      </c>
      <c r="T2768" s="165">
        <v>293</v>
      </c>
      <c r="U2768" s="164" t="s">
        <v>315</v>
      </c>
      <c r="V2768" s="164" t="s">
        <v>316</v>
      </c>
      <c r="W2768" s="165">
        <v>1</v>
      </c>
      <c r="X2768" s="165">
        <v>2</v>
      </c>
      <c r="Y2768" s="164" t="s">
        <v>194</v>
      </c>
      <c r="Z2768" s="164" t="s">
        <v>195</v>
      </c>
      <c r="AA2768" s="164" t="s">
        <v>196</v>
      </c>
      <c r="AB2768" s="164" t="s">
        <v>187</v>
      </c>
      <c r="AC2768" s="164" t="s">
        <v>187</v>
      </c>
      <c r="AD2768" s="165">
        <v>112</v>
      </c>
      <c r="AE2768" s="164" t="s">
        <v>209</v>
      </c>
      <c r="AF2768" s="165">
        <v>-6.2169400000000001</v>
      </c>
      <c r="AG2768" s="166">
        <v>106.95099999999999</v>
      </c>
      <c r="AO2768" s="121"/>
      <c r="AT2768" s="111"/>
      <c r="AX2768" s="121"/>
    </row>
    <row r="2769" spans="1:50" s="110" customFormat="1" ht="20" customHeight="1">
      <c r="A2769" s="125" t="s">
        <v>185</v>
      </c>
      <c r="B2769" s="126" t="s">
        <v>59</v>
      </c>
      <c r="C2769" s="127">
        <v>21464</v>
      </c>
      <c r="D2769" s="163">
        <v>116472</v>
      </c>
      <c r="E2769" s="164" t="s">
        <v>413</v>
      </c>
      <c r="F2769" s="164" t="s">
        <v>413</v>
      </c>
      <c r="G2769" s="165">
        <v>3160000</v>
      </c>
      <c r="H2769" s="165">
        <v>1</v>
      </c>
      <c r="I2769" s="164" t="s">
        <v>187</v>
      </c>
      <c r="J2769" s="164" t="s">
        <v>414</v>
      </c>
      <c r="K2769" s="164" t="s">
        <v>415</v>
      </c>
      <c r="L2769" s="165">
        <v>5</v>
      </c>
      <c r="M2769" s="165">
        <v>6</v>
      </c>
      <c r="N2769" s="164" t="s">
        <v>189</v>
      </c>
      <c r="O2769" s="165">
        <v>8.1000000000000003E-2</v>
      </c>
      <c r="P2769" s="165">
        <v>8.1000000000000003E-2</v>
      </c>
      <c r="Q2769" s="165">
        <v>17</v>
      </c>
      <c r="R2769" s="164" t="s">
        <v>190</v>
      </c>
      <c r="S2769" s="164" t="s">
        <v>191</v>
      </c>
      <c r="T2769" s="165">
        <v>293</v>
      </c>
      <c r="U2769" s="164" t="s">
        <v>315</v>
      </c>
      <c r="V2769" s="164" t="s">
        <v>316</v>
      </c>
      <c r="W2769" s="165">
        <v>1</v>
      </c>
      <c r="X2769" s="165">
        <v>2</v>
      </c>
      <c r="Y2769" s="164" t="s">
        <v>194</v>
      </c>
      <c r="Z2769" s="164" t="s">
        <v>195</v>
      </c>
      <c r="AA2769" s="164" t="s">
        <v>196</v>
      </c>
      <c r="AB2769" s="164" t="s">
        <v>187</v>
      </c>
      <c r="AC2769" s="164" t="s">
        <v>187</v>
      </c>
      <c r="AD2769" s="165">
        <v>63</v>
      </c>
      <c r="AE2769" s="164" t="s">
        <v>187</v>
      </c>
      <c r="AF2769" s="165">
        <v>-6.1656649999999997</v>
      </c>
      <c r="AG2769" s="166">
        <v>106.335581</v>
      </c>
      <c r="AO2769" s="121"/>
      <c r="AT2769" s="111"/>
      <c r="AX2769" s="121"/>
    </row>
    <row r="2770" spans="1:50" s="110" customFormat="1" ht="20" customHeight="1">
      <c r="A2770" s="125" t="s">
        <v>185</v>
      </c>
      <c r="B2770" s="126" t="s">
        <v>59</v>
      </c>
      <c r="C2770" s="127">
        <v>10549</v>
      </c>
      <c r="D2770" s="163">
        <v>100722</v>
      </c>
      <c r="E2770" s="164" t="s">
        <v>312</v>
      </c>
      <c r="F2770" s="164" t="s">
        <v>312</v>
      </c>
      <c r="G2770" s="165">
        <v>27000</v>
      </c>
      <c r="H2770" s="165">
        <v>1</v>
      </c>
      <c r="I2770" s="164" t="s">
        <v>187</v>
      </c>
      <c r="J2770" s="164" t="s">
        <v>313</v>
      </c>
      <c r="K2770" s="164" t="s">
        <v>314</v>
      </c>
      <c r="L2770" s="165">
        <v>0</v>
      </c>
      <c r="M2770" s="165">
        <v>6</v>
      </c>
      <c r="N2770" s="164" t="s">
        <v>189</v>
      </c>
      <c r="O2770" s="165">
        <v>1.4999999999999999E-2</v>
      </c>
      <c r="P2770" s="165">
        <v>1.4999999999999999E-2</v>
      </c>
      <c r="Q2770" s="165">
        <v>17</v>
      </c>
      <c r="R2770" s="164" t="s">
        <v>190</v>
      </c>
      <c r="S2770" s="164" t="s">
        <v>191</v>
      </c>
      <c r="T2770" s="165">
        <v>293</v>
      </c>
      <c r="U2770" s="164" t="s">
        <v>315</v>
      </c>
      <c r="V2770" s="164" t="s">
        <v>316</v>
      </c>
      <c r="W2770" s="165">
        <v>1</v>
      </c>
      <c r="X2770" s="165">
        <v>2</v>
      </c>
      <c r="Y2770" s="164" t="s">
        <v>194</v>
      </c>
      <c r="Z2770" s="164" t="s">
        <v>195</v>
      </c>
      <c r="AA2770" s="164" t="s">
        <v>196</v>
      </c>
      <c r="AB2770" s="164" t="s">
        <v>187</v>
      </c>
      <c r="AC2770" s="164" t="s">
        <v>187</v>
      </c>
      <c r="AD2770" s="165">
        <v>1</v>
      </c>
      <c r="AE2770" s="164" t="s">
        <v>187</v>
      </c>
      <c r="AF2770" s="165">
        <v>-7.2726199999999999</v>
      </c>
      <c r="AG2770" s="166">
        <v>107.76376999999999</v>
      </c>
      <c r="AO2770" s="121"/>
      <c r="AT2770" s="111"/>
      <c r="AX2770" s="121"/>
    </row>
    <row r="2771" spans="1:50" s="110" customFormat="1" ht="20" customHeight="1">
      <c r="A2771" s="125" t="s">
        <v>231</v>
      </c>
      <c r="B2771" s="126" t="s">
        <v>66</v>
      </c>
      <c r="C2771" s="127">
        <v>15201</v>
      </c>
      <c r="D2771" s="163">
        <v>109733</v>
      </c>
      <c r="E2771" s="164" t="s">
        <v>1403</v>
      </c>
      <c r="F2771" s="164" t="s">
        <v>1403</v>
      </c>
      <c r="G2771" s="165">
        <v>904000</v>
      </c>
      <c r="H2771" s="165">
        <v>1</v>
      </c>
      <c r="I2771" s="164" t="s">
        <v>187</v>
      </c>
      <c r="J2771" s="164" t="s">
        <v>1404</v>
      </c>
      <c r="K2771" s="164" t="s">
        <v>1403</v>
      </c>
      <c r="L2771" s="165">
        <v>5</v>
      </c>
      <c r="M2771" s="165">
        <v>6</v>
      </c>
      <c r="N2771" s="164" t="s">
        <v>189</v>
      </c>
      <c r="O2771" s="165">
        <v>0</v>
      </c>
      <c r="P2771" s="165">
        <v>0</v>
      </c>
      <c r="Q2771" s="165">
        <v>14</v>
      </c>
      <c r="R2771" s="164" t="s">
        <v>227</v>
      </c>
      <c r="S2771" s="164" t="s">
        <v>228</v>
      </c>
      <c r="T2771" s="165">
        <v>299</v>
      </c>
      <c r="U2771" s="164" t="s">
        <v>1405</v>
      </c>
      <c r="V2771" s="164" t="s">
        <v>1403</v>
      </c>
      <c r="W2771" s="165">
        <v>20</v>
      </c>
      <c r="X2771" s="165">
        <v>4</v>
      </c>
      <c r="Y2771" s="164" t="s">
        <v>203</v>
      </c>
      <c r="Z2771" s="164" t="s">
        <v>195</v>
      </c>
      <c r="AA2771" s="164" t="s">
        <v>196</v>
      </c>
      <c r="AB2771" s="164" t="s">
        <v>187</v>
      </c>
      <c r="AC2771" s="164" t="s">
        <v>209</v>
      </c>
      <c r="AD2771" s="165">
        <v>18</v>
      </c>
      <c r="AE2771" s="164" t="s">
        <v>187</v>
      </c>
      <c r="AF2771" s="165">
        <v>30.169090000000001</v>
      </c>
      <c r="AG2771" s="166">
        <v>66.741</v>
      </c>
      <c r="AO2771" s="121"/>
      <c r="AT2771" s="111"/>
      <c r="AX2771" s="121"/>
    </row>
    <row r="2772" spans="1:50" s="110" customFormat="1" ht="20" customHeight="1">
      <c r="A2772" s="125" t="s">
        <v>231</v>
      </c>
      <c r="B2772" s="126" t="s">
        <v>66</v>
      </c>
      <c r="C2772" s="127">
        <v>18693</v>
      </c>
      <c r="D2772" s="163">
        <v>103535</v>
      </c>
      <c r="E2772" s="164" t="s">
        <v>1503</v>
      </c>
      <c r="F2772" s="164" t="s">
        <v>1503</v>
      </c>
      <c r="G2772" s="165">
        <v>55000</v>
      </c>
      <c r="H2772" s="165">
        <v>1</v>
      </c>
      <c r="I2772" s="164" t="s">
        <v>187</v>
      </c>
      <c r="J2772" s="164" t="s">
        <v>1504</v>
      </c>
      <c r="K2772" s="164" t="s">
        <v>1503</v>
      </c>
      <c r="L2772" s="165">
        <v>3</v>
      </c>
      <c r="M2772" s="165">
        <v>6</v>
      </c>
      <c r="N2772" s="164" t="s">
        <v>189</v>
      </c>
      <c r="O2772" s="165">
        <v>0</v>
      </c>
      <c r="P2772" s="165">
        <v>0</v>
      </c>
      <c r="Q2772" s="165">
        <v>14</v>
      </c>
      <c r="R2772" s="164" t="s">
        <v>227</v>
      </c>
      <c r="S2772" s="164" t="s">
        <v>228</v>
      </c>
      <c r="T2772" s="165">
        <v>299</v>
      </c>
      <c r="U2772" s="164" t="s">
        <v>1405</v>
      </c>
      <c r="V2772" s="164" t="s">
        <v>1403</v>
      </c>
      <c r="W2772" s="165">
        <v>4</v>
      </c>
      <c r="X2772" s="165">
        <v>4</v>
      </c>
      <c r="Y2772" s="164" t="s">
        <v>203</v>
      </c>
      <c r="Z2772" s="164" t="s">
        <v>195</v>
      </c>
      <c r="AA2772" s="164" t="s">
        <v>196</v>
      </c>
      <c r="AB2772" s="164" t="s">
        <v>187</v>
      </c>
      <c r="AC2772" s="164" t="s">
        <v>187</v>
      </c>
      <c r="AD2772" s="165">
        <v>1</v>
      </c>
      <c r="AE2772" s="164" t="s">
        <v>187</v>
      </c>
      <c r="AF2772" s="165">
        <v>35.919490000000003</v>
      </c>
      <c r="AG2772" s="166">
        <v>74.311695</v>
      </c>
      <c r="AO2772" s="121"/>
      <c r="AT2772" s="111"/>
      <c r="AX2772" s="121"/>
    </row>
    <row r="2773" spans="1:50" s="110" customFormat="1" ht="20" customHeight="1">
      <c r="A2773" s="125" t="s">
        <v>478</v>
      </c>
      <c r="B2773" s="126" t="s">
        <v>56</v>
      </c>
      <c r="C2773" s="127">
        <v>19767</v>
      </c>
      <c r="D2773" s="163">
        <v>115591</v>
      </c>
      <c r="E2773" s="164" t="s">
        <v>1441</v>
      </c>
      <c r="F2773" s="164" t="s">
        <v>1441</v>
      </c>
      <c r="G2773" s="165">
        <v>3896000</v>
      </c>
      <c r="H2773" s="165">
        <v>1</v>
      </c>
      <c r="I2773" s="164" t="s">
        <v>187</v>
      </c>
      <c r="J2773" s="164" t="s">
        <v>1442</v>
      </c>
      <c r="K2773" s="164" t="s">
        <v>1443</v>
      </c>
      <c r="L2773" s="165">
        <v>5</v>
      </c>
      <c r="M2773" s="165">
        <v>6</v>
      </c>
      <c r="N2773" s="164" t="s">
        <v>189</v>
      </c>
      <c r="O2773" s="165">
        <v>0</v>
      </c>
      <c r="P2773" s="165">
        <v>0</v>
      </c>
      <c r="Q2773" s="165">
        <v>20</v>
      </c>
      <c r="R2773" s="164" t="s">
        <v>574</v>
      </c>
      <c r="S2773" s="164" t="s">
        <v>575</v>
      </c>
      <c r="T2773" s="165">
        <v>303</v>
      </c>
      <c r="U2773" s="164" t="s">
        <v>1444</v>
      </c>
      <c r="V2773" s="164" t="s">
        <v>1443</v>
      </c>
      <c r="W2773" s="165">
        <v>1</v>
      </c>
      <c r="X2773" s="165">
        <v>2</v>
      </c>
      <c r="Y2773" s="164" t="s">
        <v>194</v>
      </c>
      <c r="Z2773" s="164" t="s">
        <v>195</v>
      </c>
      <c r="AA2773" s="164" t="s">
        <v>196</v>
      </c>
      <c r="AB2773" s="164" t="s">
        <v>187</v>
      </c>
      <c r="AC2773" s="164" t="s">
        <v>187</v>
      </c>
      <c r="AD2773" s="165">
        <v>78</v>
      </c>
      <c r="AE2773" s="164" t="s">
        <v>187</v>
      </c>
      <c r="AF2773" s="165">
        <v>14.5017287958227</v>
      </c>
      <c r="AG2773" s="166">
        <v>100.767711225756</v>
      </c>
      <c r="AO2773" s="121"/>
      <c r="AT2773" s="111"/>
      <c r="AX2773" s="121"/>
    </row>
    <row r="2774" spans="1:50" s="110" customFormat="1" ht="20" customHeight="1">
      <c r="A2774" s="125" t="s">
        <v>185</v>
      </c>
      <c r="B2774" s="126" t="s">
        <v>59</v>
      </c>
      <c r="C2774" s="127">
        <v>19021</v>
      </c>
      <c r="D2774" s="163">
        <v>114952</v>
      </c>
      <c r="E2774" s="164" t="s">
        <v>393</v>
      </c>
      <c r="F2774" s="164" t="s">
        <v>393</v>
      </c>
      <c r="G2774" s="165">
        <v>4800</v>
      </c>
      <c r="H2774" s="165">
        <v>1</v>
      </c>
      <c r="I2774" s="164" t="s">
        <v>187</v>
      </c>
      <c r="J2774" s="164" t="s">
        <v>394</v>
      </c>
      <c r="K2774" s="164" t="s">
        <v>395</v>
      </c>
      <c r="L2774" s="165">
        <v>0</v>
      </c>
      <c r="M2774" s="165">
        <v>6</v>
      </c>
      <c r="N2774" s="164" t="s">
        <v>189</v>
      </c>
      <c r="O2774" s="165">
        <v>0.5</v>
      </c>
      <c r="P2774" s="165">
        <v>0.1</v>
      </c>
      <c r="Q2774" s="165">
        <v>17</v>
      </c>
      <c r="R2774" s="164" t="s">
        <v>190</v>
      </c>
      <c r="S2774" s="164" t="s">
        <v>191</v>
      </c>
      <c r="T2774" s="165">
        <v>305</v>
      </c>
      <c r="U2774" s="164" t="s">
        <v>396</v>
      </c>
      <c r="V2774" s="164" t="s">
        <v>397</v>
      </c>
      <c r="W2774" s="165">
        <v>1</v>
      </c>
      <c r="X2774" s="165">
        <v>2</v>
      </c>
      <c r="Y2774" s="164" t="s">
        <v>194</v>
      </c>
      <c r="Z2774" s="164" t="s">
        <v>195</v>
      </c>
      <c r="AA2774" s="164" t="s">
        <v>196</v>
      </c>
      <c r="AB2774" s="164" t="s">
        <v>187</v>
      </c>
      <c r="AC2774" s="164" t="s">
        <v>187</v>
      </c>
      <c r="AD2774" s="165">
        <v>1</v>
      </c>
      <c r="AE2774" s="164" t="s">
        <v>209</v>
      </c>
      <c r="AF2774" s="165">
        <v>-5.4473000000000003</v>
      </c>
      <c r="AG2774" s="166">
        <v>133.14021</v>
      </c>
      <c r="AO2774" s="121"/>
      <c r="AT2774" s="111"/>
      <c r="AX2774" s="121"/>
    </row>
    <row r="2775" spans="1:50" s="110" customFormat="1" ht="20" customHeight="1">
      <c r="A2775" s="125" t="s">
        <v>185</v>
      </c>
      <c r="B2775" s="126" t="s">
        <v>59</v>
      </c>
      <c r="C2775" s="127">
        <v>14342</v>
      </c>
      <c r="D2775" s="163">
        <v>107942</v>
      </c>
      <c r="E2775" s="164" t="s">
        <v>1095</v>
      </c>
      <c r="F2775" s="164" t="s">
        <v>1095</v>
      </c>
      <c r="G2775" s="165">
        <v>58000</v>
      </c>
      <c r="H2775" s="165">
        <v>1</v>
      </c>
      <c r="I2775" s="164" t="s">
        <v>187</v>
      </c>
      <c r="J2775" s="164" t="s">
        <v>1096</v>
      </c>
      <c r="K2775" s="164" t="s">
        <v>1097</v>
      </c>
      <c r="L2775" s="165">
        <v>4</v>
      </c>
      <c r="M2775" s="165">
        <v>6</v>
      </c>
      <c r="N2775" s="164" t="s">
        <v>189</v>
      </c>
      <c r="O2775" s="165">
        <v>2</v>
      </c>
      <c r="P2775" s="165">
        <v>0.1</v>
      </c>
      <c r="Q2775" s="165">
        <v>17</v>
      </c>
      <c r="R2775" s="164" t="s">
        <v>190</v>
      </c>
      <c r="S2775" s="164" t="s">
        <v>191</v>
      </c>
      <c r="T2775" s="165">
        <v>306</v>
      </c>
      <c r="U2775" s="164" t="s">
        <v>400</v>
      </c>
      <c r="V2775" s="164" t="s">
        <v>401</v>
      </c>
      <c r="W2775" s="165">
        <v>1</v>
      </c>
      <c r="X2775" s="165">
        <v>2</v>
      </c>
      <c r="Y2775" s="164" t="s">
        <v>194</v>
      </c>
      <c r="Z2775" s="164" t="s">
        <v>195</v>
      </c>
      <c r="AA2775" s="164" t="s">
        <v>196</v>
      </c>
      <c r="AB2775" s="164" t="s">
        <v>187</v>
      </c>
      <c r="AC2775" s="164" t="s">
        <v>187</v>
      </c>
      <c r="AD2775" s="165">
        <v>1</v>
      </c>
      <c r="AE2775" s="164" t="s">
        <v>209</v>
      </c>
      <c r="AF2775" s="165">
        <v>-3.0811000000000002</v>
      </c>
      <c r="AG2775" s="166">
        <v>119.48351</v>
      </c>
      <c r="AO2775" s="121"/>
      <c r="AT2775" s="111"/>
      <c r="AX2775" s="121"/>
    </row>
    <row r="2776" spans="1:50" s="110" customFormat="1" ht="20" customHeight="1">
      <c r="A2776" s="125" t="s">
        <v>185</v>
      </c>
      <c r="B2776" s="126" t="s">
        <v>59</v>
      </c>
      <c r="C2776" s="127">
        <v>19796</v>
      </c>
      <c r="D2776" s="163">
        <v>115046</v>
      </c>
      <c r="E2776" s="164" t="s">
        <v>436</v>
      </c>
      <c r="F2776" s="164" t="s">
        <v>436</v>
      </c>
      <c r="G2776" s="165">
        <v>3500</v>
      </c>
      <c r="H2776" s="165">
        <v>1</v>
      </c>
      <c r="I2776" s="164" t="s">
        <v>187</v>
      </c>
      <c r="J2776" s="164" t="s">
        <v>437</v>
      </c>
      <c r="K2776" s="164" t="s">
        <v>436</v>
      </c>
      <c r="L2776" s="165">
        <v>0</v>
      </c>
      <c r="M2776" s="165">
        <v>6</v>
      </c>
      <c r="N2776" s="164" t="s">
        <v>189</v>
      </c>
      <c r="O2776" s="165">
        <v>0</v>
      </c>
      <c r="P2776" s="165">
        <v>0</v>
      </c>
      <c r="Q2776" s="165">
        <v>17</v>
      </c>
      <c r="R2776" s="164" t="s">
        <v>190</v>
      </c>
      <c r="S2776" s="164" t="s">
        <v>191</v>
      </c>
      <c r="T2776" s="165">
        <v>306</v>
      </c>
      <c r="U2776" s="164" t="s">
        <v>400</v>
      </c>
      <c r="V2776" s="164" t="s">
        <v>401</v>
      </c>
      <c r="W2776" s="165">
        <v>1</v>
      </c>
      <c r="X2776" s="165">
        <v>2</v>
      </c>
      <c r="Y2776" s="164" t="s">
        <v>194</v>
      </c>
      <c r="Z2776" s="164" t="s">
        <v>195</v>
      </c>
      <c r="AA2776" s="164" t="s">
        <v>196</v>
      </c>
      <c r="AB2776" s="164" t="s">
        <v>187</v>
      </c>
      <c r="AC2776" s="164" t="s">
        <v>187</v>
      </c>
      <c r="AD2776" s="165">
        <v>1</v>
      </c>
      <c r="AE2776" s="164" t="s">
        <v>187</v>
      </c>
      <c r="AF2776" s="165">
        <v>-1.26057</v>
      </c>
      <c r="AG2776" s="166">
        <v>122.53569</v>
      </c>
      <c r="AO2776" s="121"/>
      <c r="AT2776" s="111"/>
      <c r="AX2776" s="121"/>
    </row>
    <row r="2777" spans="1:50" s="110" customFormat="1" ht="20" customHeight="1">
      <c r="A2777" s="125" t="s">
        <v>185</v>
      </c>
      <c r="B2777" s="126" t="s">
        <v>59</v>
      </c>
      <c r="C2777" s="127">
        <v>19072</v>
      </c>
      <c r="D2777" s="163">
        <v>101693</v>
      </c>
      <c r="E2777" s="164" t="s">
        <v>546</v>
      </c>
      <c r="F2777" s="164" t="s">
        <v>546</v>
      </c>
      <c r="G2777" s="165">
        <v>100</v>
      </c>
      <c r="H2777" s="165">
        <v>1</v>
      </c>
      <c r="I2777" s="164" t="s">
        <v>187</v>
      </c>
      <c r="J2777" s="164" t="s">
        <v>547</v>
      </c>
      <c r="K2777" s="164" t="s">
        <v>548</v>
      </c>
      <c r="L2777" s="165">
        <v>1</v>
      </c>
      <c r="M2777" s="165">
        <v>6</v>
      </c>
      <c r="N2777" s="164" t="s">
        <v>189</v>
      </c>
      <c r="O2777" s="165">
        <v>2</v>
      </c>
      <c r="P2777" s="165">
        <v>0</v>
      </c>
      <c r="Q2777" s="165">
        <v>17</v>
      </c>
      <c r="R2777" s="164" t="s">
        <v>190</v>
      </c>
      <c r="S2777" s="164" t="s">
        <v>191</v>
      </c>
      <c r="T2777" s="165">
        <v>306</v>
      </c>
      <c r="U2777" s="164" t="s">
        <v>400</v>
      </c>
      <c r="V2777" s="164" t="s">
        <v>401</v>
      </c>
      <c r="W2777" s="165">
        <v>1</v>
      </c>
      <c r="X2777" s="165">
        <v>2</v>
      </c>
      <c r="Y2777" s="164" t="s">
        <v>194</v>
      </c>
      <c r="Z2777" s="164" t="s">
        <v>195</v>
      </c>
      <c r="AA2777" s="164" t="s">
        <v>196</v>
      </c>
      <c r="AB2777" s="164" t="s">
        <v>187</v>
      </c>
      <c r="AC2777" s="164" t="s">
        <v>187</v>
      </c>
      <c r="AD2777" s="165">
        <v>1</v>
      </c>
      <c r="AE2777" s="164" t="s">
        <v>209</v>
      </c>
      <c r="AF2777" s="165">
        <v>-2.0775600000000001</v>
      </c>
      <c r="AG2777" s="166">
        <v>119.32726</v>
      </c>
      <c r="AO2777" s="121"/>
      <c r="AT2777" s="111"/>
      <c r="AX2777" s="121"/>
    </row>
    <row r="2778" spans="1:50" s="110" customFormat="1" ht="20" customHeight="1">
      <c r="A2778" s="125" t="s">
        <v>185</v>
      </c>
      <c r="B2778" s="126" t="s">
        <v>59</v>
      </c>
      <c r="C2778" s="127">
        <v>10649</v>
      </c>
      <c r="D2778" s="157">
        <v>100981</v>
      </c>
      <c r="E2778" s="158" t="s">
        <v>398</v>
      </c>
      <c r="F2778" s="158" t="s">
        <v>398</v>
      </c>
      <c r="G2778" s="159">
        <v>172000</v>
      </c>
      <c r="H2778" s="159">
        <v>2</v>
      </c>
      <c r="I2778" s="158" t="s">
        <v>209</v>
      </c>
      <c r="J2778" s="158" t="s">
        <v>399</v>
      </c>
      <c r="K2778" s="158" t="s">
        <v>398</v>
      </c>
      <c r="L2778" s="159">
        <v>5</v>
      </c>
      <c r="M2778" s="159">
        <v>6</v>
      </c>
      <c r="N2778" s="158" t="s">
        <v>189</v>
      </c>
      <c r="O2778" s="159">
        <v>40</v>
      </c>
      <c r="P2778" s="159">
        <v>0.06</v>
      </c>
      <c r="Q2778" s="159">
        <v>17</v>
      </c>
      <c r="R2778" s="158" t="s">
        <v>190</v>
      </c>
      <c r="S2778" s="158" t="s">
        <v>191</v>
      </c>
      <c r="T2778" s="159">
        <v>306</v>
      </c>
      <c r="U2778" s="158" t="s">
        <v>400</v>
      </c>
      <c r="V2778" s="158" t="s">
        <v>401</v>
      </c>
      <c r="W2778" s="159">
        <v>1</v>
      </c>
      <c r="X2778" s="159">
        <v>2</v>
      </c>
      <c r="Y2778" s="158" t="s">
        <v>194</v>
      </c>
      <c r="Z2778" s="158" t="s">
        <v>195</v>
      </c>
      <c r="AA2778" s="158" t="s">
        <v>196</v>
      </c>
      <c r="AB2778" s="158" t="s">
        <v>187</v>
      </c>
      <c r="AC2778" s="158" t="s">
        <v>187</v>
      </c>
      <c r="AD2778" s="160"/>
      <c r="AE2778" s="158" t="s">
        <v>209</v>
      </c>
      <c r="AF2778" s="159">
        <v>-1.4560500000000001</v>
      </c>
      <c r="AG2778" s="161">
        <v>123.22145999999999</v>
      </c>
      <c r="AO2778" s="121"/>
      <c r="AT2778" s="111"/>
      <c r="AX2778" s="121"/>
    </row>
    <row r="2779" spans="1:50" s="110" customFormat="1" ht="20" customHeight="1">
      <c r="A2779" s="125" t="s">
        <v>185</v>
      </c>
      <c r="B2779" s="126" t="s">
        <v>59</v>
      </c>
      <c r="C2779" s="127">
        <v>13010</v>
      </c>
      <c r="D2779" s="145">
        <v>105678</v>
      </c>
      <c r="E2779" s="146" t="s">
        <v>989</v>
      </c>
      <c r="F2779" s="146" t="s">
        <v>989</v>
      </c>
      <c r="G2779" s="147">
        <v>58000</v>
      </c>
      <c r="H2779" s="147">
        <v>4</v>
      </c>
      <c r="I2779" s="146" t="s">
        <v>209</v>
      </c>
      <c r="J2779" s="146" t="s">
        <v>990</v>
      </c>
      <c r="K2779" s="146" t="s">
        <v>991</v>
      </c>
      <c r="L2779" s="147">
        <v>4</v>
      </c>
      <c r="M2779" s="147">
        <v>6</v>
      </c>
      <c r="N2779" s="146" t="s">
        <v>189</v>
      </c>
      <c r="O2779" s="147">
        <v>20</v>
      </c>
      <c r="P2779" s="147">
        <v>3</v>
      </c>
      <c r="Q2779" s="147">
        <v>17</v>
      </c>
      <c r="R2779" s="146" t="s">
        <v>190</v>
      </c>
      <c r="S2779" s="146" t="s">
        <v>191</v>
      </c>
      <c r="T2779" s="147">
        <v>306</v>
      </c>
      <c r="U2779" s="146" t="s">
        <v>400</v>
      </c>
      <c r="V2779" s="146" t="s">
        <v>401</v>
      </c>
      <c r="W2779" s="147">
        <v>1</v>
      </c>
      <c r="X2779" s="147">
        <v>2</v>
      </c>
      <c r="Y2779" s="146" t="s">
        <v>194</v>
      </c>
      <c r="Z2779" s="146" t="s">
        <v>195</v>
      </c>
      <c r="AA2779" s="146" t="s">
        <v>196</v>
      </c>
      <c r="AB2779" s="146" t="s">
        <v>187</v>
      </c>
      <c r="AC2779" s="146" t="s">
        <v>187</v>
      </c>
      <c r="AD2779" s="148"/>
      <c r="AE2779" s="146" t="s">
        <v>209</v>
      </c>
      <c r="AF2779" s="147">
        <v>0.34003</v>
      </c>
      <c r="AG2779" s="149">
        <v>120.21237000000001</v>
      </c>
      <c r="AO2779" s="121"/>
      <c r="AT2779" s="111"/>
      <c r="AX2779" s="121"/>
    </row>
    <row r="2780" spans="1:50" s="110" customFormat="1" ht="20" customHeight="1">
      <c r="A2780" s="125" t="s">
        <v>185</v>
      </c>
      <c r="B2780" s="126" t="s">
        <v>59</v>
      </c>
      <c r="C2780" s="127">
        <v>10582</v>
      </c>
      <c r="D2780" s="163">
        <v>100798</v>
      </c>
      <c r="E2780" s="164" t="s">
        <v>328</v>
      </c>
      <c r="F2780" s="164" t="s">
        <v>328</v>
      </c>
      <c r="G2780" s="165">
        <v>341000</v>
      </c>
      <c r="H2780" s="165">
        <v>1</v>
      </c>
      <c r="I2780" s="164" t="s">
        <v>187</v>
      </c>
      <c r="J2780" s="164" t="s">
        <v>329</v>
      </c>
      <c r="K2780" s="164" t="s">
        <v>330</v>
      </c>
      <c r="L2780" s="165">
        <v>3</v>
      </c>
      <c r="M2780" s="165">
        <v>6</v>
      </c>
      <c r="N2780" s="164" t="s">
        <v>189</v>
      </c>
      <c r="O2780" s="165">
        <v>0.03</v>
      </c>
      <c r="P2780" s="165">
        <v>1.0999999999999999E-2</v>
      </c>
      <c r="Q2780" s="165">
        <v>17</v>
      </c>
      <c r="R2780" s="164" t="s">
        <v>190</v>
      </c>
      <c r="S2780" s="164" t="s">
        <v>191</v>
      </c>
      <c r="T2780" s="165">
        <v>308</v>
      </c>
      <c r="U2780" s="164" t="s">
        <v>331</v>
      </c>
      <c r="V2780" s="164" t="s">
        <v>332</v>
      </c>
      <c r="W2780" s="165">
        <v>1</v>
      </c>
      <c r="X2780" s="165">
        <v>2</v>
      </c>
      <c r="Y2780" s="164" t="s">
        <v>194</v>
      </c>
      <c r="Z2780" s="164" t="s">
        <v>195</v>
      </c>
      <c r="AA2780" s="164" t="s">
        <v>196</v>
      </c>
      <c r="AB2780" s="164" t="s">
        <v>187</v>
      </c>
      <c r="AC2780" s="164" t="s">
        <v>187</v>
      </c>
      <c r="AD2780" s="165">
        <v>7</v>
      </c>
      <c r="AE2780" s="164" t="s">
        <v>187</v>
      </c>
      <c r="AF2780" s="165">
        <v>1.0456000000000001</v>
      </c>
      <c r="AG2780" s="166">
        <v>120.38878</v>
      </c>
      <c r="AO2780" s="121"/>
      <c r="AT2780" s="111"/>
      <c r="AX2780" s="121"/>
    </row>
    <row r="2781" spans="1:50" s="110" customFormat="1" ht="20" customHeight="1">
      <c r="A2781" s="125" t="s">
        <v>185</v>
      </c>
      <c r="B2781" s="126" t="s">
        <v>59</v>
      </c>
      <c r="C2781" s="127">
        <v>15422</v>
      </c>
      <c r="D2781" s="163">
        <v>110873</v>
      </c>
      <c r="E2781" s="164" t="s">
        <v>1141</v>
      </c>
      <c r="F2781" s="164" t="s">
        <v>1141</v>
      </c>
      <c r="G2781" s="165">
        <v>339000</v>
      </c>
      <c r="H2781" s="165">
        <v>1</v>
      </c>
      <c r="I2781" s="164" t="s">
        <v>187</v>
      </c>
      <c r="J2781" s="164" t="s">
        <v>1142</v>
      </c>
      <c r="K2781" s="164" t="s">
        <v>1141</v>
      </c>
      <c r="L2781" s="165">
        <v>4</v>
      </c>
      <c r="M2781" s="165">
        <v>6</v>
      </c>
      <c r="N2781" s="164" t="s">
        <v>189</v>
      </c>
      <c r="O2781" s="165">
        <v>1.5</v>
      </c>
      <c r="P2781" s="165">
        <v>5.3999999999999999E-2</v>
      </c>
      <c r="Q2781" s="165">
        <v>17</v>
      </c>
      <c r="R2781" s="164" t="s">
        <v>190</v>
      </c>
      <c r="S2781" s="164" t="s">
        <v>191</v>
      </c>
      <c r="T2781" s="165">
        <v>308</v>
      </c>
      <c r="U2781" s="164" t="s">
        <v>331</v>
      </c>
      <c r="V2781" s="164" t="s">
        <v>332</v>
      </c>
      <c r="W2781" s="165">
        <v>1</v>
      </c>
      <c r="X2781" s="165">
        <v>2</v>
      </c>
      <c r="Y2781" s="164" t="s">
        <v>194</v>
      </c>
      <c r="Z2781" s="164" t="s">
        <v>195</v>
      </c>
      <c r="AA2781" s="164" t="s">
        <v>196</v>
      </c>
      <c r="AB2781" s="164" t="s">
        <v>187</v>
      </c>
      <c r="AC2781" s="164" t="s">
        <v>187</v>
      </c>
      <c r="AD2781" s="165">
        <v>7</v>
      </c>
      <c r="AE2781" s="164" t="s">
        <v>209</v>
      </c>
      <c r="AF2781" s="165">
        <v>-5.40418999976868</v>
      </c>
      <c r="AG2781" s="166">
        <v>122.540759999974</v>
      </c>
      <c r="AO2781" s="121"/>
      <c r="AT2781" s="111"/>
      <c r="AX2781" s="121"/>
    </row>
    <row r="2782" spans="1:50" s="110" customFormat="1" ht="20" customHeight="1">
      <c r="A2782" s="125" t="s">
        <v>185</v>
      </c>
      <c r="B2782" s="126" t="s">
        <v>59</v>
      </c>
      <c r="C2782" s="127">
        <v>15620</v>
      </c>
      <c r="D2782" s="163">
        <v>110252</v>
      </c>
      <c r="E2782" s="164" t="s">
        <v>1497</v>
      </c>
      <c r="F2782" s="164" t="s">
        <v>1497</v>
      </c>
      <c r="G2782" s="165">
        <v>280000</v>
      </c>
      <c r="H2782" s="165">
        <v>1</v>
      </c>
      <c r="I2782" s="164" t="s">
        <v>187</v>
      </c>
      <c r="J2782" s="164" t="s">
        <v>1498</v>
      </c>
      <c r="K2782" s="164" t="s">
        <v>1499</v>
      </c>
      <c r="L2782" s="165">
        <v>1</v>
      </c>
      <c r="M2782" s="165">
        <v>6</v>
      </c>
      <c r="N2782" s="164" t="s">
        <v>189</v>
      </c>
      <c r="O2782" s="165">
        <v>5</v>
      </c>
      <c r="P2782" s="165">
        <v>4.0000000000000001E-3</v>
      </c>
      <c r="Q2782" s="165">
        <v>17</v>
      </c>
      <c r="R2782" s="164" t="s">
        <v>190</v>
      </c>
      <c r="S2782" s="164" t="s">
        <v>191</v>
      </c>
      <c r="T2782" s="165">
        <v>308</v>
      </c>
      <c r="U2782" s="164" t="s">
        <v>331</v>
      </c>
      <c r="V2782" s="164" t="s">
        <v>332</v>
      </c>
      <c r="W2782" s="165">
        <v>1</v>
      </c>
      <c r="X2782" s="165">
        <v>2</v>
      </c>
      <c r="Y2782" s="164" t="s">
        <v>194</v>
      </c>
      <c r="Z2782" s="164" t="s">
        <v>195</v>
      </c>
      <c r="AA2782" s="164" t="s">
        <v>196</v>
      </c>
      <c r="AB2782" s="164" t="s">
        <v>187</v>
      </c>
      <c r="AC2782" s="164" t="s">
        <v>187</v>
      </c>
      <c r="AD2782" s="165">
        <v>6</v>
      </c>
      <c r="AE2782" s="164" t="s">
        <v>209</v>
      </c>
      <c r="AF2782" s="165">
        <v>-5.7477999999999998</v>
      </c>
      <c r="AG2782" s="166">
        <v>123.94804000000001</v>
      </c>
      <c r="AO2782" s="121"/>
      <c r="AT2782" s="111"/>
      <c r="AX2782" s="121"/>
    </row>
    <row r="2783" spans="1:50" s="110" customFormat="1" ht="20" customHeight="1">
      <c r="A2783" s="125" t="s">
        <v>185</v>
      </c>
      <c r="B2783" s="126" t="s">
        <v>59</v>
      </c>
      <c r="C2783" s="127">
        <v>15413</v>
      </c>
      <c r="D2783" s="163">
        <v>110855</v>
      </c>
      <c r="E2783" s="164" t="s">
        <v>1520</v>
      </c>
      <c r="F2783" s="164" t="s">
        <v>1520</v>
      </c>
      <c r="G2783" s="165">
        <v>243000</v>
      </c>
      <c r="H2783" s="165">
        <v>1</v>
      </c>
      <c r="I2783" s="164" t="s">
        <v>187</v>
      </c>
      <c r="J2783" s="164" t="s">
        <v>1521</v>
      </c>
      <c r="K2783" s="164" t="s">
        <v>1520</v>
      </c>
      <c r="L2783" s="165">
        <v>3</v>
      </c>
      <c r="M2783" s="165">
        <v>6</v>
      </c>
      <c r="N2783" s="164" t="s">
        <v>189</v>
      </c>
      <c r="O2783" s="165">
        <v>0.01</v>
      </c>
      <c r="P2783" s="165">
        <v>3.0000000000000001E-3</v>
      </c>
      <c r="Q2783" s="165">
        <v>17</v>
      </c>
      <c r="R2783" s="164" t="s">
        <v>190</v>
      </c>
      <c r="S2783" s="164" t="s">
        <v>191</v>
      </c>
      <c r="T2783" s="165">
        <v>308</v>
      </c>
      <c r="U2783" s="164" t="s">
        <v>331</v>
      </c>
      <c r="V2783" s="164" t="s">
        <v>332</v>
      </c>
      <c r="W2783" s="165">
        <v>2</v>
      </c>
      <c r="X2783" s="165">
        <v>2</v>
      </c>
      <c r="Y2783" s="164" t="s">
        <v>194</v>
      </c>
      <c r="Z2783" s="164" t="s">
        <v>195</v>
      </c>
      <c r="AA2783" s="164" t="s">
        <v>196</v>
      </c>
      <c r="AB2783" s="164" t="s">
        <v>187</v>
      </c>
      <c r="AC2783" s="164" t="s">
        <v>187</v>
      </c>
      <c r="AD2783" s="165">
        <v>5</v>
      </c>
      <c r="AE2783" s="164" t="s">
        <v>187</v>
      </c>
      <c r="AF2783" s="165">
        <v>-5.4416700000000002</v>
      </c>
      <c r="AG2783" s="166">
        <v>122.70937000000001</v>
      </c>
      <c r="AO2783" s="121"/>
      <c r="AT2783" s="111"/>
      <c r="AX2783" s="121"/>
    </row>
    <row r="2784" spans="1:50" s="110" customFormat="1" ht="20" customHeight="1">
      <c r="A2784" s="125" t="s">
        <v>185</v>
      </c>
      <c r="B2784" s="126" t="s">
        <v>59</v>
      </c>
      <c r="C2784" s="127">
        <v>12448</v>
      </c>
      <c r="D2784" s="163">
        <v>104471</v>
      </c>
      <c r="E2784" s="164" t="s">
        <v>1500</v>
      </c>
      <c r="F2784" s="164" t="s">
        <v>1500</v>
      </c>
      <c r="G2784" s="165">
        <v>164000</v>
      </c>
      <c r="H2784" s="165">
        <v>1</v>
      </c>
      <c r="I2784" s="164" t="s">
        <v>187</v>
      </c>
      <c r="J2784" s="164" t="s">
        <v>1501</v>
      </c>
      <c r="K2784" s="164" t="s">
        <v>1502</v>
      </c>
      <c r="L2784" s="165">
        <v>1</v>
      </c>
      <c r="M2784" s="165">
        <v>6</v>
      </c>
      <c r="N2784" s="164" t="s">
        <v>189</v>
      </c>
      <c r="O2784" s="165">
        <v>3</v>
      </c>
      <c r="P2784" s="165">
        <v>0.4</v>
      </c>
      <c r="Q2784" s="165">
        <v>17</v>
      </c>
      <c r="R2784" s="164" t="s">
        <v>190</v>
      </c>
      <c r="S2784" s="164" t="s">
        <v>191</v>
      </c>
      <c r="T2784" s="165">
        <v>308</v>
      </c>
      <c r="U2784" s="164" t="s">
        <v>331</v>
      </c>
      <c r="V2784" s="164" t="s">
        <v>332</v>
      </c>
      <c r="W2784" s="165">
        <v>1</v>
      </c>
      <c r="X2784" s="165">
        <v>2</v>
      </c>
      <c r="Y2784" s="164" t="s">
        <v>194</v>
      </c>
      <c r="Z2784" s="164" t="s">
        <v>195</v>
      </c>
      <c r="AA2784" s="164" t="s">
        <v>196</v>
      </c>
      <c r="AB2784" s="164" t="s">
        <v>187</v>
      </c>
      <c r="AC2784" s="164" t="s">
        <v>187</v>
      </c>
      <c r="AD2784" s="165">
        <v>3</v>
      </c>
      <c r="AE2784" s="164" t="s">
        <v>209</v>
      </c>
      <c r="AF2784" s="165">
        <v>-5.5000680576947003</v>
      </c>
      <c r="AG2784" s="166">
        <v>123.752888517291</v>
      </c>
      <c r="AO2784" s="121"/>
      <c r="AT2784" s="111"/>
      <c r="AX2784" s="121"/>
    </row>
    <row r="2785" spans="1:50" s="110" customFormat="1" ht="20" customHeight="1">
      <c r="A2785" s="125" t="s">
        <v>185</v>
      </c>
      <c r="B2785" s="126" t="s">
        <v>59</v>
      </c>
      <c r="C2785" s="127">
        <v>11384</v>
      </c>
      <c r="D2785" s="163">
        <v>102228</v>
      </c>
      <c r="E2785" s="164" t="s">
        <v>587</v>
      </c>
      <c r="F2785" s="164" t="s">
        <v>588</v>
      </c>
      <c r="G2785" s="165">
        <v>89000</v>
      </c>
      <c r="H2785" s="165">
        <v>1</v>
      </c>
      <c r="I2785" s="164" t="s">
        <v>187</v>
      </c>
      <c r="J2785" s="164" t="s">
        <v>589</v>
      </c>
      <c r="K2785" s="164" t="s">
        <v>587</v>
      </c>
      <c r="L2785" s="165">
        <v>0</v>
      </c>
      <c r="M2785" s="165">
        <v>6</v>
      </c>
      <c r="N2785" s="164" t="s">
        <v>189</v>
      </c>
      <c r="O2785" s="165">
        <v>2</v>
      </c>
      <c r="P2785" s="165">
        <v>1.4E-2</v>
      </c>
      <c r="Q2785" s="165">
        <v>17</v>
      </c>
      <c r="R2785" s="164" t="s">
        <v>190</v>
      </c>
      <c r="S2785" s="164" t="s">
        <v>191</v>
      </c>
      <c r="T2785" s="165">
        <v>308</v>
      </c>
      <c r="U2785" s="164" t="s">
        <v>331</v>
      </c>
      <c r="V2785" s="164" t="s">
        <v>332</v>
      </c>
      <c r="W2785" s="165">
        <v>1</v>
      </c>
      <c r="X2785" s="165">
        <v>2</v>
      </c>
      <c r="Y2785" s="164" t="s">
        <v>194</v>
      </c>
      <c r="Z2785" s="164" t="s">
        <v>195</v>
      </c>
      <c r="AA2785" s="164" t="s">
        <v>196</v>
      </c>
      <c r="AB2785" s="164" t="s">
        <v>187</v>
      </c>
      <c r="AC2785" s="164" t="s">
        <v>187</v>
      </c>
      <c r="AD2785" s="165">
        <v>2</v>
      </c>
      <c r="AE2785" s="164" t="s">
        <v>209</v>
      </c>
      <c r="AF2785" s="165">
        <v>-5.5712299999999999</v>
      </c>
      <c r="AG2785" s="166">
        <v>122.76795</v>
      </c>
      <c r="AO2785" s="121"/>
      <c r="AT2785" s="111"/>
      <c r="AX2785" s="121"/>
    </row>
    <row r="2786" spans="1:50" s="110" customFormat="1" ht="20" customHeight="1">
      <c r="A2786" s="125" t="s">
        <v>185</v>
      </c>
      <c r="B2786" s="126" t="s">
        <v>59</v>
      </c>
      <c r="C2786" s="127">
        <v>11019</v>
      </c>
      <c r="D2786" s="163">
        <v>101750</v>
      </c>
      <c r="E2786" s="164" t="s">
        <v>560</v>
      </c>
      <c r="F2786" s="164" t="s">
        <v>560</v>
      </c>
      <c r="G2786" s="165">
        <v>39000</v>
      </c>
      <c r="H2786" s="165">
        <v>1</v>
      </c>
      <c r="I2786" s="164" t="s">
        <v>187</v>
      </c>
      <c r="J2786" s="164" t="s">
        <v>561</v>
      </c>
      <c r="K2786" s="164" t="s">
        <v>560</v>
      </c>
      <c r="L2786" s="165">
        <v>1</v>
      </c>
      <c r="M2786" s="165">
        <v>6</v>
      </c>
      <c r="N2786" s="164" t="s">
        <v>189</v>
      </c>
      <c r="O2786" s="165">
        <v>0.01</v>
      </c>
      <c r="P2786" s="165">
        <v>0.01</v>
      </c>
      <c r="Q2786" s="165">
        <v>17</v>
      </c>
      <c r="R2786" s="164" t="s">
        <v>190</v>
      </c>
      <c r="S2786" s="164" t="s">
        <v>191</v>
      </c>
      <c r="T2786" s="165">
        <v>308</v>
      </c>
      <c r="U2786" s="164" t="s">
        <v>331</v>
      </c>
      <c r="V2786" s="164" t="s">
        <v>332</v>
      </c>
      <c r="W2786" s="165">
        <v>1</v>
      </c>
      <c r="X2786" s="165">
        <v>2</v>
      </c>
      <c r="Y2786" s="164" t="s">
        <v>194</v>
      </c>
      <c r="Z2786" s="164" t="s">
        <v>195</v>
      </c>
      <c r="AA2786" s="164" t="s">
        <v>196</v>
      </c>
      <c r="AB2786" s="164" t="s">
        <v>187</v>
      </c>
      <c r="AC2786" s="164" t="s">
        <v>187</v>
      </c>
      <c r="AD2786" s="165">
        <v>1</v>
      </c>
      <c r="AE2786" s="164" t="s">
        <v>187</v>
      </c>
      <c r="AF2786" s="165">
        <v>-3.0446300000000002</v>
      </c>
      <c r="AG2786" s="166">
        <v>122.2353</v>
      </c>
      <c r="AO2786" s="121"/>
      <c r="AT2786" s="111"/>
      <c r="AX2786" s="121"/>
    </row>
    <row r="2787" spans="1:50" s="110" customFormat="1" ht="20" customHeight="1">
      <c r="A2787" s="125" t="s">
        <v>185</v>
      </c>
      <c r="B2787" s="126" t="s">
        <v>59</v>
      </c>
      <c r="C2787" s="127">
        <v>15896</v>
      </c>
      <c r="D2787" s="163">
        <v>110728</v>
      </c>
      <c r="E2787" s="164" t="s">
        <v>1515</v>
      </c>
      <c r="F2787" s="164" t="s">
        <v>1515</v>
      </c>
      <c r="G2787" s="165">
        <v>28000</v>
      </c>
      <c r="H2787" s="165">
        <v>1</v>
      </c>
      <c r="I2787" s="164" t="s">
        <v>187</v>
      </c>
      <c r="J2787" s="164" t="s">
        <v>1516</v>
      </c>
      <c r="K2787" s="164" t="s">
        <v>1515</v>
      </c>
      <c r="L2787" s="165">
        <v>1</v>
      </c>
      <c r="M2787" s="165">
        <v>6</v>
      </c>
      <c r="N2787" s="164" t="s">
        <v>189</v>
      </c>
      <c r="O2787" s="165">
        <v>1</v>
      </c>
      <c r="P2787" s="165">
        <v>0.19600000000000001</v>
      </c>
      <c r="Q2787" s="165">
        <v>17</v>
      </c>
      <c r="R2787" s="164" t="s">
        <v>190</v>
      </c>
      <c r="S2787" s="164" t="s">
        <v>191</v>
      </c>
      <c r="T2787" s="165">
        <v>308</v>
      </c>
      <c r="U2787" s="164" t="s">
        <v>331</v>
      </c>
      <c r="V2787" s="164" t="s">
        <v>332</v>
      </c>
      <c r="W2787" s="165">
        <v>1</v>
      </c>
      <c r="X2787" s="165">
        <v>2</v>
      </c>
      <c r="Y2787" s="164" t="s">
        <v>194</v>
      </c>
      <c r="Z2787" s="164" t="s">
        <v>195</v>
      </c>
      <c r="AA2787" s="164" t="s">
        <v>196</v>
      </c>
      <c r="AB2787" s="164" t="s">
        <v>187</v>
      </c>
      <c r="AC2787" s="164" t="s">
        <v>187</v>
      </c>
      <c r="AD2787" s="165">
        <v>1</v>
      </c>
      <c r="AE2787" s="164" t="s">
        <v>209</v>
      </c>
      <c r="AF2787" s="165">
        <v>-4.0499799999999997</v>
      </c>
      <c r="AG2787" s="166">
        <v>123.09822</v>
      </c>
      <c r="AO2787" s="121"/>
      <c r="AT2787" s="111"/>
      <c r="AX2787" s="121"/>
    </row>
    <row r="2788" spans="1:50" s="110" customFormat="1" ht="20" customHeight="1">
      <c r="A2788" s="125" t="s">
        <v>185</v>
      </c>
      <c r="B2788" s="126" t="s">
        <v>59</v>
      </c>
      <c r="C2788" s="127">
        <v>12838</v>
      </c>
      <c r="D2788" s="163">
        <v>105378</v>
      </c>
      <c r="E2788" s="164" t="s">
        <v>954</v>
      </c>
      <c r="F2788" s="164" t="s">
        <v>954</v>
      </c>
      <c r="G2788" s="165">
        <v>25000</v>
      </c>
      <c r="H2788" s="165">
        <v>1</v>
      </c>
      <c r="I2788" s="164" t="s">
        <v>187</v>
      </c>
      <c r="J2788" s="164" t="s">
        <v>955</v>
      </c>
      <c r="K2788" s="164" t="s">
        <v>954</v>
      </c>
      <c r="L2788" s="165">
        <v>1</v>
      </c>
      <c r="M2788" s="165">
        <v>6</v>
      </c>
      <c r="N2788" s="164" t="s">
        <v>189</v>
      </c>
      <c r="O2788" s="165">
        <v>4.9000000000000002E-2</v>
      </c>
      <c r="P2788" s="165">
        <v>4.9000000000000002E-2</v>
      </c>
      <c r="Q2788" s="165">
        <v>17</v>
      </c>
      <c r="R2788" s="164" t="s">
        <v>190</v>
      </c>
      <c r="S2788" s="164" t="s">
        <v>191</v>
      </c>
      <c r="T2788" s="165">
        <v>308</v>
      </c>
      <c r="U2788" s="164" t="s">
        <v>331</v>
      </c>
      <c r="V2788" s="164" t="s">
        <v>332</v>
      </c>
      <c r="W2788" s="165">
        <v>1</v>
      </c>
      <c r="X2788" s="165">
        <v>2</v>
      </c>
      <c r="Y2788" s="164" t="s">
        <v>194</v>
      </c>
      <c r="Z2788" s="164" t="s">
        <v>195</v>
      </c>
      <c r="AA2788" s="164" t="s">
        <v>196</v>
      </c>
      <c r="AB2788" s="164" t="s">
        <v>187</v>
      </c>
      <c r="AC2788" s="164" t="s">
        <v>187</v>
      </c>
      <c r="AD2788" s="165">
        <v>1</v>
      </c>
      <c r="AE2788" s="164" t="s">
        <v>187</v>
      </c>
      <c r="AF2788" s="165">
        <v>-4.6094600000000003</v>
      </c>
      <c r="AG2788" s="166">
        <v>123.05592</v>
      </c>
      <c r="AO2788" s="121"/>
      <c r="AT2788" s="111"/>
      <c r="AX2788" s="121"/>
    </row>
    <row r="2789" spans="1:50" s="110" customFormat="1" ht="20" customHeight="1">
      <c r="A2789" s="125" t="s">
        <v>185</v>
      </c>
      <c r="B2789" s="126" t="s">
        <v>59</v>
      </c>
      <c r="C2789" s="127">
        <v>10933</v>
      </c>
      <c r="D2789" s="163">
        <v>101593</v>
      </c>
      <c r="E2789" s="164" t="s">
        <v>534</v>
      </c>
      <c r="F2789" s="164" t="s">
        <v>534</v>
      </c>
      <c r="G2789" s="165">
        <v>15000</v>
      </c>
      <c r="H2789" s="165">
        <v>1</v>
      </c>
      <c r="I2789" s="164" t="s">
        <v>187</v>
      </c>
      <c r="J2789" s="164" t="s">
        <v>535</v>
      </c>
      <c r="K2789" s="164" t="s">
        <v>534</v>
      </c>
      <c r="L2789" s="165">
        <v>1</v>
      </c>
      <c r="M2789" s="165">
        <v>6</v>
      </c>
      <c r="N2789" s="164" t="s">
        <v>189</v>
      </c>
      <c r="O2789" s="165">
        <v>0.05</v>
      </c>
      <c r="P2789" s="165">
        <v>0</v>
      </c>
      <c r="Q2789" s="165">
        <v>17</v>
      </c>
      <c r="R2789" s="164" t="s">
        <v>190</v>
      </c>
      <c r="S2789" s="164" t="s">
        <v>191</v>
      </c>
      <c r="T2789" s="165">
        <v>308</v>
      </c>
      <c r="U2789" s="164" t="s">
        <v>331</v>
      </c>
      <c r="V2789" s="164" t="s">
        <v>332</v>
      </c>
      <c r="W2789" s="165">
        <v>1</v>
      </c>
      <c r="X2789" s="165">
        <v>2</v>
      </c>
      <c r="Y2789" s="164" t="s">
        <v>194</v>
      </c>
      <c r="Z2789" s="164" t="s">
        <v>195</v>
      </c>
      <c r="AA2789" s="164" t="s">
        <v>196</v>
      </c>
      <c r="AB2789" s="164" t="s">
        <v>187</v>
      </c>
      <c r="AC2789" s="164" t="s">
        <v>187</v>
      </c>
      <c r="AD2789" s="165">
        <v>1</v>
      </c>
      <c r="AE2789" s="164" t="s">
        <v>187</v>
      </c>
      <c r="AF2789" s="165">
        <v>-7.4014800000000003</v>
      </c>
      <c r="AG2789" s="166">
        <v>121.78052</v>
      </c>
      <c r="AO2789" s="121"/>
      <c r="AT2789" s="111"/>
      <c r="AX2789" s="121"/>
    </row>
    <row r="2790" spans="1:50" s="110" customFormat="1" ht="20" customHeight="1">
      <c r="A2790" s="125" t="s">
        <v>185</v>
      </c>
      <c r="B2790" s="126" t="s">
        <v>59</v>
      </c>
      <c r="C2790" s="127">
        <v>14291</v>
      </c>
      <c r="D2790" s="163">
        <v>107823</v>
      </c>
      <c r="E2790" s="164" t="s">
        <v>1178</v>
      </c>
      <c r="F2790" s="164" t="s">
        <v>1178</v>
      </c>
      <c r="G2790" s="165">
        <v>7500</v>
      </c>
      <c r="H2790" s="165">
        <v>1</v>
      </c>
      <c r="I2790" s="164" t="s">
        <v>187</v>
      </c>
      <c r="J2790" s="164" t="s">
        <v>1179</v>
      </c>
      <c r="K2790" s="164" t="s">
        <v>1178</v>
      </c>
      <c r="L2790" s="165">
        <v>1</v>
      </c>
      <c r="M2790" s="165">
        <v>6</v>
      </c>
      <c r="N2790" s="164" t="s">
        <v>189</v>
      </c>
      <c r="O2790" s="165">
        <v>0.4</v>
      </c>
      <c r="P2790" s="165">
        <v>0</v>
      </c>
      <c r="Q2790" s="165">
        <v>17</v>
      </c>
      <c r="R2790" s="164" t="s">
        <v>190</v>
      </c>
      <c r="S2790" s="164" t="s">
        <v>191</v>
      </c>
      <c r="T2790" s="165">
        <v>308</v>
      </c>
      <c r="U2790" s="164" t="s">
        <v>331</v>
      </c>
      <c r="V2790" s="164" t="s">
        <v>332</v>
      </c>
      <c r="W2790" s="165">
        <v>1</v>
      </c>
      <c r="X2790" s="165">
        <v>2</v>
      </c>
      <c r="Y2790" s="164" t="s">
        <v>194</v>
      </c>
      <c r="Z2790" s="164" t="s">
        <v>195</v>
      </c>
      <c r="AA2790" s="164" t="s">
        <v>196</v>
      </c>
      <c r="AB2790" s="164" t="s">
        <v>187</v>
      </c>
      <c r="AC2790" s="164" t="s">
        <v>187</v>
      </c>
      <c r="AD2790" s="165">
        <v>1</v>
      </c>
      <c r="AE2790" s="164" t="s">
        <v>209</v>
      </c>
      <c r="AF2790" s="165">
        <v>-5.2469599999999996</v>
      </c>
      <c r="AG2790" s="166">
        <v>122.93732</v>
      </c>
      <c r="AO2790" s="121"/>
      <c r="AT2790" s="111"/>
      <c r="AX2790" s="121"/>
    </row>
    <row r="2791" spans="1:50" s="110" customFormat="1" ht="20" customHeight="1">
      <c r="A2791" s="125" t="s">
        <v>185</v>
      </c>
      <c r="B2791" s="126" t="s">
        <v>59</v>
      </c>
      <c r="C2791" s="127">
        <v>12461</v>
      </c>
      <c r="D2791" s="163">
        <v>104507</v>
      </c>
      <c r="E2791" s="164" t="s">
        <v>884</v>
      </c>
      <c r="F2791" s="164" t="s">
        <v>884</v>
      </c>
      <c r="G2791" s="165">
        <v>4400</v>
      </c>
      <c r="H2791" s="165">
        <v>1</v>
      </c>
      <c r="I2791" s="164" t="s">
        <v>187</v>
      </c>
      <c r="J2791" s="164" t="s">
        <v>885</v>
      </c>
      <c r="K2791" s="164" t="s">
        <v>884</v>
      </c>
      <c r="L2791" s="165">
        <v>1</v>
      </c>
      <c r="M2791" s="165">
        <v>6</v>
      </c>
      <c r="N2791" s="164" t="s">
        <v>189</v>
      </c>
      <c r="O2791" s="165">
        <v>4</v>
      </c>
      <c r="P2791" s="165">
        <v>0.5</v>
      </c>
      <c r="Q2791" s="165">
        <v>17</v>
      </c>
      <c r="R2791" s="164" t="s">
        <v>190</v>
      </c>
      <c r="S2791" s="164" t="s">
        <v>191</v>
      </c>
      <c r="T2791" s="165">
        <v>308</v>
      </c>
      <c r="U2791" s="164" t="s">
        <v>331</v>
      </c>
      <c r="V2791" s="164" t="s">
        <v>332</v>
      </c>
      <c r="W2791" s="165">
        <v>1</v>
      </c>
      <c r="X2791" s="165">
        <v>2</v>
      </c>
      <c r="Y2791" s="164" t="s">
        <v>194</v>
      </c>
      <c r="Z2791" s="164" t="s">
        <v>195</v>
      </c>
      <c r="AA2791" s="164" t="s">
        <v>196</v>
      </c>
      <c r="AB2791" s="164" t="s">
        <v>187</v>
      </c>
      <c r="AC2791" s="164" t="s">
        <v>187</v>
      </c>
      <c r="AD2791" s="165">
        <v>1</v>
      </c>
      <c r="AE2791" s="164" t="s">
        <v>209</v>
      </c>
      <c r="AF2791" s="165">
        <v>-5.1570200000000002</v>
      </c>
      <c r="AG2791" s="166">
        <v>123.04268999999999</v>
      </c>
      <c r="AO2791" s="121"/>
      <c r="AT2791" s="111"/>
      <c r="AX2791" s="121"/>
    </row>
    <row r="2792" spans="1:50" s="110" customFormat="1" ht="20" customHeight="1">
      <c r="A2792" s="125" t="s">
        <v>185</v>
      </c>
      <c r="B2792" s="126" t="s">
        <v>59</v>
      </c>
      <c r="C2792" s="127">
        <v>11045</v>
      </c>
      <c r="D2792" s="163">
        <v>101803</v>
      </c>
      <c r="E2792" s="164" t="s">
        <v>568</v>
      </c>
      <c r="F2792" s="164" t="s">
        <v>568</v>
      </c>
      <c r="G2792" s="165">
        <v>3100</v>
      </c>
      <c r="H2792" s="165">
        <v>1</v>
      </c>
      <c r="I2792" s="164" t="s">
        <v>187</v>
      </c>
      <c r="J2792" s="164" t="s">
        <v>569</v>
      </c>
      <c r="K2792" s="164" t="s">
        <v>568</v>
      </c>
      <c r="L2792" s="165">
        <v>0</v>
      </c>
      <c r="M2792" s="165">
        <v>6</v>
      </c>
      <c r="N2792" s="164" t="s">
        <v>189</v>
      </c>
      <c r="O2792" s="165">
        <v>4</v>
      </c>
      <c r="P2792" s="165">
        <v>1.5</v>
      </c>
      <c r="Q2792" s="165">
        <v>17</v>
      </c>
      <c r="R2792" s="164" t="s">
        <v>190</v>
      </c>
      <c r="S2792" s="164" t="s">
        <v>191</v>
      </c>
      <c r="T2792" s="165">
        <v>308</v>
      </c>
      <c r="U2792" s="164" t="s">
        <v>331</v>
      </c>
      <c r="V2792" s="164" t="s">
        <v>332</v>
      </c>
      <c r="W2792" s="165">
        <v>1</v>
      </c>
      <c r="X2792" s="165">
        <v>2</v>
      </c>
      <c r="Y2792" s="164" t="s">
        <v>194</v>
      </c>
      <c r="Z2792" s="164" t="s">
        <v>195</v>
      </c>
      <c r="AA2792" s="164" t="s">
        <v>196</v>
      </c>
      <c r="AB2792" s="164" t="s">
        <v>187</v>
      </c>
      <c r="AC2792" s="164" t="s">
        <v>187</v>
      </c>
      <c r="AD2792" s="165">
        <v>1</v>
      </c>
      <c r="AE2792" s="164" t="s">
        <v>209</v>
      </c>
      <c r="AF2792" s="165">
        <v>-5.5975999999999999</v>
      </c>
      <c r="AG2792" s="166">
        <v>122.62367999999999</v>
      </c>
      <c r="AO2792" s="121"/>
      <c r="AT2792" s="111"/>
      <c r="AX2792" s="121"/>
    </row>
    <row r="2793" spans="1:50" s="110" customFormat="1" ht="20" customHeight="1">
      <c r="A2793" s="125" t="s">
        <v>185</v>
      </c>
      <c r="B2793" s="126" t="s">
        <v>59</v>
      </c>
      <c r="C2793" s="127">
        <v>21467</v>
      </c>
      <c r="D2793" s="163">
        <v>118279</v>
      </c>
      <c r="E2793" s="164" t="s">
        <v>593</v>
      </c>
      <c r="F2793" s="164" t="s">
        <v>593</v>
      </c>
      <c r="G2793" s="165">
        <v>2000</v>
      </c>
      <c r="H2793" s="165">
        <v>1</v>
      </c>
      <c r="I2793" s="164" t="s">
        <v>187</v>
      </c>
      <c r="J2793" s="164" t="s">
        <v>561</v>
      </c>
      <c r="K2793" s="164" t="s">
        <v>560</v>
      </c>
      <c r="L2793" s="165">
        <v>1</v>
      </c>
      <c r="M2793" s="165">
        <v>6</v>
      </c>
      <c r="N2793" s="164" t="s">
        <v>189</v>
      </c>
      <c r="O2793" s="165">
        <v>0</v>
      </c>
      <c r="P2793" s="165">
        <v>0</v>
      </c>
      <c r="Q2793" s="165">
        <v>17</v>
      </c>
      <c r="R2793" s="164" t="s">
        <v>190</v>
      </c>
      <c r="S2793" s="164" t="s">
        <v>191</v>
      </c>
      <c r="T2793" s="165">
        <v>308</v>
      </c>
      <c r="U2793" s="164" t="s">
        <v>331</v>
      </c>
      <c r="V2793" s="164" t="s">
        <v>332</v>
      </c>
      <c r="W2793" s="165">
        <v>1</v>
      </c>
      <c r="X2793" s="165">
        <v>2</v>
      </c>
      <c r="Y2793" s="164" t="s">
        <v>194</v>
      </c>
      <c r="Z2793" s="164" t="s">
        <v>195</v>
      </c>
      <c r="AA2793" s="164" t="s">
        <v>196</v>
      </c>
      <c r="AB2793" s="164" t="s">
        <v>187</v>
      </c>
      <c r="AC2793" s="164" t="s">
        <v>187</v>
      </c>
      <c r="AD2793" s="165">
        <v>1</v>
      </c>
      <c r="AE2793" s="164" t="s">
        <v>187</v>
      </c>
      <c r="AF2793" s="165">
        <v>-3.1988129999999999</v>
      </c>
      <c r="AG2793" s="166">
        <v>122.149638</v>
      </c>
      <c r="AO2793" s="121"/>
      <c r="AT2793" s="111"/>
      <c r="AX2793" s="121"/>
    </row>
    <row r="2794" spans="1:50" s="110" customFormat="1" ht="20" customHeight="1">
      <c r="A2794" s="125" t="s">
        <v>185</v>
      </c>
      <c r="B2794" s="126" t="s">
        <v>59</v>
      </c>
      <c r="C2794" s="127">
        <v>12951</v>
      </c>
      <c r="D2794" s="163">
        <v>105582</v>
      </c>
      <c r="E2794" s="164" t="s">
        <v>969</v>
      </c>
      <c r="F2794" s="164" t="s">
        <v>970</v>
      </c>
      <c r="G2794" s="165">
        <v>1700</v>
      </c>
      <c r="H2794" s="165">
        <v>1</v>
      </c>
      <c r="I2794" s="164" t="s">
        <v>187</v>
      </c>
      <c r="J2794" s="164" t="s">
        <v>971</v>
      </c>
      <c r="K2794" s="164" t="s">
        <v>972</v>
      </c>
      <c r="L2794" s="165">
        <v>1</v>
      </c>
      <c r="M2794" s="165">
        <v>6</v>
      </c>
      <c r="N2794" s="164" t="s">
        <v>189</v>
      </c>
      <c r="O2794" s="165">
        <v>1.014</v>
      </c>
      <c r="P2794" s="165">
        <v>1.014</v>
      </c>
      <c r="Q2794" s="165">
        <v>17</v>
      </c>
      <c r="R2794" s="164" t="s">
        <v>190</v>
      </c>
      <c r="S2794" s="164" t="s">
        <v>191</v>
      </c>
      <c r="T2794" s="165">
        <v>308</v>
      </c>
      <c r="U2794" s="164" t="s">
        <v>331</v>
      </c>
      <c r="V2794" s="164" t="s">
        <v>332</v>
      </c>
      <c r="W2794" s="165">
        <v>1</v>
      </c>
      <c r="X2794" s="165">
        <v>2</v>
      </c>
      <c r="Y2794" s="164" t="s">
        <v>194</v>
      </c>
      <c r="Z2794" s="164" t="s">
        <v>195</v>
      </c>
      <c r="AA2794" s="164" t="s">
        <v>196</v>
      </c>
      <c r="AB2794" s="164" t="s">
        <v>187</v>
      </c>
      <c r="AC2794" s="164" t="s">
        <v>187</v>
      </c>
      <c r="AD2794" s="165">
        <v>1</v>
      </c>
      <c r="AE2794" s="164" t="s">
        <v>209</v>
      </c>
      <c r="AF2794" s="165">
        <v>-6.3502999999999998</v>
      </c>
      <c r="AG2794" s="166">
        <v>120.47869</v>
      </c>
      <c r="AO2794" s="121"/>
      <c r="AT2794" s="111"/>
      <c r="AX2794" s="121"/>
    </row>
    <row r="2795" spans="1:50" s="110" customFormat="1" ht="20" customHeight="1">
      <c r="A2795" s="125" t="s">
        <v>185</v>
      </c>
      <c r="B2795" s="126" t="s">
        <v>59</v>
      </c>
      <c r="C2795" s="127">
        <v>13051</v>
      </c>
      <c r="D2795" s="163">
        <v>105749</v>
      </c>
      <c r="E2795" s="164" t="s">
        <v>1001</v>
      </c>
      <c r="F2795" s="164" t="s">
        <v>1001</v>
      </c>
      <c r="G2795" s="165">
        <v>80</v>
      </c>
      <c r="H2795" s="165">
        <v>1</v>
      </c>
      <c r="I2795" s="164" t="s">
        <v>187</v>
      </c>
      <c r="J2795" s="164" t="s">
        <v>1002</v>
      </c>
      <c r="K2795" s="164" t="s">
        <v>1001</v>
      </c>
      <c r="L2795" s="165">
        <v>0</v>
      </c>
      <c r="M2795" s="165">
        <v>6</v>
      </c>
      <c r="N2795" s="164" t="s">
        <v>189</v>
      </c>
      <c r="O2795" s="165">
        <v>0</v>
      </c>
      <c r="P2795" s="165">
        <v>0</v>
      </c>
      <c r="Q2795" s="165">
        <v>17</v>
      </c>
      <c r="R2795" s="164" t="s">
        <v>190</v>
      </c>
      <c r="S2795" s="164" t="s">
        <v>191</v>
      </c>
      <c r="T2795" s="165">
        <v>308</v>
      </c>
      <c r="U2795" s="164" t="s">
        <v>331</v>
      </c>
      <c r="V2795" s="164" t="s">
        <v>332</v>
      </c>
      <c r="W2795" s="165">
        <v>1</v>
      </c>
      <c r="X2795" s="165">
        <v>2</v>
      </c>
      <c r="Y2795" s="164" t="s">
        <v>194</v>
      </c>
      <c r="Z2795" s="164" t="s">
        <v>195</v>
      </c>
      <c r="AA2795" s="164" t="s">
        <v>196</v>
      </c>
      <c r="AB2795" s="164" t="s">
        <v>187</v>
      </c>
      <c r="AC2795" s="164" t="s">
        <v>187</v>
      </c>
      <c r="AD2795" s="165">
        <v>1</v>
      </c>
      <c r="AE2795" s="164" t="s">
        <v>187</v>
      </c>
      <c r="AF2795" s="165">
        <v>-5.3190600000000003</v>
      </c>
      <c r="AG2795" s="166">
        <v>122.71022000000001</v>
      </c>
      <c r="AO2795" s="121"/>
      <c r="AT2795" s="111"/>
      <c r="AX2795" s="121"/>
    </row>
    <row r="2796" spans="1:50" s="110" customFormat="1" ht="20" customHeight="1">
      <c r="A2796" s="125" t="s">
        <v>185</v>
      </c>
      <c r="B2796" s="126" t="s">
        <v>59</v>
      </c>
      <c r="C2796" s="127">
        <v>13001</v>
      </c>
      <c r="D2796" s="157">
        <v>105657</v>
      </c>
      <c r="E2796" s="158" t="s">
        <v>982</v>
      </c>
      <c r="F2796" s="158" t="s">
        <v>982</v>
      </c>
      <c r="G2796" s="159">
        <v>2300</v>
      </c>
      <c r="H2796" s="159">
        <v>2</v>
      </c>
      <c r="I2796" s="158" t="s">
        <v>209</v>
      </c>
      <c r="J2796" s="158" t="s">
        <v>983</v>
      </c>
      <c r="K2796" s="158" t="s">
        <v>982</v>
      </c>
      <c r="L2796" s="159">
        <v>1</v>
      </c>
      <c r="M2796" s="159">
        <v>6</v>
      </c>
      <c r="N2796" s="158" t="s">
        <v>189</v>
      </c>
      <c r="O2796" s="159">
        <v>10</v>
      </c>
      <c r="P2796" s="159">
        <v>2</v>
      </c>
      <c r="Q2796" s="159">
        <v>17</v>
      </c>
      <c r="R2796" s="158" t="s">
        <v>190</v>
      </c>
      <c r="S2796" s="158" t="s">
        <v>191</v>
      </c>
      <c r="T2796" s="159">
        <v>308</v>
      </c>
      <c r="U2796" s="158" t="s">
        <v>331</v>
      </c>
      <c r="V2796" s="158" t="s">
        <v>332</v>
      </c>
      <c r="W2796" s="159">
        <v>1</v>
      </c>
      <c r="X2796" s="159">
        <v>2</v>
      </c>
      <c r="Y2796" s="158" t="s">
        <v>194</v>
      </c>
      <c r="Z2796" s="158" t="s">
        <v>195</v>
      </c>
      <c r="AA2796" s="158" t="s">
        <v>196</v>
      </c>
      <c r="AB2796" s="158" t="s">
        <v>187</v>
      </c>
      <c r="AC2796" s="158" t="s">
        <v>187</v>
      </c>
      <c r="AD2796" s="160"/>
      <c r="AE2796" s="158" t="s">
        <v>209</v>
      </c>
      <c r="AF2796" s="159">
        <v>-5.2254100000000001</v>
      </c>
      <c r="AG2796" s="161">
        <v>123.11593999999999</v>
      </c>
      <c r="AO2796" s="121"/>
      <c r="AT2796" s="111"/>
      <c r="AX2796" s="121"/>
    </row>
    <row r="2797" spans="1:50" s="110" customFormat="1" ht="20" customHeight="1">
      <c r="A2797" s="125" t="s">
        <v>237</v>
      </c>
      <c r="B2797" s="126" t="s">
        <v>60</v>
      </c>
      <c r="C2797" s="127">
        <v>15413</v>
      </c>
      <c r="D2797" s="163">
        <v>110855</v>
      </c>
      <c r="E2797" s="164" t="s">
        <v>1520</v>
      </c>
      <c r="F2797" s="164" t="s">
        <v>1520</v>
      </c>
      <c r="G2797" s="165">
        <v>18000</v>
      </c>
      <c r="H2797" s="165">
        <v>1</v>
      </c>
      <c r="I2797" s="164" t="s">
        <v>187</v>
      </c>
      <c r="J2797" s="164" t="s">
        <v>1521</v>
      </c>
      <c r="K2797" s="164" t="s">
        <v>1520</v>
      </c>
      <c r="L2797" s="165">
        <v>3</v>
      </c>
      <c r="M2797" s="165">
        <v>6</v>
      </c>
      <c r="N2797" s="164" t="s">
        <v>189</v>
      </c>
      <c r="O2797" s="165">
        <v>0</v>
      </c>
      <c r="P2797" s="165">
        <v>0</v>
      </c>
      <c r="Q2797" s="165">
        <v>17</v>
      </c>
      <c r="R2797" s="164" t="s">
        <v>190</v>
      </c>
      <c r="S2797" s="164" t="s">
        <v>191</v>
      </c>
      <c r="T2797" s="165">
        <v>308</v>
      </c>
      <c r="U2797" s="164" t="s">
        <v>331</v>
      </c>
      <c r="V2797" s="164" t="s">
        <v>332</v>
      </c>
      <c r="W2797" s="165">
        <v>2</v>
      </c>
      <c r="X2797" s="165">
        <v>2</v>
      </c>
      <c r="Y2797" s="164" t="s">
        <v>194</v>
      </c>
      <c r="Z2797" s="164" t="s">
        <v>195</v>
      </c>
      <c r="AA2797" s="164" t="s">
        <v>196</v>
      </c>
      <c r="AB2797" s="164" t="s">
        <v>187</v>
      </c>
      <c r="AC2797" s="164" t="s">
        <v>209</v>
      </c>
      <c r="AD2797" s="165">
        <v>1</v>
      </c>
      <c r="AE2797" s="164" t="s">
        <v>187</v>
      </c>
      <c r="AF2797" s="165">
        <v>4.7147800000000002</v>
      </c>
      <c r="AG2797" s="166">
        <v>116.08487</v>
      </c>
      <c r="AO2797" s="121"/>
      <c r="AT2797" s="111"/>
      <c r="AX2797" s="121"/>
    </row>
    <row r="2798" spans="1:50" s="110" customFormat="1" ht="20" customHeight="1">
      <c r="A2798" s="125" t="s">
        <v>237</v>
      </c>
      <c r="B2798" s="126" t="s">
        <v>60</v>
      </c>
      <c r="C2798" s="127">
        <v>10583</v>
      </c>
      <c r="D2798" s="163">
        <v>100799</v>
      </c>
      <c r="E2798" s="164" t="s">
        <v>333</v>
      </c>
      <c r="F2798" s="164" t="s">
        <v>334</v>
      </c>
      <c r="G2798" s="165">
        <v>2000</v>
      </c>
      <c r="H2798" s="165">
        <v>1</v>
      </c>
      <c r="I2798" s="164" t="s">
        <v>187</v>
      </c>
      <c r="J2798" s="164" t="s">
        <v>210</v>
      </c>
      <c r="K2798" s="164" t="s">
        <v>211</v>
      </c>
      <c r="L2798" s="165">
        <v>5</v>
      </c>
      <c r="M2798" s="165">
        <v>6</v>
      </c>
      <c r="N2798" s="164" t="s">
        <v>189</v>
      </c>
      <c r="O2798" s="165">
        <v>4</v>
      </c>
      <c r="P2798" s="165">
        <v>2</v>
      </c>
      <c r="Q2798" s="165">
        <v>17</v>
      </c>
      <c r="R2798" s="164" t="s">
        <v>190</v>
      </c>
      <c r="S2798" s="164" t="s">
        <v>191</v>
      </c>
      <c r="T2798" s="165">
        <v>308</v>
      </c>
      <c r="U2798" s="164" t="s">
        <v>331</v>
      </c>
      <c r="V2798" s="164" t="s">
        <v>332</v>
      </c>
      <c r="W2798" s="165">
        <v>1</v>
      </c>
      <c r="X2798" s="165">
        <v>2</v>
      </c>
      <c r="Y2798" s="164" t="s">
        <v>194</v>
      </c>
      <c r="Z2798" s="164" t="s">
        <v>195</v>
      </c>
      <c r="AA2798" s="164" t="s">
        <v>196</v>
      </c>
      <c r="AB2798" s="164" t="s">
        <v>187</v>
      </c>
      <c r="AC2798" s="164" t="s">
        <v>187</v>
      </c>
      <c r="AD2798" s="165">
        <v>1</v>
      </c>
      <c r="AE2798" s="164" t="s">
        <v>209</v>
      </c>
      <c r="AF2798" s="165">
        <v>5.60243</v>
      </c>
      <c r="AG2798" s="166">
        <v>115.59903</v>
      </c>
      <c r="AO2798" s="121"/>
      <c r="AT2798" s="111"/>
      <c r="AX2798" s="121"/>
    </row>
    <row r="2799" spans="1:50" s="110" customFormat="1" ht="20" customHeight="1">
      <c r="A2799" s="125" t="s">
        <v>231</v>
      </c>
      <c r="B2799" s="126" t="s">
        <v>66</v>
      </c>
      <c r="C2799" s="127">
        <v>14498</v>
      </c>
      <c r="D2799" s="163">
        <v>108231</v>
      </c>
      <c r="E2799" s="164" t="s">
        <v>1214</v>
      </c>
      <c r="F2799" s="164" t="s">
        <v>1215</v>
      </c>
      <c r="G2799" s="165">
        <v>4800</v>
      </c>
      <c r="H2799" s="165">
        <v>1</v>
      </c>
      <c r="I2799" s="164" t="s">
        <v>187</v>
      </c>
      <c r="J2799" s="164" t="s">
        <v>680</v>
      </c>
      <c r="K2799" s="164" t="s">
        <v>681</v>
      </c>
      <c r="L2799" s="165">
        <v>5</v>
      </c>
      <c r="M2799" s="165">
        <v>6</v>
      </c>
      <c r="N2799" s="164" t="s">
        <v>189</v>
      </c>
      <c r="O2799" s="165">
        <v>0</v>
      </c>
      <c r="P2799" s="165">
        <v>0</v>
      </c>
      <c r="Q2799" s="165">
        <v>24</v>
      </c>
      <c r="R2799" s="164" t="s">
        <v>307</v>
      </c>
      <c r="S2799" s="164" t="s">
        <v>308</v>
      </c>
      <c r="T2799" s="165">
        <v>309</v>
      </c>
      <c r="U2799" s="164" t="s">
        <v>1216</v>
      </c>
      <c r="V2799" s="164" t="s">
        <v>1217</v>
      </c>
      <c r="W2799" s="165">
        <v>2</v>
      </c>
      <c r="X2799" s="165">
        <v>4</v>
      </c>
      <c r="Y2799" s="164" t="s">
        <v>203</v>
      </c>
      <c r="Z2799" s="164" t="s">
        <v>195</v>
      </c>
      <c r="AA2799" s="164" t="s">
        <v>196</v>
      </c>
      <c r="AB2799" s="164" t="s">
        <v>187</v>
      </c>
      <c r="AC2799" s="164" t="s">
        <v>209</v>
      </c>
      <c r="AD2799" s="165">
        <v>1</v>
      </c>
      <c r="AE2799" s="164" t="s">
        <v>187</v>
      </c>
      <c r="AF2799" s="165">
        <v>30.882159999999999</v>
      </c>
      <c r="AG2799" s="166">
        <v>68.31223</v>
      </c>
      <c r="AO2799" s="121"/>
      <c r="AT2799" s="111"/>
      <c r="AX2799" s="121"/>
    </row>
    <row r="2800" spans="1:50" s="110" customFormat="1" ht="20" customHeight="1">
      <c r="A2800" s="125" t="s">
        <v>408</v>
      </c>
      <c r="B2800" s="126" t="s">
        <v>64</v>
      </c>
      <c r="C2800" s="127">
        <v>18274</v>
      </c>
      <c r="D2800" s="163">
        <v>113818</v>
      </c>
      <c r="E2800" s="164" t="s">
        <v>1472</v>
      </c>
      <c r="F2800" s="164" t="s">
        <v>1472</v>
      </c>
      <c r="G2800" s="165">
        <v>900</v>
      </c>
      <c r="H2800" s="165">
        <v>1</v>
      </c>
      <c r="I2800" s="164" t="s">
        <v>187</v>
      </c>
      <c r="J2800" s="164" t="s">
        <v>1473</v>
      </c>
      <c r="K2800" s="164" t="s">
        <v>1217</v>
      </c>
      <c r="L2800" s="165">
        <v>5</v>
      </c>
      <c r="M2800" s="165">
        <v>6</v>
      </c>
      <c r="N2800" s="164" t="s">
        <v>189</v>
      </c>
      <c r="O2800" s="165">
        <v>0</v>
      </c>
      <c r="P2800" s="165">
        <v>0</v>
      </c>
      <c r="Q2800" s="165">
        <v>24</v>
      </c>
      <c r="R2800" s="164" t="s">
        <v>307</v>
      </c>
      <c r="S2800" s="164" t="s">
        <v>308</v>
      </c>
      <c r="T2800" s="165">
        <v>309</v>
      </c>
      <c r="U2800" s="164" t="s">
        <v>1216</v>
      </c>
      <c r="V2800" s="164" t="s">
        <v>1217</v>
      </c>
      <c r="W2800" s="165">
        <v>68</v>
      </c>
      <c r="X2800" s="165">
        <v>2</v>
      </c>
      <c r="Y2800" s="164" t="s">
        <v>194</v>
      </c>
      <c r="Z2800" s="164" t="s">
        <v>195</v>
      </c>
      <c r="AA2800" s="164" t="s">
        <v>196</v>
      </c>
      <c r="AB2800" s="164" t="s">
        <v>209</v>
      </c>
      <c r="AC2800" s="164" t="s">
        <v>209</v>
      </c>
      <c r="AD2800" s="165">
        <v>1</v>
      </c>
      <c r="AE2800" s="164" t="s">
        <v>187</v>
      </c>
      <c r="AF2800" s="165">
        <v>1.312327</v>
      </c>
      <c r="AG2800" s="166">
        <v>103.799729</v>
      </c>
      <c r="AO2800" s="121"/>
      <c r="AT2800" s="111"/>
      <c r="AX2800" s="121"/>
    </row>
    <row r="2801" spans="1:50" s="110" customFormat="1" ht="20" customHeight="1">
      <c r="A2801" s="125" t="s">
        <v>231</v>
      </c>
      <c r="B2801" s="126" t="s">
        <v>66</v>
      </c>
      <c r="C2801" s="127">
        <v>15654</v>
      </c>
      <c r="D2801" s="163">
        <v>110306</v>
      </c>
      <c r="E2801" s="164" t="s">
        <v>1474</v>
      </c>
      <c r="F2801" s="164" t="s">
        <v>1474</v>
      </c>
      <c r="G2801" s="165">
        <v>153000</v>
      </c>
      <c r="H2801" s="165">
        <v>1</v>
      </c>
      <c r="I2801" s="164" t="s">
        <v>187</v>
      </c>
      <c r="J2801" s="164" t="s">
        <v>1475</v>
      </c>
      <c r="K2801" s="164" t="s">
        <v>1474</v>
      </c>
      <c r="L2801" s="165">
        <v>5</v>
      </c>
      <c r="M2801" s="165">
        <v>6</v>
      </c>
      <c r="N2801" s="164" t="s">
        <v>189</v>
      </c>
      <c r="O2801" s="165">
        <v>0</v>
      </c>
      <c r="P2801" s="165">
        <v>0</v>
      </c>
      <c r="Q2801" s="165">
        <v>24</v>
      </c>
      <c r="R2801" s="164" t="s">
        <v>307</v>
      </c>
      <c r="S2801" s="164" t="s">
        <v>308</v>
      </c>
      <c r="T2801" s="165">
        <v>310</v>
      </c>
      <c r="U2801" s="164" t="s">
        <v>1476</v>
      </c>
      <c r="V2801" s="164" t="s">
        <v>1474</v>
      </c>
      <c r="W2801" s="165">
        <v>12</v>
      </c>
      <c r="X2801" s="165">
        <v>4</v>
      </c>
      <c r="Y2801" s="164" t="s">
        <v>203</v>
      </c>
      <c r="Z2801" s="164" t="s">
        <v>195</v>
      </c>
      <c r="AA2801" s="164" t="s">
        <v>196</v>
      </c>
      <c r="AB2801" s="164" t="s">
        <v>187</v>
      </c>
      <c r="AC2801" s="164" t="s">
        <v>209</v>
      </c>
      <c r="AD2801" s="165">
        <v>3</v>
      </c>
      <c r="AE2801" s="164" t="s">
        <v>187</v>
      </c>
      <c r="AF2801" s="165">
        <v>33.976739999999999</v>
      </c>
      <c r="AG2801" s="166">
        <v>71.561049999999994</v>
      </c>
      <c r="AO2801" s="121"/>
      <c r="AT2801" s="111"/>
      <c r="AX2801" s="121"/>
    </row>
    <row r="2802" spans="1:50" s="110" customFormat="1" ht="20" customHeight="1">
      <c r="A2802" s="125" t="s">
        <v>231</v>
      </c>
      <c r="B2802" s="126" t="s">
        <v>66</v>
      </c>
      <c r="C2802" s="127">
        <v>14039</v>
      </c>
      <c r="D2802" s="163">
        <v>107469</v>
      </c>
      <c r="E2802" s="164" t="s">
        <v>1489</v>
      </c>
      <c r="F2802" s="164" t="s">
        <v>1490</v>
      </c>
      <c r="G2802" s="165">
        <v>263000</v>
      </c>
      <c r="H2802" s="165">
        <v>1</v>
      </c>
      <c r="I2802" s="164" t="s">
        <v>187</v>
      </c>
      <c r="J2802" s="164" t="s">
        <v>1491</v>
      </c>
      <c r="K2802" s="164" t="s">
        <v>1489</v>
      </c>
      <c r="L2802" s="165">
        <v>5</v>
      </c>
      <c r="M2802" s="165">
        <v>6</v>
      </c>
      <c r="N2802" s="164" t="s">
        <v>189</v>
      </c>
      <c r="O2802" s="165">
        <v>0</v>
      </c>
      <c r="P2802" s="165">
        <v>0</v>
      </c>
      <c r="Q2802" s="165">
        <v>24</v>
      </c>
      <c r="R2802" s="164" t="s">
        <v>307</v>
      </c>
      <c r="S2802" s="164" t="s">
        <v>308</v>
      </c>
      <c r="T2802" s="165">
        <v>314</v>
      </c>
      <c r="U2802" s="164" t="s">
        <v>1492</v>
      </c>
      <c r="V2802" s="164" t="s">
        <v>1490</v>
      </c>
      <c r="W2802" s="165">
        <v>19</v>
      </c>
      <c r="X2802" s="165">
        <v>4</v>
      </c>
      <c r="Y2802" s="164" t="s">
        <v>203</v>
      </c>
      <c r="Z2802" s="164" t="s">
        <v>195</v>
      </c>
      <c r="AA2802" s="164" t="s">
        <v>196</v>
      </c>
      <c r="AB2802" s="164" t="s">
        <v>187</v>
      </c>
      <c r="AC2802" s="164" t="s">
        <v>209</v>
      </c>
      <c r="AD2802" s="165">
        <v>5</v>
      </c>
      <c r="AE2802" s="164" t="s">
        <v>187</v>
      </c>
      <c r="AF2802" s="165">
        <v>33.976739999999999</v>
      </c>
      <c r="AG2802" s="166">
        <v>71.561049999999994</v>
      </c>
      <c r="AO2802" s="121"/>
      <c r="AT2802" s="111"/>
      <c r="AX2802" s="121"/>
    </row>
    <row r="2803" spans="1:50" s="110" customFormat="1" ht="20" customHeight="1">
      <c r="A2803" s="125" t="s">
        <v>185</v>
      </c>
      <c r="B2803" s="126" t="s">
        <v>59</v>
      </c>
      <c r="C2803" s="127">
        <v>12051</v>
      </c>
      <c r="D2803" s="145">
        <v>103686</v>
      </c>
      <c r="E2803" s="146" t="s">
        <v>2389</v>
      </c>
      <c r="F2803" s="146" t="s">
        <v>2389</v>
      </c>
      <c r="G2803" s="147">
        <v>1277000</v>
      </c>
      <c r="H2803" s="147">
        <v>4</v>
      </c>
      <c r="I2803" s="146" t="s">
        <v>209</v>
      </c>
      <c r="J2803" s="146" t="s">
        <v>738</v>
      </c>
      <c r="K2803" s="146" t="s">
        <v>739</v>
      </c>
      <c r="L2803" s="147">
        <v>5</v>
      </c>
      <c r="M2803" s="147">
        <v>7</v>
      </c>
      <c r="N2803" s="146" t="s">
        <v>2390</v>
      </c>
      <c r="O2803" s="147">
        <v>35</v>
      </c>
      <c r="P2803" s="147">
        <v>9.4390000000000001</v>
      </c>
      <c r="Q2803" s="147">
        <v>11</v>
      </c>
      <c r="R2803" s="146" t="s">
        <v>740</v>
      </c>
      <c r="S2803" s="146" t="s">
        <v>741</v>
      </c>
      <c r="T2803" s="147">
        <v>161</v>
      </c>
      <c r="U2803" s="146" t="s">
        <v>2134</v>
      </c>
      <c r="V2803" s="146" t="s">
        <v>2135</v>
      </c>
      <c r="W2803" s="147">
        <v>55</v>
      </c>
      <c r="X2803" s="147">
        <v>2</v>
      </c>
      <c r="Y2803" s="146" t="s">
        <v>194</v>
      </c>
      <c r="Z2803" s="146" t="s">
        <v>195</v>
      </c>
      <c r="AA2803" s="146" t="s">
        <v>196</v>
      </c>
      <c r="AB2803" s="146" t="s">
        <v>187</v>
      </c>
      <c r="AC2803" s="146" t="s">
        <v>209</v>
      </c>
      <c r="AD2803" s="148"/>
      <c r="AE2803" s="146" t="s">
        <v>209</v>
      </c>
      <c r="AF2803" s="147">
        <v>-6.2943100000000003</v>
      </c>
      <c r="AG2803" s="149">
        <v>107.12853</v>
      </c>
      <c r="AO2803" s="121"/>
      <c r="AT2803" s="111"/>
      <c r="AX2803" s="121"/>
    </row>
    <row r="2804" spans="1:50" s="110" customFormat="1" ht="20" customHeight="1">
      <c r="A2804" s="125" t="s">
        <v>185</v>
      </c>
      <c r="B2804" s="126" t="s">
        <v>59</v>
      </c>
      <c r="C2804" s="127">
        <v>12057</v>
      </c>
      <c r="D2804" s="145">
        <v>103701</v>
      </c>
      <c r="E2804" s="146" t="s">
        <v>3433</v>
      </c>
      <c r="F2804" s="146" t="s">
        <v>3433</v>
      </c>
      <c r="G2804" s="147">
        <v>213000</v>
      </c>
      <c r="H2804" s="147">
        <v>4</v>
      </c>
      <c r="I2804" s="146" t="s">
        <v>209</v>
      </c>
      <c r="J2804" s="146" t="s">
        <v>2606</v>
      </c>
      <c r="K2804" s="146" t="s">
        <v>2607</v>
      </c>
      <c r="L2804" s="147">
        <v>5</v>
      </c>
      <c r="M2804" s="147">
        <v>7</v>
      </c>
      <c r="N2804" s="146" t="s">
        <v>2390</v>
      </c>
      <c r="O2804" s="147">
        <v>9</v>
      </c>
      <c r="P2804" s="147">
        <v>5</v>
      </c>
      <c r="Q2804" s="147">
        <v>11</v>
      </c>
      <c r="R2804" s="146" t="s">
        <v>740</v>
      </c>
      <c r="S2804" s="146" t="s">
        <v>741</v>
      </c>
      <c r="T2804" s="147">
        <v>161</v>
      </c>
      <c r="U2804" s="146" t="s">
        <v>2134</v>
      </c>
      <c r="V2804" s="146" t="s">
        <v>2135</v>
      </c>
      <c r="W2804" s="147">
        <v>36</v>
      </c>
      <c r="X2804" s="147">
        <v>2</v>
      </c>
      <c r="Y2804" s="146" t="s">
        <v>194</v>
      </c>
      <c r="Z2804" s="146" t="s">
        <v>195</v>
      </c>
      <c r="AA2804" s="146" t="s">
        <v>196</v>
      </c>
      <c r="AB2804" s="146" t="s">
        <v>187</v>
      </c>
      <c r="AC2804" s="146" t="s">
        <v>209</v>
      </c>
      <c r="AD2804" s="148"/>
      <c r="AE2804" s="146" t="s">
        <v>209</v>
      </c>
      <c r="AF2804" s="147">
        <v>-6.35731</v>
      </c>
      <c r="AG2804" s="149">
        <v>106.49027</v>
      </c>
      <c r="AO2804" s="121"/>
      <c r="AT2804" s="111"/>
      <c r="AX2804" s="121"/>
    </row>
    <row r="2805" spans="1:50" s="110" customFormat="1" ht="20" customHeight="1">
      <c r="A2805" s="125" t="s">
        <v>185</v>
      </c>
      <c r="B2805" s="126" t="s">
        <v>59</v>
      </c>
      <c r="C2805" s="127">
        <v>18478</v>
      </c>
      <c r="D2805" s="145">
        <v>114085</v>
      </c>
      <c r="E2805" s="146" t="s">
        <v>3500</v>
      </c>
      <c r="F2805" s="146" t="s">
        <v>3500</v>
      </c>
      <c r="G2805" s="147">
        <v>24000</v>
      </c>
      <c r="H2805" s="147">
        <v>4</v>
      </c>
      <c r="I2805" s="146" t="s">
        <v>209</v>
      </c>
      <c r="J2805" s="146" t="s">
        <v>3501</v>
      </c>
      <c r="K2805" s="146" t="s">
        <v>3502</v>
      </c>
      <c r="L2805" s="147">
        <v>5</v>
      </c>
      <c r="M2805" s="147">
        <v>7</v>
      </c>
      <c r="N2805" s="146" t="s">
        <v>2390</v>
      </c>
      <c r="O2805" s="147">
        <v>9</v>
      </c>
      <c r="P2805" s="147">
        <v>5</v>
      </c>
      <c r="Q2805" s="147">
        <v>11</v>
      </c>
      <c r="R2805" s="146" t="s">
        <v>740</v>
      </c>
      <c r="S2805" s="146" t="s">
        <v>741</v>
      </c>
      <c r="T2805" s="147">
        <v>161</v>
      </c>
      <c r="U2805" s="146" t="s">
        <v>2134</v>
      </c>
      <c r="V2805" s="146" t="s">
        <v>2135</v>
      </c>
      <c r="W2805" s="147">
        <v>6</v>
      </c>
      <c r="X2805" s="147">
        <v>2</v>
      </c>
      <c r="Y2805" s="146" t="s">
        <v>194</v>
      </c>
      <c r="Z2805" s="146" t="s">
        <v>195</v>
      </c>
      <c r="AA2805" s="146" t="s">
        <v>196</v>
      </c>
      <c r="AB2805" s="146" t="s">
        <v>187</v>
      </c>
      <c r="AC2805" s="146" t="s">
        <v>209</v>
      </c>
      <c r="AD2805" s="148"/>
      <c r="AE2805" s="146" t="s">
        <v>209</v>
      </c>
      <c r="AF2805" s="147">
        <v>-8.0289999999999999</v>
      </c>
      <c r="AG2805" s="149">
        <v>112.97</v>
      </c>
      <c r="AO2805" s="121"/>
      <c r="AT2805" s="111"/>
      <c r="AX2805" s="121"/>
    </row>
    <row r="2806" spans="1:50" s="110" customFormat="1" ht="20" customHeight="1">
      <c r="A2806" s="125" t="s">
        <v>471</v>
      </c>
      <c r="B2806" s="126" t="s">
        <v>65</v>
      </c>
      <c r="C2806" s="127">
        <v>12051</v>
      </c>
      <c r="D2806" s="145">
        <v>103686</v>
      </c>
      <c r="E2806" s="146" t="s">
        <v>2389</v>
      </c>
      <c r="F2806" s="146" t="s">
        <v>2389</v>
      </c>
      <c r="G2806" s="147">
        <v>66000</v>
      </c>
      <c r="H2806" s="147">
        <v>4</v>
      </c>
      <c r="I2806" s="146" t="s">
        <v>209</v>
      </c>
      <c r="J2806" s="146" t="s">
        <v>738</v>
      </c>
      <c r="K2806" s="146" t="s">
        <v>739</v>
      </c>
      <c r="L2806" s="147">
        <v>5</v>
      </c>
      <c r="M2806" s="147">
        <v>7</v>
      </c>
      <c r="N2806" s="146" t="s">
        <v>2390</v>
      </c>
      <c r="O2806" s="147">
        <v>8</v>
      </c>
      <c r="P2806" s="147">
        <v>5</v>
      </c>
      <c r="Q2806" s="147">
        <v>11</v>
      </c>
      <c r="R2806" s="146" t="s">
        <v>740</v>
      </c>
      <c r="S2806" s="146" t="s">
        <v>741</v>
      </c>
      <c r="T2806" s="147">
        <v>161</v>
      </c>
      <c r="U2806" s="146" t="s">
        <v>2134</v>
      </c>
      <c r="V2806" s="146" t="s">
        <v>2135</v>
      </c>
      <c r="W2806" s="147">
        <v>55</v>
      </c>
      <c r="X2806" s="147">
        <v>2</v>
      </c>
      <c r="Y2806" s="146" t="s">
        <v>194</v>
      </c>
      <c r="Z2806" s="146" t="s">
        <v>195</v>
      </c>
      <c r="AA2806" s="146" t="s">
        <v>196</v>
      </c>
      <c r="AB2806" s="146" t="s">
        <v>187</v>
      </c>
      <c r="AC2806" s="146" t="s">
        <v>209</v>
      </c>
      <c r="AD2806" s="148"/>
      <c r="AE2806" s="146" t="s">
        <v>209</v>
      </c>
      <c r="AF2806" s="147">
        <v>16.43188</v>
      </c>
      <c r="AG2806" s="149">
        <v>106.04143999999999</v>
      </c>
      <c r="AO2806" s="121"/>
      <c r="AT2806" s="111"/>
      <c r="AX2806" s="121"/>
    </row>
    <row r="2807" spans="1:50" s="110" customFormat="1" ht="20" customHeight="1">
      <c r="A2807" s="125" t="s">
        <v>471</v>
      </c>
      <c r="B2807" s="126" t="s">
        <v>65</v>
      </c>
      <c r="C2807" s="127">
        <v>12057</v>
      </c>
      <c r="D2807" s="145">
        <v>103701</v>
      </c>
      <c r="E2807" s="146" t="s">
        <v>3433</v>
      </c>
      <c r="F2807" s="146" t="s">
        <v>3433</v>
      </c>
      <c r="G2807" s="147">
        <v>18000</v>
      </c>
      <c r="H2807" s="147">
        <v>4</v>
      </c>
      <c r="I2807" s="146" t="s">
        <v>209</v>
      </c>
      <c r="J2807" s="146" t="s">
        <v>2606</v>
      </c>
      <c r="K2807" s="146" t="s">
        <v>2607</v>
      </c>
      <c r="L2807" s="147">
        <v>5</v>
      </c>
      <c r="M2807" s="147">
        <v>7</v>
      </c>
      <c r="N2807" s="146" t="s">
        <v>2390</v>
      </c>
      <c r="O2807" s="147">
        <v>8</v>
      </c>
      <c r="P2807" s="147">
        <v>5</v>
      </c>
      <c r="Q2807" s="147">
        <v>11</v>
      </c>
      <c r="R2807" s="146" t="s">
        <v>740</v>
      </c>
      <c r="S2807" s="146" t="s">
        <v>741</v>
      </c>
      <c r="T2807" s="147">
        <v>161</v>
      </c>
      <c r="U2807" s="146" t="s">
        <v>2134</v>
      </c>
      <c r="V2807" s="146" t="s">
        <v>2135</v>
      </c>
      <c r="W2807" s="147">
        <v>36</v>
      </c>
      <c r="X2807" s="147">
        <v>2</v>
      </c>
      <c r="Y2807" s="146" t="s">
        <v>194</v>
      </c>
      <c r="Z2807" s="146" t="s">
        <v>195</v>
      </c>
      <c r="AA2807" s="146" t="s">
        <v>196</v>
      </c>
      <c r="AB2807" s="146" t="s">
        <v>187</v>
      </c>
      <c r="AC2807" s="146" t="s">
        <v>209</v>
      </c>
      <c r="AD2807" s="148"/>
      <c r="AE2807" s="146" t="s">
        <v>209</v>
      </c>
      <c r="AF2807" s="147">
        <v>17.9455933383618</v>
      </c>
      <c r="AG2807" s="149">
        <v>102.629888380145</v>
      </c>
      <c r="AO2807" s="121"/>
      <c r="AT2807" s="111"/>
      <c r="AX2807" s="121"/>
    </row>
    <row r="2808" spans="1:50" s="110" customFormat="1" ht="20" customHeight="1">
      <c r="A2808" s="125" t="s">
        <v>239</v>
      </c>
      <c r="B2808" s="126" t="s">
        <v>67</v>
      </c>
      <c r="C2808" s="127">
        <v>12051</v>
      </c>
      <c r="D2808" s="145">
        <v>103686</v>
      </c>
      <c r="E2808" s="146" t="s">
        <v>2389</v>
      </c>
      <c r="F2808" s="146" t="s">
        <v>2389</v>
      </c>
      <c r="G2808" s="147">
        <v>1100</v>
      </c>
      <c r="H2808" s="147">
        <v>4</v>
      </c>
      <c r="I2808" s="146" t="s">
        <v>209</v>
      </c>
      <c r="J2808" s="146" t="s">
        <v>738</v>
      </c>
      <c r="K2808" s="146" t="s">
        <v>739</v>
      </c>
      <c r="L2808" s="147">
        <v>5</v>
      </c>
      <c r="M2808" s="147">
        <v>7</v>
      </c>
      <c r="N2808" s="146" t="s">
        <v>2390</v>
      </c>
      <c r="O2808" s="147">
        <v>9</v>
      </c>
      <c r="P2808" s="147">
        <v>6</v>
      </c>
      <c r="Q2808" s="147">
        <v>11</v>
      </c>
      <c r="R2808" s="146" t="s">
        <v>740</v>
      </c>
      <c r="S2808" s="146" t="s">
        <v>741</v>
      </c>
      <c r="T2808" s="147">
        <v>161</v>
      </c>
      <c r="U2808" s="146" t="s">
        <v>2134</v>
      </c>
      <c r="V2808" s="146" t="s">
        <v>2135</v>
      </c>
      <c r="W2808" s="147">
        <v>55</v>
      </c>
      <c r="X2808" s="147">
        <v>2</v>
      </c>
      <c r="Y2808" s="146" t="s">
        <v>194</v>
      </c>
      <c r="Z2808" s="146" t="s">
        <v>195</v>
      </c>
      <c r="AA2808" s="146" t="s">
        <v>196</v>
      </c>
      <c r="AB2808" s="146" t="s">
        <v>209</v>
      </c>
      <c r="AC2808" s="146" t="s">
        <v>209</v>
      </c>
      <c r="AD2808" s="148"/>
      <c r="AE2808" s="146" t="s">
        <v>209</v>
      </c>
      <c r="AF2808" s="147">
        <v>15.674440000000001</v>
      </c>
      <c r="AG2808" s="149">
        <v>120.28437</v>
      </c>
      <c r="AO2808" s="121"/>
      <c r="AT2808" s="111"/>
      <c r="AX2808" s="121"/>
    </row>
    <row r="2809" spans="1:50" s="110" customFormat="1" ht="20" customHeight="1">
      <c r="A2809" s="125" t="s">
        <v>408</v>
      </c>
      <c r="B2809" s="126" t="s">
        <v>64</v>
      </c>
      <c r="C2809" s="127">
        <v>12054</v>
      </c>
      <c r="D2809" s="145">
        <v>103691</v>
      </c>
      <c r="E2809" s="146" t="s">
        <v>2157</v>
      </c>
      <c r="F2809" s="146" t="s">
        <v>2157</v>
      </c>
      <c r="G2809" s="147">
        <v>251000</v>
      </c>
      <c r="H2809" s="147">
        <v>4</v>
      </c>
      <c r="I2809" s="146" t="s">
        <v>209</v>
      </c>
      <c r="J2809" s="146" t="s">
        <v>2158</v>
      </c>
      <c r="K2809" s="146" t="s">
        <v>2159</v>
      </c>
      <c r="L2809" s="147">
        <v>5</v>
      </c>
      <c r="M2809" s="147">
        <v>7</v>
      </c>
      <c r="N2809" s="146" t="s">
        <v>2390</v>
      </c>
      <c r="O2809" s="147">
        <v>9</v>
      </c>
      <c r="P2809" s="147">
        <v>6</v>
      </c>
      <c r="Q2809" s="147">
        <v>11</v>
      </c>
      <c r="R2809" s="146" t="s">
        <v>740</v>
      </c>
      <c r="S2809" s="146" t="s">
        <v>741</v>
      </c>
      <c r="T2809" s="147">
        <v>161</v>
      </c>
      <c r="U2809" s="146" t="s">
        <v>2134</v>
      </c>
      <c r="V2809" s="146" t="s">
        <v>2135</v>
      </c>
      <c r="W2809" s="147">
        <v>22</v>
      </c>
      <c r="X2809" s="147">
        <v>2</v>
      </c>
      <c r="Y2809" s="146" t="s">
        <v>194</v>
      </c>
      <c r="Z2809" s="146" t="s">
        <v>195</v>
      </c>
      <c r="AA2809" s="146" t="s">
        <v>196</v>
      </c>
      <c r="AB2809" s="146" t="s">
        <v>209</v>
      </c>
      <c r="AC2809" s="146" t="s">
        <v>187</v>
      </c>
      <c r="AD2809" s="148"/>
      <c r="AE2809" s="146" t="s">
        <v>209</v>
      </c>
      <c r="AF2809" s="147">
        <v>1.31613</v>
      </c>
      <c r="AG2809" s="149">
        <v>103.67301999999999</v>
      </c>
      <c r="AO2809" s="121"/>
      <c r="AT2809" s="111"/>
      <c r="AX2809" s="121"/>
    </row>
    <row r="2810" spans="1:50" s="110" customFormat="1" ht="20" customHeight="1">
      <c r="A2810" s="125" t="s">
        <v>408</v>
      </c>
      <c r="B2810" s="126" t="s">
        <v>64</v>
      </c>
      <c r="C2810" s="127">
        <v>12053</v>
      </c>
      <c r="D2810" s="145">
        <v>103690</v>
      </c>
      <c r="E2810" s="146" t="s">
        <v>3497</v>
      </c>
      <c r="F2810" s="146" t="s">
        <v>3497</v>
      </c>
      <c r="G2810" s="147">
        <v>191000</v>
      </c>
      <c r="H2810" s="147">
        <v>4</v>
      </c>
      <c r="I2810" s="146" t="s">
        <v>209</v>
      </c>
      <c r="J2810" s="146" t="s">
        <v>3230</v>
      </c>
      <c r="K2810" s="146" t="s">
        <v>3231</v>
      </c>
      <c r="L2810" s="147">
        <v>5</v>
      </c>
      <c r="M2810" s="147">
        <v>7</v>
      </c>
      <c r="N2810" s="146" t="s">
        <v>2390</v>
      </c>
      <c r="O2810" s="147">
        <v>10</v>
      </c>
      <c r="P2810" s="147">
        <v>7</v>
      </c>
      <c r="Q2810" s="147">
        <v>11</v>
      </c>
      <c r="R2810" s="146" t="s">
        <v>740</v>
      </c>
      <c r="S2810" s="146" t="s">
        <v>741</v>
      </c>
      <c r="T2810" s="147">
        <v>161</v>
      </c>
      <c r="U2810" s="146" t="s">
        <v>2134</v>
      </c>
      <c r="V2810" s="146" t="s">
        <v>2135</v>
      </c>
      <c r="W2810" s="147">
        <v>5</v>
      </c>
      <c r="X2810" s="147">
        <v>2</v>
      </c>
      <c r="Y2810" s="146" t="s">
        <v>194</v>
      </c>
      <c r="Z2810" s="146" t="s">
        <v>195</v>
      </c>
      <c r="AA2810" s="146" t="s">
        <v>196</v>
      </c>
      <c r="AB2810" s="146" t="s">
        <v>209</v>
      </c>
      <c r="AC2810" s="146" t="s">
        <v>187</v>
      </c>
      <c r="AD2810" s="148"/>
      <c r="AE2810" s="146" t="s">
        <v>209</v>
      </c>
      <c r="AF2810" s="147">
        <v>1.31675996010409</v>
      </c>
      <c r="AG2810" s="149">
        <v>103.679546936042</v>
      </c>
      <c r="AO2810" s="121"/>
      <c r="AT2810" s="111"/>
      <c r="AX2810" s="121"/>
    </row>
    <row r="2811" spans="1:50" s="110" customFormat="1" ht="20" customHeight="1">
      <c r="A2811" s="125" t="s">
        <v>408</v>
      </c>
      <c r="B2811" s="126" t="s">
        <v>64</v>
      </c>
      <c r="C2811" s="127">
        <v>18478</v>
      </c>
      <c r="D2811" s="145">
        <v>114085</v>
      </c>
      <c r="E2811" s="146" t="s">
        <v>3500</v>
      </c>
      <c r="F2811" s="146" t="s">
        <v>3500</v>
      </c>
      <c r="G2811" s="147">
        <v>56000</v>
      </c>
      <c r="H2811" s="147">
        <v>4</v>
      </c>
      <c r="I2811" s="146" t="s">
        <v>209</v>
      </c>
      <c r="J2811" s="146" t="s">
        <v>3501</v>
      </c>
      <c r="K2811" s="146" t="s">
        <v>3502</v>
      </c>
      <c r="L2811" s="147">
        <v>5</v>
      </c>
      <c r="M2811" s="147">
        <v>7</v>
      </c>
      <c r="N2811" s="146" t="s">
        <v>2390</v>
      </c>
      <c r="O2811" s="147">
        <v>8</v>
      </c>
      <c r="P2811" s="147">
        <v>5</v>
      </c>
      <c r="Q2811" s="147">
        <v>11</v>
      </c>
      <c r="R2811" s="146" t="s">
        <v>740</v>
      </c>
      <c r="S2811" s="146" t="s">
        <v>741</v>
      </c>
      <c r="T2811" s="147">
        <v>161</v>
      </c>
      <c r="U2811" s="146" t="s">
        <v>2134</v>
      </c>
      <c r="V2811" s="146" t="s">
        <v>2135</v>
      </c>
      <c r="W2811" s="147">
        <v>6</v>
      </c>
      <c r="X2811" s="147">
        <v>2</v>
      </c>
      <c r="Y2811" s="146" t="s">
        <v>194</v>
      </c>
      <c r="Z2811" s="146" t="s">
        <v>195</v>
      </c>
      <c r="AA2811" s="146" t="s">
        <v>196</v>
      </c>
      <c r="AB2811" s="146" t="s">
        <v>209</v>
      </c>
      <c r="AC2811" s="146" t="s">
        <v>187</v>
      </c>
      <c r="AD2811" s="148"/>
      <c r="AE2811" s="146" t="s">
        <v>209</v>
      </c>
      <c r="AF2811" s="147">
        <v>1.3520000000000001</v>
      </c>
      <c r="AG2811" s="149">
        <v>103.82</v>
      </c>
      <c r="AO2811" s="121"/>
      <c r="AT2811" s="111"/>
      <c r="AX2811" s="121"/>
    </row>
    <row r="2812" spans="1:50" s="110" customFormat="1" ht="20" customHeight="1">
      <c r="A2812" s="125" t="s">
        <v>408</v>
      </c>
      <c r="B2812" s="126" t="s">
        <v>64</v>
      </c>
      <c r="C2812" s="127">
        <v>18481</v>
      </c>
      <c r="D2812" s="145">
        <v>114089</v>
      </c>
      <c r="E2812" s="146" t="s">
        <v>4197</v>
      </c>
      <c r="F2812" s="146" t="s">
        <v>4197</v>
      </c>
      <c r="G2812" s="147">
        <v>28000</v>
      </c>
      <c r="H2812" s="147">
        <v>4</v>
      </c>
      <c r="I2812" s="146" t="s">
        <v>209</v>
      </c>
      <c r="J2812" s="146" t="s">
        <v>4198</v>
      </c>
      <c r="K2812" s="146" t="s">
        <v>4199</v>
      </c>
      <c r="L2812" s="147">
        <v>5</v>
      </c>
      <c r="M2812" s="147">
        <v>7</v>
      </c>
      <c r="N2812" s="146" t="s">
        <v>2390</v>
      </c>
      <c r="O2812" s="147">
        <v>9</v>
      </c>
      <c r="P2812" s="147">
        <v>5.7</v>
      </c>
      <c r="Q2812" s="147">
        <v>11</v>
      </c>
      <c r="R2812" s="146" t="s">
        <v>740</v>
      </c>
      <c r="S2812" s="146" t="s">
        <v>741</v>
      </c>
      <c r="T2812" s="147">
        <v>161</v>
      </c>
      <c r="U2812" s="146" t="s">
        <v>2134</v>
      </c>
      <c r="V2812" s="146" t="s">
        <v>2135</v>
      </c>
      <c r="W2812" s="147">
        <v>3</v>
      </c>
      <c r="X2812" s="147">
        <v>2</v>
      </c>
      <c r="Y2812" s="146" t="s">
        <v>194</v>
      </c>
      <c r="Z2812" s="146" t="s">
        <v>195</v>
      </c>
      <c r="AA2812" s="146" t="s">
        <v>196</v>
      </c>
      <c r="AB2812" s="146" t="s">
        <v>209</v>
      </c>
      <c r="AC2812" s="146" t="s">
        <v>187</v>
      </c>
      <c r="AD2812" s="148"/>
      <c r="AE2812" s="146" t="s">
        <v>209</v>
      </c>
      <c r="AF2812" s="147">
        <v>1.367</v>
      </c>
      <c r="AG2812" s="149">
        <v>103.706</v>
      </c>
      <c r="AO2812" s="121"/>
      <c r="AT2812" s="111"/>
      <c r="AX2812" s="121"/>
    </row>
    <row r="2813" spans="1:50" s="110" customFormat="1" ht="20" customHeight="1">
      <c r="A2813" s="125" t="s">
        <v>408</v>
      </c>
      <c r="B2813" s="126" t="s">
        <v>64</v>
      </c>
      <c r="C2813" s="127">
        <v>11343</v>
      </c>
      <c r="D2813" s="145">
        <v>102138</v>
      </c>
      <c r="E2813" s="146" t="s">
        <v>3588</v>
      </c>
      <c r="F2813" s="146" t="s">
        <v>3588</v>
      </c>
      <c r="G2813" s="147">
        <v>18000</v>
      </c>
      <c r="H2813" s="147">
        <v>4</v>
      </c>
      <c r="I2813" s="146" t="s">
        <v>209</v>
      </c>
      <c r="J2813" s="146" t="s">
        <v>3589</v>
      </c>
      <c r="K2813" s="146" t="s">
        <v>3590</v>
      </c>
      <c r="L2813" s="147">
        <v>4</v>
      </c>
      <c r="M2813" s="147">
        <v>7</v>
      </c>
      <c r="N2813" s="146" t="s">
        <v>2390</v>
      </c>
      <c r="O2813" s="147">
        <v>9</v>
      </c>
      <c r="P2813" s="147">
        <v>6</v>
      </c>
      <c r="Q2813" s="147">
        <v>11</v>
      </c>
      <c r="R2813" s="146" t="s">
        <v>740</v>
      </c>
      <c r="S2813" s="146" t="s">
        <v>741</v>
      </c>
      <c r="T2813" s="147">
        <v>161</v>
      </c>
      <c r="U2813" s="146" t="s">
        <v>2134</v>
      </c>
      <c r="V2813" s="146" t="s">
        <v>2135</v>
      </c>
      <c r="W2813" s="147">
        <v>6</v>
      </c>
      <c r="X2813" s="147">
        <v>2</v>
      </c>
      <c r="Y2813" s="146" t="s">
        <v>194</v>
      </c>
      <c r="Z2813" s="146" t="s">
        <v>195</v>
      </c>
      <c r="AA2813" s="146" t="s">
        <v>196</v>
      </c>
      <c r="AB2813" s="146" t="s">
        <v>209</v>
      </c>
      <c r="AC2813" s="146" t="s">
        <v>187</v>
      </c>
      <c r="AD2813" s="148"/>
      <c r="AE2813" s="146" t="s">
        <v>209</v>
      </c>
      <c r="AF2813" s="147">
        <v>1.36056</v>
      </c>
      <c r="AG2813" s="149">
        <v>103.73668000000001</v>
      </c>
      <c r="AO2813" s="121"/>
      <c r="AT2813" s="111"/>
      <c r="AX2813" s="121"/>
    </row>
    <row r="2814" spans="1:50" s="110" customFormat="1" ht="20" customHeight="1">
      <c r="A2814" s="125" t="s">
        <v>480</v>
      </c>
      <c r="B2814" s="126" t="s">
        <v>63</v>
      </c>
      <c r="C2814" s="127">
        <v>12057</v>
      </c>
      <c r="D2814" s="145">
        <v>103701</v>
      </c>
      <c r="E2814" s="146" t="s">
        <v>3433</v>
      </c>
      <c r="F2814" s="146" t="s">
        <v>3433</v>
      </c>
      <c r="G2814" s="147">
        <v>1064000</v>
      </c>
      <c r="H2814" s="147">
        <v>4</v>
      </c>
      <c r="I2814" s="146" t="s">
        <v>209</v>
      </c>
      <c r="J2814" s="146" t="s">
        <v>2606</v>
      </c>
      <c r="K2814" s="146" t="s">
        <v>2607</v>
      </c>
      <c r="L2814" s="147">
        <v>5</v>
      </c>
      <c r="M2814" s="147">
        <v>7</v>
      </c>
      <c r="N2814" s="146" t="s">
        <v>2390</v>
      </c>
      <c r="O2814" s="147">
        <v>8</v>
      </c>
      <c r="P2814" s="147">
        <v>5.8460000000000001</v>
      </c>
      <c r="Q2814" s="147">
        <v>11</v>
      </c>
      <c r="R2814" s="146" t="s">
        <v>740</v>
      </c>
      <c r="S2814" s="146" t="s">
        <v>741</v>
      </c>
      <c r="T2814" s="147">
        <v>161</v>
      </c>
      <c r="U2814" s="146" t="s">
        <v>2134</v>
      </c>
      <c r="V2814" s="146" t="s">
        <v>2135</v>
      </c>
      <c r="W2814" s="147">
        <v>36</v>
      </c>
      <c r="X2814" s="147">
        <v>2</v>
      </c>
      <c r="Y2814" s="146" t="s">
        <v>194</v>
      </c>
      <c r="Z2814" s="146" t="s">
        <v>195</v>
      </c>
      <c r="AA2814" s="146" t="s">
        <v>196</v>
      </c>
      <c r="AB2814" s="146" t="s">
        <v>187</v>
      </c>
      <c r="AC2814" s="146" t="s">
        <v>209</v>
      </c>
      <c r="AD2814" s="148"/>
      <c r="AE2814" s="146" t="s">
        <v>209</v>
      </c>
      <c r="AF2814" s="147">
        <v>22.064810000000001</v>
      </c>
      <c r="AG2814" s="149">
        <v>105.77522</v>
      </c>
      <c r="AO2814" s="121"/>
      <c r="AT2814" s="111"/>
      <c r="AX2814" s="121"/>
    </row>
    <row r="2815" spans="1:50" s="110" customFormat="1" ht="20" customHeight="1">
      <c r="A2815" s="125" t="s">
        <v>480</v>
      </c>
      <c r="B2815" s="126" t="s">
        <v>63</v>
      </c>
      <c r="C2815" s="127">
        <v>19206</v>
      </c>
      <c r="D2815" s="145">
        <v>115066</v>
      </c>
      <c r="E2815" s="146" t="s">
        <v>2132</v>
      </c>
      <c r="F2815" s="146" t="s">
        <v>2132</v>
      </c>
      <c r="G2815" s="147">
        <v>862000</v>
      </c>
      <c r="H2815" s="147">
        <v>4</v>
      </c>
      <c r="I2815" s="146" t="s">
        <v>209</v>
      </c>
      <c r="J2815" s="146" t="s">
        <v>1632</v>
      </c>
      <c r="K2815" s="146" t="s">
        <v>1633</v>
      </c>
      <c r="L2815" s="147">
        <v>5</v>
      </c>
      <c r="M2815" s="147">
        <v>7</v>
      </c>
      <c r="N2815" s="146" t="s">
        <v>2390</v>
      </c>
      <c r="O2815" s="147">
        <v>7</v>
      </c>
      <c r="P2815" s="147">
        <v>5.7</v>
      </c>
      <c r="Q2815" s="147">
        <v>11</v>
      </c>
      <c r="R2815" s="146" t="s">
        <v>740</v>
      </c>
      <c r="S2815" s="146" t="s">
        <v>741</v>
      </c>
      <c r="T2815" s="147">
        <v>161</v>
      </c>
      <c r="U2815" s="146" t="s">
        <v>2134</v>
      </c>
      <c r="V2815" s="146" t="s">
        <v>2135</v>
      </c>
      <c r="W2815" s="147">
        <v>63</v>
      </c>
      <c r="X2815" s="147">
        <v>2</v>
      </c>
      <c r="Y2815" s="146" t="s">
        <v>194</v>
      </c>
      <c r="Z2815" s="146" t="s">
        <v>195</v>
      </c>
      <c r="AA2815" s="146" t="s">
        <v>196</v>
      </c>
      <c r="AB2815" s="146" t="s">
        <v>187</v>
      </c>
      <c r="AC2815" s="146" t="s">
        <v>209</v>
      </c>
      <c r="AD2815" s="148"/>
      <c r="AE2815" s="146" t="s">
        <v>209</v>
      </c>
      <c r="AF2815" s="147">
        <v>20.711471000286402</v>
      </c>
      <c r="AG2815" s="149">
        <v>106.260215999868</v>
      </c>
      <c r="AO2815" s="121"/>
      <c r="AT2815" s="111"/>
      <c r="AX2815" s="121"/>
    </row>
    <row r="2816" spans="1:50" s="110" customFormat="1" ht="20" customHeight="1">
      <c r="A2816" s="125" t="s">
        <v>185</v>
      </c>
      <c r="B2816" s="126" t="s">
        <v>59</v>
      </c>
      <c r="C2816" s="127">
        <v>11659</v>
      </c>
      <c r="D2816" s="145">
        <v>102787</v>
      </c>
      <c r="E2816" s="146" t="s">
        <v>3947</v>
      </c>
      <c r="F2816" s="146" t="s">
        <v>3947</v>
      </c>
      <c r="G2816" s="147">
        <v>17000</v>
      </c>
      <c r="H2816" s="147">
        <v>4</v>
      </c>
      <c r="I2816" s="146" t="s">
        <v>209</v>
      </c>
      <c r="J2816" s="146" t="s">
        <v>3948</v>
      </c>
      <c r="K2816" s="146" t="s">
        <v>3947</v>
      </c>
      <c r="L2816" s="147">
        <v>5</v>
      </c>
      <c r="M2816" s="147">
        <v>7</v>
      </c>
      <c r="N2816" s="146" t="s">
        <v>2390</v>
      </c>
      <c r="O2816" s="147">
        <v>44</v>
      </c>
      <c r="P2816" s="147">
        <v>3</v>
      </c>
      <c r="Q2816" s="147">
        <v>12</v>
      </c>
      <c r="R2816" s="146" t="s">
        <v>1309</v>
      </c>
      <c r="S2816" s="146" t="s">
        <v>1310</v>
      </c>
      <c r="T2816" s="147">
        <v>175</v>
      </c>
      <c r="U2816" s="146" t="s">
        <v>2598</v>
      </c>
      <c r="V2816" s="146" t="s">
        <v>2599</v>
      </c>
      <c r="W2816" s="147">
        <v>29</v>
      </c>
      <c r="X2816" s="147">
        <v>2</v>
      </c>
      <c r="Y2816" s="146" t="s">
        <v>194</v>
      </c>
      <c r="Z2816" s="146" t="s">
        <v>195</v>
      </c>
      <c r="AA2816" s="146" t="s">
        <v>196</v>
      </c>
      <c r="AB2816" s="146" t="s">
        <v>187</v>
      </c>
      <c r="AC2816" s="146" t="s">
        <v>209</v>
      </c>
      <c r="AD2816" s="148"/>
      <c r="AE2816" s="146" t="s">
        <v>209</v>
      </c>
      <c r="AF2816" s="147">
        <v>-6.2361269999999998</v>
      </c>
      <c r="AG2816" s="149">
        <v>106.85784200000001</v>
      </c>
      <c r="AO2816" s="121"/>
      <c r="AT2816" s="111"/>
      <c r="AX2816" s="121"/>
    </row>
    <row r="2817" spans="1:50" s="110" customFormat="1" ht="20" customHeight="1">
      <c r="A2817" s="125" t="s">
        <v>408</v>
      </c>
      <c r="B2817" s="126" t="s">
        <v>64</v>
      </c>
      <c r="C2817" s="127">
        <v>12795</v>
      </c>
      <c r="D2817" s="128">
        <v>105225</v>
      </c>
      <c r="E2817" s="129" t="s">
        <v>2011</v>
      </c>
      <c r="F2817" s="129" t="s">
        <v>2011</v>
      </c>
      <c r="G2817" s="130">
        <v>11000</v>
      </c>
      <c r="H2817" s="130">
        <v>5</v>
      </c>
      <c r="I2817" s="129" t="s">
        <v>209</v>
      </c>
      <c r="J2817" s="129" t="s">
        <v>2012</v>
      </c>
      <c r="K2817" s="129" t="s">
        <v>2011</v>
      </c>
      <c r="L2817" s="130">
        <v>5</v>
      </c>
      <c r="M2817" s="130">
        <v>7</v>
      </c>
      <c r="N2817" s="129" t="s">
        <v>2390</v>
      </c>
      <c r="O2817" s="130">
        <v>28</v>
      </c>
      <c r="P2817" s="130">
        <v>16.8</v>
      </c>
      <c r="Q2817" s="130">
        <v>11</v>
      </c>
      <c r="R2817" s="129" t="s">
        <v>740</v>
      </c>
      <c r="S2817" s="129" t="s">
        <v>741</v>
      </c>
      <c r="T2817" s="130">
        <v>205</v>
      </c>
      <c r="U2817" s="129" t="s">
        <v>2013</v>
      </c>
      <c r="V2817" s="129" t="s">
        <v>2011</v>
      </c>
      <c r="W2817" s="130">
        <v>49</v>
      </c>
      <c r="X2817" s="130">
        <v>2</v>
      </c>
      <c r="Y2817" s="129" t="s">
        <v>194</v>
      </c>
      <c r="Z2817" s="129" t="s">
        <v>195</v>
      </c>
      <c r="AA2817" s="129" t="s">
        <v>196</v>
      </c>
      <c r="AB2817" s="129" t="s">
        <v>209</v>
      </c>
      <c r="AC2817" s="129" t="s">
        <v>209</v>
      </c>
      <c r="AD2817" s="131"/>
      <c r="AE2817" s="129" t="s">
        <v>209</v>
      </c>
      <c r="AF2817" s="130">
        <v>1.3926799999999999</v>
      </c>
      <c r="AG2817" s="132">
        <v>103.92608</v>
      </c>
      <c r="AO2817" s="121"/>
      <c r="AT2817" s="111"/>
      <c r="AX2817" s="121"/>
    </row>
    <row r="2818" spans="1:50" s="110" customFormat="1" ht="20" customHeight="1">
      <c r="A2818" s="125" t="s">
        <v>480</v>
      </c>
      <c r="B2818" s="126" t="s">
        <v>63</v>
      </c>
      <c r="C2818" s="127">
        <v>12795</v>
      </c>
      <c r="D2818" s="128">
        <v>105225</v>
      </c>
      <c r="E2818" s="129" t="s">
        <v>2011</v>
      </c>
      <c r="F2818" s="129" t="s">
        <v>2011</v>
      </c>
      <c r="G2818" s="130">
        <v>84000</v>
      </c>
      <c r="H2818" s="130">
        <v>5</v>
      </c>
      <c r="I2818" s="129" t="s">
        <v>209</v>
      </c>
      <c r="J2818" s="129" t="s">
        <v>2012</v>
      </c>
      <c r="K2818" s="129" t="s">
        <v>2011</v>
      </c>
      <c r="L2818" s="130">
        <v>5</v>
      </c>
      <c r="M2818" s="130">
        <v>7</v>
      </c>
      <c r="N2818" s="129" t="s">
        <v>2390</v>
      </c>
      <c r="O2818" s="130">
        <v>27</v>
      </c>
      <c r="P2818" s="130">
        <v>13</v>
      </c>
      <c r="Q2818" s="130">
        <v>11</v>
      </c>
      <c r="R2818" s="129" t="s">
        <v>740</v>
      </c>
      <c r="S2818" s="129" t="s">
        <v>741</v>
      </c>
      <c r="T2818" s="130">
        <v>205</v>
      </c>
      <c r="U2818" s="129" t="s">
        <v>2013</v>
      </c>
      <c r="V2818" s="129" t="s">
        <v>2011</v>
      </c>
      <c r="W2818" s="130">
        <v>49</v>
      </c>
      <c r="X2818" s="130">
        <v>2</v>
      </c>
      <c r="Y2818" s="129" t="s">
        <v>194</v>
      </c>
      <c r="Z2818" s="129" t="s">
        <v>195</v>
      </c>
      <c r="AA2818" s="129" t="s">
        <v>196</v>
      </c>
      <c r="AB2818" s="129" t="s">
        <v>187</v>
      </c>
      <c r="AC2818" s="129" t="s">
        <v>209</v>
      </c>
      <c r="AD2818" s="131"/>
      <c r="AE2818" s="129" t="s">
        <v>209</v>
      </c>
      <c r="AF2818" s="130">
        <v>10.836724999999999</v>
      </c>
      <c r="AG2818" s="132">
        <v>106.663448</v>
      </c>
      <c r="AO2818" s="121"/>
      <c r="AT2818" s="111"/>
      <c r="AX2818" s="121"/>
    </row>
    <row r="2819" spans="1:50" s="110" customFormat="1" ht="20" customHeight="1">
      <c r="A2819" s="125" t="s">
        <v>486</v>
      </c>
      <c r="B2819" s="126" t="s">
        <v>57</v>
      </c>
      <c r="C2819" s="127">
        <v>10564</v>
      </c>
      <c r="D2819" s="163">
        <v>100760</v>
      </c>
      <c r="E2819" s="164" t="s">
        <v>2047</v>
      </c>
      <c r="F2819" s="164" t="s">
        <v>2047</v>
      </c>
      <c r="G2819" s="165">
        <v>10000</v>
      </c>
      <c r="H2819" s="165">
        <v>1</v>
      </c>
      <c r="I2819" s="164" t="s">
        <v>187</v>
      </c>
      <c r="J2819" s="164" t="s">
        <v>198</v>
      </c>
      <c r="K2819" s="164" t="s">
        <v>199</v>
      </c>
      <c r="L2819" s="165">
        <v>5</v>
      </c>
      <c r="M2819" s="165">
        <v>8</v>
      </c>
      <c r="N2819" s="164" t="s">
        <v>1977</v>
      </c>
      <c r="O2819" s="165">
        <v>0</v>
      </c>
      <c r="P2819" s="165">
        <v>0</v>
      </c>
      <c r="Q2819" s="165">
        <v>21</v>
      </c>
      <c r="R2819" s="164" t="s">
        <v>200</v>
      </c>
      <c r="S2819" s="164" t="s">
        <v>201</v>
      </c>
      <c r="T2819" s="165">
        <v>468</v>
      </c>
      <c r="U2819" s="164" t="s">
        <v>200</v>
      </c>
      <c r="V2819" s="164" t="s">
        <v>503</v>
      </c>
      <c r="W2819" s="165">
        <v>4</v>
      </c>
      <c r="X2819" s="165">
        <v>4</v>
      </c>
      <c r="Y2819" s="164" t="s">
        <v>203</v>
      </c>
      <c r="Z2819" s="164" t="s">
        <v>195</v>
      </c>
      <c r="AA2819" s="164" t="s">
        <v>196</v>
      </c>
      <c r="AB2819" s="164" t="s">
        <v>187</v>
      </c>
      <c r="AC2819" s="164" t="s">
        <v>187</v>
      </c>
      <c r="AD2819" s="165">
        <v>1</v>
      </c>
      <c r="AE2819" s="164" t="s">
        <v>187</v>
      </c>
      <c r="AF2819" s="165">
        <v>24.401974964029101</v>
      </c>
      <c r="AG2819" s="166">
        <v>90.555898422016398</v>
      </c>
      <c r="AO2819" s="121"/>
      <c r="AT2819" s="111"/>
      <c r="AX2819" s="121"/>
    </row>
    <row r="2820" spans="1:50" s="110" customFormat="1" ht="20" customHeight="1">
      <c r="A2820" s="125" t="s">
        <v>486</v>
      </c>
      <c r="B2820" s="126" t="s">
        <v>57</v>
      </c>
      <c r="C2820" s="127">
        <v>17925</v>
      </c>
      <c r="D2820" s="163">
        <v>113409</v>
      </c>
      <c r="E2820" s="164" t="s">
        <v>2299</v>
      </c>
      <c r="F2820" s="164" t="s">
        <v>2299</v>
      </c>
      <c r="G2820" s="165">
        <v>1000</v>
      </c>
      <c r="H2820" s="165">
        <v>1</v>
      </c>
      <c r="I2820" s="164" t="s">
        <v>187</v>
      </c>
      <c r="J2820" s="164" t="s">
        <v>198</v>
      </c>
      <c r="K2820" s="164" t="s">
        <v>199</v>
      </c>
      <c r="L2820" s="165">
        <v>5</v>
      </c>
      <c r="M2820" s="165">
        <v>8</v>
      </c>
      <c r="N2820" s="164" t="s">
        <v>1977</v>
      </c>
      <c r="O2820" s="165">
        <v>4.444</v>
      </c>
      <c r="P2820" s="168"/>
      <c r="Q2820" s="165">
        <v>21</v>
      </c>
      <c r="R2820" s="164" t="s">
        <v>200</v>
      </c>
      <c r="S2820" s="164" t="s">
        <v>201</v>
      </c>
      <c r="T2820" s="165">
        <v>468</v>
      </c>
      <c r="U2820" s="164" t="s">
        <v>200</v>
      </c>
      <c r="V2820" s="164" t="s">
        <v>503</v>
      </c>
      <c r="W2820" s="165">
        <v>4</v>
      </c>
      <c r="X2820" s="165">
        <v>4</v>
      </c>
      <c r="Y2820" s="164" t="s">
        <v>203</v>
      </c>
      <c r="Z2820" s="164" t="s">
        <v>195</v>
      </c>
      <c r="AA2820" s="164" t="s">
        <v>196</v>
      </c>
      <c r="AB2820" s="164" t="s">
        <v>187</v>
      </c>
      <c r="AC2820" s="164" t="s">
        <v>187</v>
      </c>
      <c r="AD2820" s="165">
        <v>1</v>
      </c>
      <c r="AE2820" s="164" t="s">
        <v>209</v>
      </c>
      <c r="AF2820" s="165">
        <v>23.869432752248201</v>
      </c>
      <c r="AG2820" s="166">
        <v>90.814966036677404</v>
      </c>
      <c r="AO2820" s="121"/>
      <c r="AT2820" s="111"/>
      <c r="AX2820" s="121"/>
    </row>
    <row r="2821" spans="1:50" s="110" customFormat="1" ht="20" customHeight="1">
      <c r="A2821" s="125" t="s">
        <v>486</v>
      </c>
      <c r="B2821" s="126" t="s">
        <v>57</v>
      </c>
      <c r="C2821" s="127">
        <v>14322</v>
      </c>
      <c r="D2821" s="163">
        <v>107901</v>
      </c>
      <c r="E2821" s="164" t="s">
        <v>2070</v>
      </c>
      <c r="F2821" s="164" t="s">
        <v>2070</v>
      </c>
      <c r="G2821" s="165">
        <v>700</v>
      </c>
      <c r="H2821" s="165">
        <v>1</v>
      </c>
      <c r="I2821" s="164" t="s">
        <v>187</v>
      </c>
      <c r="J2821" s="164" t="s">
        <v>2071</v>
      </c>
      <c r="K2821" s="164" t="s">
        <v>2072</v>
      </c>
      <c r="L2821" s="165">
        <v>2</v>
      </c>
      <c r="M2821" s="165">
        <v>8</v>
      </c>
      <c r="N2821" s="164" t="s">
        <v>1977</v>
      </c>
      <c r="O2821" s="165">
        <v>0</v>
      </c>
      <c r="P2821" s="165">
        <v>0</v>
      </c>
      <c r="Q2821" s="165">
        <v>21</v>
      </c>
      <c r="R2821" s="164" t="s">
        <v>200</v>
      </c>
      <c r="S2821" s="164" t="s">
        <v>201</v>
      </c>
      <c r="T2821" s="165">
        <v>468</v>
      </c>
      <c r="U2821" s="164" t="s">
        <v>200</v>
      </c>
      <c r="V2821" s="164" t="s">
        <v>503</v>
      </c>
      <c r="W2821" s="165">
        <v>12</v>
      </c>
      <c r="X2821" s="165">
        <v>4</v>
      </c>
      <c r="Y2821" s="164" t="s">
        <v>203</v>
      </c>
      <c r="Z2821" s="164" t="s">
        <v>195</v>
      </c>
      <c r="AA2821" s="164" t="s">
        <v>196</v>
      </c>
      <c r="AB2821" s="164" t="s">
        <v>187</v>
      </c>
      <c r="AC2821" s="164" t="s">
        <v>209</v>
      </c>
      <c r="AD2821" s="165">
        <v>1</v>
      </c>
      <c r="AE2821" s="164" t="s">
        <v>187</v>
      </c>
      <c r="AF2821" s="165">
        <v>24.344270695116101</v>
      </c>
      <c r="AG2821" s="166">
        <v>90.634301209696005</v>
      </c>
      <c r="AO2821" s="121"/>
      <c r="AT2821" s="111"/>
      <c r="AX2821" s="121"/>
    </row>
    <row r="2822" spans="1:50" s="110" customFormat="1" ht="20" customHeight="1">
      <c r="A2822" s="125" t="s">
        <v>486</v>
      </c>
      <c r="B2822" s="126" t="s">
        <v>57</v>
      </c>
      <c r="C2822" s="127">
        <v>17149</v>
      </c>
      <c r="D2822" s="157">
        <v>112498</v>
      </c>
      <c r="E2822" s="158" t="s">
        <v>3250</v>
      </c>
      <c r="F2822" s="158" t="s">
        <v>3250</v>
      </c>
      <c r="G2822" s="159">
        <v>5500</v>
      </c>
      <c r="H2822" s="159">
        <v>2</v>
      </c>
      <c r="I2822" s="158" t="s">
        <v>209</v>
      </c>
      <c r="J2822" s="158" t="s">
        <v>713</v>
      </c>
      <c r="K2822" s="158" t="s">
        <v>714</v>
      </c>
      <c r="L2822" s="159">
        <v>4</v>
      </c>
      <c r="M2822" s="159">
        <v>8</v>
      </c>
      <c r="N2822" s="158" t="s">
        <v>1977</v>
      </c>
      <c r="O2822" s="159">
        <v>5.5720000000000001</v>
      </c>
      <c r="P2822" s="160"/>
      <c r="Q2822" s="159">
        <v>21</v>
      </c>
      <c r="R2822" s="158" t="s">
        <v>200</v>
      </c>
      <c r="S2822" s="158" t="s">
        <v>201</v>
      </c>
      <c r="T2822" s="159">
        <v>468</v>
      </c>
      <c r="U2822" s="158" t="s">
        <v>200</v>
      </c>
      <c r="V2822" s="158" t="s">
        <v>503</v>
      </c>
      <c r="W2822" s="159">
        <v>2</v>
      </c>
      <c r="X2822" s="159">
        <v>4</v>
      </c>
      <c r="Y2822" s="158" t="s">
        <v>203</v>
      </c>
      <c r="Z2822" s="158" t="s">
        <v>195</v>
      </c>
      <c r="AA2822" s="158" t="s">
        <v>196</v>
      </c>
      <c r="AB2822" s="158" t="s">
        <v>187</v>
      </c>
      <c r="AC2822" s="158" t="s">
        <v>187</v>
      </c>
      <c r="AD2822" s="160"/>
      <c r="AE2822" s="158" t="s">
        <v>209</v>
      </c>
      <c r="AF2822" s="159">
        <v>23.280578583892801</v>
      </c>
      <c r="AG2822" s="161">
        <v>92.216357084101105</v>
      </c>
      <c r="AO2822" s="121"/>
      <c r="AT2822" s="111"/>
      <c r="AX2822" s="121"/>
    </row>
    <row r="2823" spans="1:50" s="110" customFormat="1" ht="20" customHeight="1">
      <c r="A2823" s="125" t="s">
        <v>231</v>
      </c>
      <c r="B2823" s="126" t="s">
        <v>66</v>
      </c>
      <c r="C2823" s="127">
        <v>14322</v>
      </c>
      <c r="D2823" s="163">
        <v>107901</v>
      </c>
      <c r="E2823" s="164" t="s">
        <v>2070</v>
      </c>
      <c r="F2823" s="164" t="s">
        <v>2070</v>
      </c>
      <c r="G2823" s="165">
        <v>7200</v>
      </c>
      <c r="H2823" s="165">
        <v>1</v>
      </c>
      <c r="I2823" s="164" t="s">
        <v>187</v>
      </c>
      <c r="J2823" s="164" t="s">
        <v>219</v>
      </c>
      <c r="K2823" s="164" t="s">
        <v>220</v>
      </c>
      <c r="L2823" s="165">
        <v>5</v>
      </c>
      <c r="M2823" s="165">
        <v>8</v>
      </c>
      <c r="N2823" s="164" t="s">
        <v>1977</v>
      </c>
      <c r="O2823" s="165">
        <v>0</v>
      </c>
      <c r="P2823" s="165">
        <v>0</v>
      </c>
      <c r="Q2823" s="165">
        <v>21</v>
      </c>
      <c r="R2823" s="164" t="s">
        <v>200</v>
      </c>
      <c r="S2823" s="164" t="s">
        <v>201</v>
      </c>
      <c r="T2823" s="165">
        <v>468</v>
      </c>
      <c r="U2823" s="164" t="s">
        <v>200</v>
      </c>
      <c r="V2823" s="164" t="s">
        <v>503</v>
      </c>
      <c r="W2823" s="165">
        <v>12</v>
      </c>
      <c r="X2823" s="165">
        <v>4</v>
      </c>
      <c r="Y2823" s="164" t="s">
        <v>203</v>
      </c>
      <c r="Z2823" s="164" t="s">
        <v>195</v>
      </c>
      <c r="AA2823" s="164" t="s">
        <v>196</v>
      </c>
      <c r="AB2823" s="164" t="s">
        <v>187</v>
      </c>
      <c r="AC2823" s="164" t="s">
        <v>187</v>
      </c>
      <c r="AD2823" s="165">
        <v>1</v>
      </c>
      <c r="AE2823" s="164" t="s">
        <v>187</v>
      </c>
      <c r="AF2823" s="165">
        <v>27.997</v>
      </c>
      <c r="AG2823" s="166">
        <v>69.408000000000001</v>
      </c>
      <c r="AO2823" s="121"/>
      <c r="AT2823" s="111"/>
      <c r="AX2823" s="121"/>
    </row>
    <row r="2824" spans="1:50" s="110" customFormat="1" ht="20" customHeight="1">
      <c r="A2824" s="125" t="s">
        <v>231</v>
      </c>
      <c r="B2824" s="126" t="s">
        <v>66</v>
      </c>
      <c r="C2824" s="127">
        <v>10564</v>
      </c>
      <c r="D2824" s="163">
        <v>100760</v>
      </c>
      <c r="E2824" s="164" t="s">
        <v>2047</v>
      </c>
      <c r="F2824" s="164" t="s">
        <v>2047</v>
      </c>
      <c r="G2824" s="165">
        <v>600</v>
      </c>
      <c r="H2824" s="165">
        <v>1</v>
      </c>
      <c r="I2824" s="164" t="s">
        <v>187</v>
      </c>
      <c r="J2824" s="164" t="s">
        <v>219</v>
      </c>
      <c r="K2824" s="164" t="s">
        <v>220</v>
      </c>
      <c r="L2824" s="165">
        <v>5</v>
      </c>
      <c r="M2824" s="165">
        <v>8</v>
      </c>
      <c r="N2824" s="164" t="s">
        <v>1977</v>
      </c>
      <c r="O2824" s="165">
        <v>0</v>
      </c>
      <c r="P2824" s="165">
        <v>0</v>
      </c>
      <c r="Q2824" s="165">
        <v>21</v>
      </c>
      <c r="R2824" s="164" t="s">
        <v>200</v>
      </c>
      <c r="S2824" s="164" t="s">
        <v>201</v>
      </c>
      <c r="T2824" s="165">
        <v>468</v>
      </c>
      <c r="U2824" s="164" t="s">
        <v>200</v>
      </c>
      <c r="V2824" s="164" t="s">
        <v>503</v>
      </c>
      <c r="W2824" s="165">
        <v>4</v>
      </c>
      <c r="X2824" s="165">
        <v>4</v>
      </c>
      <c r="Y2824" s="164" t="s">
        <v>203</v>
      </c>
      <c r="Z2824" s="164" t="s">
        <v>195</v>
      </c>
      <c r="AA2824" s="164" t="s">
        <v>196</v>
      </c>
      <c r="AB2824" s="164" t="s">
        <v>187</v>
      </c>
      <c r="AC2824" s="164" t="s">
        <v>187</v>
      </c>
      <c r="AD2824" s="165">
        <v>1</v>
      </c>
      <c r="AE2824" s="164" t="s">
        <v>187</v>
      </c>
      <c r="AF2824" s="165">
        <v>24.944970000000001</v>
      </c>
      <c r="AG2824" s="166">
        <v>67.004170000000002</v>
      </c>
      <c r="AO2824" s="121"/>
      <c r="AT2824" s="111"/>
      <c r="AX2824" s="121"/>
    </row>
    <row r="2825" spans="1:50" s="110" customFormat="1" ht="20" customHeight="1">
      <c r="A2825" s="125" t="s">
        <v>224</v>
      </c>
      <c r="B2825" s="126" t="s">
        <v>68</v>
      </c>
      <c r="C2825" s="127">
        <v>14322</v>
      </c>
      <c r="D2825" s="163">
        <v>107901</v>
      </c>
      <c r="E2825" s="164" t="s">
        <v>2070</v>
      </c>
      <c r="F2825" s="164" t="s">
        <v>2070</v>
      </c>
      <c r="G2825" s="165">
        <v>700</v>
      </c>
      <c r="H2825" s="165">
        <v>1</v>
      </c>
      <c r="I2825" s="164" t="s">
        <v>187</v>
      </c>
      <c r="J2825" s="164" t="s">
        <v>719</v>
      </c>
      <c r="K2825" s="164" t="s">
        <v>718</v>
      </c>
      <c r="L2825" s="165">
        <v>5</v>
      </c>
      <c r="M2825" s="165">
        <v>8</v>
      </c>
      <c r="N2825" s="164" t="s">
        <v>1977</v>
      </c>
      <c r="O2825" s="165">
        <v>0</v>
      </c>
      <c r="P2825" s="165">
        <v>0</v>
      </c>
      <c r="Q2825" s="165">
        <v>21</v>
      </c>
      <c r="R2825" s="164" t="s">
        <v>200</v>
      </c>
      <c r="S2825" s="164" t="s">
        <v>201</v>
      </c>
      <c r="T2825" s="165">
        <v>468</v>
      </c>
      <c r="U2825" s="164" t="s">
        <v>200</v>
      </c>
      <c r="V2825" s="164" t="s">
        <v>503</v>
      </c>
      <c r="W2825" s="165">
        <v>12</v>
      </c>
      <c r="X2825" s="165">
        <v>4</v>
      </c>
      <c r="Y2825" s="164" t="s">
        <v>203</v>
      </c>
      <c r="Z2825" s="164" t="s">
        <v>195</v>
      </c>
      <c r="AA2825" s="164" t="s">
        <v>196</v>
      </c>
      <c r="AB2825" s="164" t="s">
        <v>187</v>
      </c>
      <c r="AC2825" s="164" t="s">
        <v>209</v>
      </c>
      <c r="AD2825" s="165">
        <v>1</v>
      </c>
      <c r="AE2825" s="164" t="s">
        <v>187</v>
      </c>
      <c r="AF2825" s="165">
        <v>6.8681700000000001</v>
      </c>
      <c r="AG2825" s="166">
        <v>80.020849999999996</v>
      </c>
      <c r="AO2825" s="121"/>
      <c r="AT2825" s="111"/>
      <c r="AX2825" s="121"/>
    </row>
    <row r="2826" spans="1:50" s="110" customFormat="1" ht="20" customHeight="1">
      <c r="A2826" s="125" t="s">
        <v>231</v>
      </c>
      <c r="B2826" s="126" t="s">
        <v>66</v>
      </c>
      <c r="C2826" s="127">
        <v>18060</v>
      </c>
      <c r="D2826" s="163">
        <v>113559</v>
      </c>
      <c r="E2826" s="164" t="s">
        <v>2217</v>
      </c>
      <c r="F2826" s="164" t="s">
        <v>2217</v>
      </c>
      <c r="G2826" s="165">
        <v>800</v>
      </c>
      <c r="H2826" s="165">
        <v>1</v>
      </c>
      <c r="I2826" s="164" t="s">
        <v>187</v>
      </c>
      <c r="J2826" s="164" t="s">
        <v>222</v>
      </c>
      <c r="K2826" s="164" t="s">
        <v>223</v>
      </c>
      <c r="L2826" s="165">
        <v>4</v>
      </c>
      <c r="M2826" s="165">
        <v>8</v>
      </c>
      <c r="N2826" s="164" t="s">
        <v>1977</v>
      </c>
      <c r="O2826" s="165">
        <v>0</v>
      </c>
      <c r="P2826" s="165">
        <v>0</v>
      </c>
      <c r="Q2826" s="165">
        <v>21</v>
      </c>
      <c r="R2826" s="164" t="s">
        <v>200</v>
      </c>
      <c r="S2826" s="164" t="s">
        <v>201</v>
      </c>
      <c r="T2826" s="165">
        <v>406</v>
      </c>
      <c r="U2826" s="164" t="s">
        <v>200</v>
      </c>
      <c r="V2826" s="164" t="s">
        <v>2218</v>
      </c>
      <c r="W2826" s="165">
        <v>2</v>
      </c>
      <c r="X2826" s="165">
        <v>4</v>
      </c>
      <c r="Y2826" s="164" t="s">
        <v>203</v>
      </c>
      <c r="Z2826" s="164" t="s">
        <v>195</v>
      </c>
      <c r="AA2826" s="164" t="s">
        <v>196</v>
      </c>
      <c r="AB2826" s="164" t="s">
        <v>187</v>
      </c>
      <c r="AC2826" s="164" t="s">
        <v>187</v>
      </c>
      <c r="AD2826" s="165">
        <v>1</v>
      </c>
      <c r="AE2826" s="164" t="s">
        <v>187</v>
      </c>
      <c r="AF2826" s="165">
        <v>33.429829131769303</v>
      </c>
      <c r="AG2826" s="166">
        <v>73.222954398186104</v>
      </c>
      <c r="AO2826" s="121"/>
      <c r="AT2826" s="111"/>
      <c r="AX2826" s="121"/>
    </row>
    <row r="2827" spans="1:50" s="110" customFormat="1" ht="20" customHeight="1">
      <c r="A2827" s="125" t="s">
        <v>237</v>
      </c>
      <c r="B2827" s="126" t="s">
        <v>60</v>
      </c>
      <c r="C2827" s="127">
        <v>14483</v>
      </c>
      <c r="D2827" s="163">
        <v>108182</v>
      </c>
      <c r="E2827" s="164" t="s">
        <v>3715</v>
      </c>
      <c r="F2827" s="164" t="s">
        <v>3715</v>
      </c>
      <c r="G2827" s="165">
        <v>67000</v>
      </c>
      <c r="H2827" s="165">
        <v>1</v>
      </c>
      <c r="I2827" s="164" t="s">
        <v>187</v>
      </c>
      <c r="J2827" s="164" t="s">
        <v>2601</v>
      </c>
      <c r="K2827" s="164" t="s">
        <v>2602</v>
      </c>
      <c r="L2827" s="165">
        <v>5</v>
      </c>
      <c r="M2827" s="165">
        <v>8</v>
      </c>
      <c r="N2827" s="164" t="s">
        <v>1977</v>
      </c>
      <c r="O2827" s="165">
        <v>0</v>
      </c>
      <c r="P2827" s="165">
        <v>0</v>
      </c>
      <c r="Q2827" s="165">
        <v>21</v>
      </c>
      <c r="R2827" s="164" t="s">
        <v>200</v>
      </c>
      <c r="S2827" s="164" t="s">
        <v>201</v>
      </c>
      <c r="T2827" s="165">
        <v>462</v>
      </c>
      <c r="U2827" s="164" t="s">
        <v>200</v>
      </c>
      <c r="V2827" s="164" t="s">
        <v>202</v>
      </c>
      <c r="W2827" s="165">
        <v>19</v>
      </c>
      <c r="X2827" s="165">
        <v>2</v>
      </c>
      <c r="Y2827" s="164" t="s">
        <v>194</v>
      </c>
      <c r="Z2827" s="164" t="s">
        <v>195</v>
      </c>
      <c r="AA2827" s="164" t="s">
        <v>196</v>
      </c>
      <c r="AB2827" s="164" t="s">
        <v>187</v>
      </c>
      <c r="AC2827" s="164" t="s">
        <v>209</v>
      </c>
      <c r="AD2827" s="165">
        <v>1</v>
      </c>
      <c r="AE2827" s="164" t="s">
        <v>187</v>
      </c>
      <c r="AF2827" s="165">
        <v>3.0072750004409299</v>
      </c>
      <c r="AG2827" s="166">
        <v>101.692446999829</v>
      </c>
      <c r="AO2827" s="121"/>
      <c r="AT2827" s="111"/>
      <c r="AX2827" s="121"/>
    </row>
    <row r="2828" spans="1:50" s="110" customFormat="1" ht="20" customHeight="1">
      <c r="A2828" s="125" t="s">
        <v>408</v>
      </c>
      <c r="B2828" s="126" t="s">
        <v>64</v>
      </c>
      <c r="C2828" s="127">
        <v>14483</v>
      </c>
      <c r="D2828" s="163">
        <v>108182</v>
      </c>
      <c r="E2828" s="164" t="s">
        <v>3715</v>
      </c>
      <c r="F2828" s="164" t="s">
        <v>3715</v>
      </c>
      <c r="G2828" s="165">
        <v>25000</v>
      </c>
      <c r="H2828" s="165">
        <v>1</v>
      </c>
      <c r="I2828" s="164" t="s">
        <v>187</v>
      </c>
      <c r="J2828" s="164" t="s">
        <v>2601</v>
      </c>
      <c r="K2828" s="164" t="s">
        <v>2602</v>
      </c>
      <c r="L2828" s="165">
        <v>5</v>
      </c>
      <c r="M2828" s="165">
        <v>8</v>
      </c>
      <c r="N2828" s="164" t="s">
        <v>1977</v>
      </c>
      <c r="O2828" s="165">
        <v>0</v>
      </c>
      <c r="P2828" s="165">
        <v>0</v>
      </c>
      <c r="Q2828" s="165">
        <v>21</v>
      </c>
      <c r="R2828" s="164" t="s">
        <v>200</v>
      </c>
      <c r="S2828" s="164" t="s">
        <v>201</v>
      </c>
      <c r="T2828" s="165">
        <v>462</v>
      </c>
      <c r="U2828" s="164" t="s">
        <v>200</v>
      </c>
      <c r="V2828" s="164" t="s">
        <v>202</v>
      </c>
      <c r="W2828" s="165">
        <v>19</v>
      </c>
      <c r="X2828" s="165">
        <v>2</v>
      </c>
      <c r="Y2828" s="164" t="s">
        <v>194</v>
      </c>
      <c r="Z2828" s="164" t="s">
        <v>195</v>
      </c>
      <c r="AA2828" s="164" t="s">
        <v>196</v>
      </c>
      <c r="AB2828" s="164" t="s">
        <v>209</v>
      </c>
      <c r="AC2828" s="164" t="s">
        <v>209</v>
      </c>
      <c r="AD2828" s="165">
        <v>1</v>
      </c>
      <c r="AE2828" s="164" t="s">
        <v>187</v>
      </c>
      <c r="AF2828" s="165">
        <v>1.3611899999999999</v>
      </c>
      <c r="AG2828" s="166">
        <v>103.7782</v>
      </c>
      <c r="AO2828" s="121"/>
      <c r="AT2828" s="111"/>
      <c r="AX2828" s="121"/>
    </row>
    <row r="2829" spans="1:50" s="110" customFormat="1" ht="20" customHeight="1">
      <c r="A2829" s="125" t="s">
        <v>478</v>
      </c>
      <c r="B2829" s="126" t="s">
        <v>56</v>
      </c>
      <c r="C2829" s="127">
        <v>14483</v>
      </c>
      <c r="D2829" s="163">
        <v>108182</v>
      </c>
      <c r="E2829" s="164" t="s">
        <v>3715</v>
      </c>
      <c r="F2829" s="164" t="s">
        <v>3715</v>
      </c>
      <c r="G2829" s="165">
        <v>62000</v>
      </c>
      <c r="H2829" s="165">
        <v>1</v>
      </c>
      <c r="I2829" s="164" t="s">
        <v>187</v>
      </c>
      <c r="J2829" s="164" t="s">
        <v>2601</v>
      </c>
      <c r="K2829" s="164" t="s">
        <v>2602</v>
      </c>
      <c r="L2829" s="165">
        <v>5</v>
      </c>
      <c r="M2829" s="165">
        <v>8</v>
      </c>
      <c r="N2829" s="164" t="s">
        <v>1977</v>
      </c>
      <c r="O2829" s="165">
        <v>0</v>
      </c>
      <c r="P2829" s="165">
        <v>0</v>
      </c>
      <c r="Q2829" s="165">
        <v>21</v>
      </c>
      <c r="R2829" s="164" t="s">
        <v>200</v>
      </c>
      <c r="S2829" s="164" t="s">
        <v>201</v>
      </c>
      <c r="T2829" s="165">
        <v>462</v>
      </c>
      <c r="U2829" s="164" t="s">
        <v>200</v>
      </c>
      <c r="V2829" s="164" t="s">
        <v>202</v>
      </c>
      <c r="W2829" s="165">
        <v>19</v>
      </c>
      <c r="X2829" s="165">
        <v>2</v>
      </c>
      <c r="Y2829" s="164" t="s">
        <v>194</v>
      </c>
      <c r="Z2829" s="164" t="s">
        <v>195</v>
      </c>
      <c r="AA2829" s="164" t="s">
        <v>196</v>
      </c>
      <c r="AB2829" s="164" t="s">
        <v>187</v>
      </c>
      <c r="AC2829" s="164" t="s">
        <v>209</v>
      </c>
      <c r="AD2829" s="165">
        <v>1</v>
      </c>
      <c r="AE2829" s="164" t="s">
        <v>187</v>
      </c>
      <c r="AF2829" s="165">
        <v>13.7914811983986</v>
      </c>
      <c r="AG2829" s="166">
        <v>100.558771376298</v>
      </c>
      <c r="AO2829" s="121"/>
      <c r="AT2829" s="111"/>
      <c r="AX2829" s="121"/>
    </row>
    <row r="2830" spans="1:50" s="110" customFormat="1" ht="20" customHeight="1">
      <c r="A2830" s="125" t="s">
        <v>486</v>
      </c>
      <c r="B2830" s="126" t="s">
        <v>57</v>
      </c>
      <c r="C2830" s="127">
        <v>18777</v>
      </c>
      <c r="D2830" s="163">
        <v>114456</v>
      </c>
      <c r="E2830" s="164" t="s">
        <v>2674</v>
      </c>
      <c r="F2830" s="164" t="s">
        <v>2674</v>
      </c>
      <c r="G2830" s="165">
        <v>19000</v>
      </c>
      <c r="H2830" s="165">
        <v>1</v>
      </c>
      <c r="I2830" s="164" t="s">
        <v>187</v>
      </c>
      <c r="J2830" s="164" t="s">
        <v>222</v>
      </c>
      <c r="K2830" s="164" t="s">
        <v>223</v>
      </c>
      <c r="L2830" s="165">
        <v>4</v>
      </c>
      <c r="M2830" s="165">
        <v>8</v>
      </c>
      <c r="N2830" s="164" t="s">
        <v>1977</v>
      </c>
      <c r="O2830" s="165">
        <v>0</v>
      </c>
      <c r="P2830" s="165">
        <v>0</v>
      </c>
      <c r="Q2830" s="165">
        <v>21</v>
      </c>
      <c r="R2830" s="164" t="s">
        <v>200</v>
      </c>
      <c r="S2830" s="164" t="s">
        <v>201</v>
      </c>
      <c r="T2830" s="165">
        <v>469</v>
      </c>
      <c r="U2830" s="164" t="s">
        <v>200</v>
      </c>
      <c r="V2830" s="164" t="s">
        <v>2675</v>
      </c>
      <c r="W2830" s="165">
        <v>4</v>
      </c>
      <c r="X2830" s="165">
        <v>4</v>
      </c>
      <c r="Y2830" s="164" t="s">
        <v>203</v>
      </c>
      <c r="Z2830" s="164" t="s">
        <v>195</v>
      </c>
      <c r="AA2830" s="164" t="s">
        <v>196</v>
      </c>
      <c r="AB2830" s="164" t="s">
        <v>187</v>
      </c>
      <c r="AC2830" s="164" t="s">
        <v>187</v>
      </c>
      <c r="AD2830" s="165">
        <v>1</v>
      </c>
      <c r="AE2830" s="164" t="s">
        <v>187</v>
      </c>
      <c r="AF2830" s="165">
        <v>24.0238204402912</v>
      </c>
      <c r="AG2830" s="166">
        <v>90.794405858696194</v>
      </c>
      <c r="AO2830" s="121"/>
      <c r="AT2830" s="111"/>
      <c r="AX2830" s="121"/>
    </row>
    <row r="2831" spans="1:50" s="110" customFormat="1" ht="20" customHeight="1">
      <c r="A2831" s="125" t="s">
        <v>231</v>
      </c>
      <c r="B2831" s="126" t="s">
        <v>66</v>
      </c>
      <c r="C2831" s="127">
        <v>18777</v>
      </c>
      <c r="D2831" s="157">
        <v>114456</v>
      </c>
      <c r="E2831" s="158" t="s">
        <v>2674</v>
      </c>
      <c r="F2831" s="158" t="s">
        <v>2674</v>
      </c>
      <c r="G2831" s="159">
        <v>1900</v>
      </c>
      <c r="H2831" s="159">
        <v>2</v>
      </c>
      <c r="I2831" s="158" t="s">
        <v>209</v>
      </c>
      <c r="J2831" s="158" t="s">
        <v>222</v>
      </c>
      <c r="K2831" s="158" t="s">
        <v>223</v>
      </c>
      <c r="L2831" s="159">
        <v>4</v>
      </c>
      <c r="M2831" s="159">
        <v>8</v>
      </c>
      <c r="N2831" s="158" t="s">
        <v>1977</v>
      </c>
      <c r="O2831" s="159">
        <v>12.814</v>
      </c>
      <c r="P2831" s="160"/>
      <c r="Q2831" s="159">
        <v>21</v>
      </c>
      <c r="R2831" s="158" t="s">
        <v>200</v>
      </c>
      <c r="S2831" s="158" t="s">
        <v>201</v>
      </c>
      <c r="T2831" s="159">
        <v>469</v>
      </c>
      <c r="U2831" s="158" t="s">
        <v>200</v>
      </c>
      <c r="V2831" s="158" t="s">
        <v>2675</v>
      </c>
      <c r="W2831" s="159">
        <v>4</v>
      </c>
      <c r="X2831" s="159">
        <v>4</v>
      </c>
      <c r="Y2831" s="158" t="s">
        <v>203</v>
      </c>
      <c r="Z2831" s="158" t="s">
        <v>195</v>
      </c>
      <c r="AA2831" s="158" t="s">
        <v>196</v>
      </c>
      <c r="AB2831" s="158" t="s">
        <v>187</v>
      </c>
      <c r="AC2831" s="158" t="s">
        <v>187</v>
      </c>
      <c r="AD2831" s="160"/>
      <c r="AE2831" s="158" t="s">
        <v>209</v>
      </c>
      <c r="AF2831" s="159">
        <v>32.408505852350899</v>
      </c>
      <c r="AG2831" s="161">
        <v>74.632057555735798</v>
      </c>
      <c r="AO2831" s="121"/>
      <c r="AT2831" s="111"/>
      <c r="AX2831" s="121"/>
    </row>
    <row r="2832" spans="1:50" s="110" customFormat="1" ht="20" customHeight="1">
      <c r="A2832" s="125" t="s">
        <v>486</v>
      </c>
      <c r="B2832" s="126" t="s">
        <v>57</v>
      </c>
      <c r="C2832" s="127">
        <v>18177</v>
      </c>
      <c r="D2832" s="163">
        <v>113689</v>
      </c>
      <c r="E2832" s="164" t="s">
        <v>1976</v>
      </c>
      <c r="F2832" s="164" t="s">
        <v>1976</v>
      </c>
      <c r="G2832" s="165">
        <v>1500</v>
      </c>
      <c r="H2832" s="165">
        <v>1</v>
      </c>
      <c r="I2832" s="164" t="s">
        <v>187</v>
      </c>
      <c r="J2832" s="164" t="s">
        <v>222</v>
      </c>
      <c r="K2832" s="164" t="s">
        <v>223</v>
      </c>
      <c r="L2832" s="165">
        <v>4</v>
      </c>
      <c r="M2832" s="165">
        <v>8</v>
      </c>
      <c r="N2832" s="164" t="s">
        <v>1977</v>
      </c>
      <c r="O2832" s="165">
        <v>0</v>
      </c>
      <c r="P2832" s="165">
        <v>0</v>
      </c>
      <c r="Q2832" s="165">
        <v>21</v>
      </c>
      <c r="R2832" s="164" t="s">
        <v>200</v>
      </c>
      <c r="S2832" s="164" t="s">
        <v>201</v>
      </c>
      <c r="T2832" s="165">
        <v>470</v>
      </c>
      <c r="U2832" s="164" t="s">
        <v>200</v>
      </c>
      <c r="V2832" s="164" t="s">
        <v>1978</v>
      </c>
      <c r="W2832" s="165">
        <v>3</v>
      </c>
      <c r="X2832" s="165">
        <v>4</v>
      </c>
      <c r="Y2832" s="164" t="s">
        <v>203</v>
      </c>
      <c r="Z2832" s="164" t="s">
        <v>195</v>
      </c>
      <c r="AA2832" s="164" t="s">
        <v>196</v>
      </c>
      <c r="AB2832" s="164" t="s">
        <v>187</v>
      </c>
      <c r="AC2832" s="164" t="s">
        <v>187</v>
      </c>
      <c r="AD2832" s="165">
        <v>1</v>
      </c>
      <c r="AE2832" s="164" t="s">
        <v>187</v>
      </c>
      <c r="AF2832" s="165">
        <v>24.121179413139</v>
      </c>
      <c r="AG2832" s="166">
        <v>90.731530718071596</v>
      </c>
      <c r="AO2832" s="121"/>
      <c r="AT2832" s="111"/>
      <c r="AX2832" s="121"/>
    </row>
    <row r="2833" spans="1:254" s="110" customFormat="1" ht="20" customHeight="1">
      <c r="A2833" s="125" t="s">
        <v>486</v>
      </c>
      <c r="B2833" s="126" t="s">
        <v>57</v>
      </c>
      <c r="C2833" s="127">
        <v>18159</v>
      </c>
      <c r="D2833" s="163">
        <v>113671</v>
      </c>
      <c r="E2833" s="164" t="s">
        <v>2451</v>
      </c>
      <c r="F2833" s="164" t="s">
        <v>2451</v>
      </c>
      <c r="G2833" s="165">
        <v>1300</v>
      </c>
      <c r="H2833" s="165">
        <v>1</v>
      </c>
      <c r="I2833" s="164" t="s">
        <v>187</v>
      </c>
      <c r="J2833" s="164" t="s">
        <v>222</v>
      </c>
      <c r="K2833" s="164" t="s">
        <v>223</v>
      </c>
      <c r="L2833" s="165">
        <v>4</v>
      </c>
      <c r="M2833" s="165">
        <v>8</v>
      </c>
      <c r="N2833" s="164" t="s">
        <v>1977</v>
      </c>
      <c r="O2833" s="165">
        <v>0</v>
      </c>
      <c r="P2833" s="165">
        <v>0</v>
      </c>
      <c r="Q2833" s="165">
        <v>21</v>
      </c>
      <c r="R2833" s="164" t="s">
        <v>200</v>
      </c>
      <c r="S2833" s="164" t="s">
        <v>201</v>
      </c>
      <c r="T2833" s="165">
        <v>470</v>
      </c>
      <c r="U2833" s="164" t="s">
        <v>200</v>
      </c>
      <c r="V2833" s="164" t="s">
        <v>1978</v>
      </c>
      <c r="W2833" s="165">
        <v>2</v>
      </c>
      <c r="X2833" s="165">
        <v>4</v>
      </c>
      <c r="Y2833" s="164" t="s">
        <v>203</v>
      </c>
      <c r="Z2833" s="164" t="s">
        <v>195</v>
      </c>
      <c r="AA2833" s="164" t="s">
        <v>196</v>
      </c>
      <c r="AB2833" s="164" t="s">
        <v>187</v>
      </c>
      <c r="AC2833" s="164" t="s">
        <v>187</v>
      </c>
      <c r="AD2833" s="165">
        <v>1</v>
      </c>
      <c r="AE2833" s="164" t="s">
        <v>187</v>
      </c>
      <c r="AF2833" s="165">
        <v>24.070746181318501</v>
      </c>
      <c r="AG2833" s="166">
        <v>90.4483308666141</v>
      </c>
      <c r="AO2833" s="121"/>
      <c r="AT2833" s="111"/>
      <c r="AX2833" s="121"/>
    </row>
    <row r="2834" spans="1:254" s="110" customFormat="1" ht="20" customHeight="1">
      <c r="A2834" s="125" t="s">
        <v>486</v>
      </c>
      <c r="B2834" s="126" t="s">
        <v>57</v>
      </c>
      <c r="C2834" s="127">
        <v>16241</v>
      </c>
      <c r="D2834" s="163">
        <v>111362</v>
      </c>
      <c r="E2834" s="164" t="s">
        <v>2345</v>
      </c>
      <c r="F2834" s="164" t="s">
        <v>2345</v>
      </c>
      <c r="G2834" s="165">
        <v>1100</v>
      </c>
      <c r="H2834" s="165">
        <v>1</v>
      </c>
      <c r="I2834" s="164" t="s">
        <v>187</v>
      </c>
      <c r="J2834" s="164" t="s">
        <v>222</v>
      </c>
      <c r="K2834" s="164" t="s">
        <v>223</v>
      </c>
      <c r="L2834" s="165">
        <v>4</v>
      </c>
      <c r="M2834" s="165">
        <v>8</v>
      </c>
      <c r="N2834" s="164" t="s">
        <v>1977</v>
      </c>
      <c r="O2834" s="165">
        <v>0</v>
      </c>
      <c r="P2834" s="165">
        <v>0</v>
      </c>
      <c r="Q2834" s="165">
        <v>21</v>
      </c>
      <c r="R2834" s="164" t="s">
        <v>200</v>
      </c>
      <c r="S2834" s="164" t="s">
        <v>201</v>
      </c>
      <c r="T2834" s="165">
        <v>470</v>
      </c>
      <c r="U2834" s="164" t="s">
        <v>200</v>
      </c>
      <c r="V2834" s="164" t="s">
        <v>1978</v>
      </c>
      <c r="W2834" s="165">
        <v>2</v>
      </c>
      <c r="X2834" s="165">
        <v>4</v>
      </c>
      <c r="Y2834" s="164" t="s">
        <v>203</v>
      </c>
      <c r="Z2834" s="164" t="s">
        <v>195</v>
      </c>
      <c r="AA2834" s="164" t="s">
        <v>196</v>
      </c>
      <c r="AB2834" s="164" t="s">
        <v>187</v>
      </c>
      <c r="AC2834" s="164" t="s">
        <v>187</v>
      </c>
      <c r="AD2834" s="165">
        <v>1</v>
      </c>
      <c r="AE2834" s="164" t="s">
        <v>187</v>
      </c>
      <c r="AF2834" s="165">
        <v>24.352403048133102</v>
      </c>
      <c r="AG2834" s="166">
        <v>90.910193913882907</v>
      </c>
      <c r="AO2834" s="121"/>
      <c r="AT2834" s="111"/>
      <c r="AX2834" s="121"/>
    </row>
    <row r="2835" spans="1:254" s="110" customFormat="1" ht="20.25" customHeight="1">
      <c r="A2835" s="169" t="s">
        <v>231</v>
      </c>
      <c r="B2835" s="170" t="s">
        <v>66</v>
      </c>
      <c r="C2835" s="171">
        <v>18177</v>
      </c>
      <c r="D2835" s="227">
        <v>113689</v>
      </c>
      <c r="E2835" s="229" t="s">
        <v>1976</v>
      </c>
      <c r="F2835" s="229" t="s">
        <v>1976</v>
      </c>
      <c r="G2835" s="231">
        <v>500</v>
      </c>
      <c r="H2835" s="231">
        <v>1</v>
      </c>
      <c r="I2835" s="229" t="s">
        <v>187</v>
      </c>
      <c r="J2835" s="229" t="s">
        <v>222</v>
      </c>
      <c r="K2835" s="229" t="s">
        <v>223</v>
      </c>
      <c r="L2835" s="231">
        <v>4</v>
      </c>
      <c r="M2835" s="231">
        <v>8</v>
      </c>
      <c r="N2835" s="229" t="s">
        <v>1977</v>
      </c>
      <c r="O2835" s="231">
        <v>0</v>
      </c>
      <c r="P2835" s="231">
        <v>0</v>
      </c>
      <c r="Q2835" s="231">
        <v>21</v>
      </c>
      <c r="R2835" s="229" t="s">
        <v>200</v>
      </c>
      <c r="S2835" s="229" t="s">
        <v>201</v>
      </c>
      <c r="T2835" s="231">
        <v>470</v>
      </c>
      <c r="U2835" s="229" t="s">
        <v>200</v>
      </c>
      <c r="V2835" s="229" t="s">
        <v>1978</v>
      </c>
      <c r="W2835" s="231">
        <v>3</v>
      </c>
      <c r="X2835" s="231">
        <v>4</v>
      </c>
      <c r="Y2835" s="229" t="s">
        <v>203</v>
      </c>
      <c r="Z2835" s="229" t="s">
        <v>195</v>
      </c>
      <c r="AA2835" s="229" t="s">
        <v>196</v>
      </c>
      <c r="AB2835" s="229" t="s">
        <v>187</v>
      </c>
      <c r="AC2835" s="229" t="s">
        <v>187</v>
      </c>
      <c r="AD2835" s="231">
        <v>1</v>
      </c>
      <c r="AE2835" s="229" t="s">
        <v>187</v>
      </c>
      <c r="AF2835" s="231">
        <v>32.849632735100698</v>
      </c>
      <c r="AG2835" s="232">
        <v>73.338636449435498</v>
      </c>
      <c r="AO2835" s="121"/>
      <c r="AT2835" s="111"/>
      <c r="AX2835" s="121"/>
    </row>
    <row r="2836" spans="1:254" s="110" customFormat="1" ht="20.25" customHeight="1" thickBot="1">
      <c r="A2836" s="172" t="s">
        <v>224</v>
      </c>
      <c r="B2836" s="173" t="s">
        <v>68</v>
      </c>
      <c r="C2836" s="174">
        <v>19206</v>
      </c>
      <c r="D2836" s="228">
        <v>115066</v>
      </c>
      <c r="E2836" s="230" t="s">
        <v>2132</v>
      </c>
      <c r="F2836" s="230" t="s">
        <v>2132</v>
      </c>
      <c r="G2836" s="228">
        <v>700</v>
      </c>
      <c r="H2836" s="228">
        <v>1</v>
      </c>
      <c r="I2836" s="230" t="s">
        <v>187</v>
      </c>
      <c r="J2836" s="230" t="s">
        <v>634</v>
      </c>
      <c r="K2836" s="230" t="s">
        <v>635</v>
      </c>
      <c r="L2836" s="228">
        <v>0</v>
      </c>
      <c r="M2836" s="228">
        <v>9</v>
      </c>
      <c r="N2836" s="230" t="s">
        <v>2133</v>
      </c>
      <c r="O2836" s="228">
        <v>0</v>
      </c>
      <c r="P2836" s="228">
        <v>0</v>
      </c>
      <c r="Q2836" s="228">
        <v>11</v>
      </c>
      <c r="R2836" s="230" t="s">
        <v>740</v>
      </c>
      <c r="S2836" s="230" t="s">
        <v>741</v>
      </c>
      <c r="T2836" s="228">
        <v>161</v>
      </c>
      <c r="U2836" s="230" t="s">
        <v>2134</v>
      </c>
      <c r="V2836" s="230" t="s">
        <v>2135</v>
      </c>
      <c r="W2836" s="228">
        <v>63</v>
      </c>
      <c r="X2836" s="228">
        <v>4</v>
      </c>
      <c r="Y2836" s="230" t="s">
        <v>203</v>
      </c>
      <c r="Z2836" s="230" t="s">
        <v>195</v>
      </c>
      <c r="AA2836" s="230" t="s">
        <v>196</v>
      </c>
      <c r="AB2836" s="230" t="s">
        <v>187</v>
      </c>
      <c r="AC2836" s="230" t="s">
        <v>209</v>
      </c>
      <c r="AD2836" s="228">
        <v>1</v>
      </c>
      <c r="AE2836" s="230" t="s">
        <v>187</v>
      </c>
      <c r="AF2836" s="228">
        <v>6.8681700000000001</v>
      </c>
      <c r="AG2836" s="233">
        <v>80.020849999999996</v>
      </c>
      <c r="AO2836" s="121"/>
      <c r="AT2836" s="111"/>
      <c r="AX2836" s="121"/>
    </row>
    <row r="2837" spans="1:254" s="183" customFormat="1" ht="20" customHeight="1" thickTop="1">
      <c r="A2837" s="175" t="s">
        <v>4916</v>
      </c>
      <c r="B2837" s="176">
        <f>SUBTOTAL(103,TableSSDPeopleGroups[Ctry])</f>
        <v>2834</v>
      </c>
      <c r="C2837" s="177"/>
      <c r="D2837" s="178"/>
      <c r="E2837" s="179"/>
      <c r="F2837" s="179"/>
      <c r="G2837" s="179">
        <f>SUBTOTAL(109,TableSSDPeopleGroups[Population])</f>
        <v>1059156280</v>
      </c>
      <c r="H2837" s="179"/>
      <c r="I2837" s="179"/>
      <c r="J2837" s="179"/>
      <c r="K2837" s="179"/>
      <c r="L2837" s="179"/>
      <c r="M2837" s="179"/>
      <c r="N2837" s="179"/>
      <c r="O2837" s="179"/>
      <c r="P2837" s="179"/>
      <c r="Q2837" s="179"/>
      <c r="R2837" s="179"/>
      <c r="S2837" s="179"/>
      <c r="T2837" s="179"/>
      <c r="U2837" s="179"/>
      <c r="V2837" s="179"/>
      <c r="W2837" s="179"/>
      <c r="X2837" s="179"/>
      <c r="Y2837" s="179"/>
      <c r="Z2837" s="179"/>
      <c r="AA2837" s="179"/>
      <c r="AB2837" s="179"/>
      <c r="AC2837" s="179"/>
      <c r="AD2837" s="179"/>
      <c r="AE2837" s="179"/>
      <c r="AF2837" s="179"/>
      <c r="AG2837" s="180">
        <f>SUBTOTAL(109,TableSSDPeopleGroups[Longitude])</f>
        <v>290310.85541308927</v>
      </c>
      <c r="AH2837" s="181"/>
      <c r="AI2837" s="181"/>
      <c r="AJ2837" s="181"/>
      <c r="AK2837" s="181"/>
      <c r="AL2837" s="181"/>
      <c r="AM2837" s="181"/>
      <c r="AN2837" s="181"/>
      <c r="AO2837" s="226"/>
      <c r="AP2837" s="181"/>
      <c r="AQ2837" s="181"/>
      <c r="AR2837" s="181"/>
      <c r="AS2837" s="181"/>
      <c r="AT2837" s="182"/>
      <c r="AU2837" s="181"/>
      <c r="AV2837" s="181"/>
      <c r="AW2837" s="181"/>
      <c r="AX2837" s="226"/>
      <c r="AY2837" s="181"/>
      <c r="AZ2837" s="181"/>
      <c r="BA2837" s="181"/>
      <c r="BB2837" s="181"/>
      <c r="BC2837" s="181"/>
      <c r="BD2837" s="181"/>
      <c r="BE2837" s="181"/>
      <c r="BF2837" s="181"/>
      <c r="BG2837" s="181"/>
      <c r="BH2837" s="181"/>
      <c r="BI2837" s="181"/>
      <c r="BJ2837" s="181"/>
      <c r="BK2837" s="181"/>
      <c r="BL2837" s="181"/>
      <c r="BM2837" s="181"/>
      <c r="BN2837" s="181"/>
      <c r="BO2837" s="181"/>
      <c r="BP2837" s="181"/>
      <c r="BQ2837" s="181"/>
      <c r="BR2837" s="181"/>
      <c r="BS2837" s="181"/>
      <c r="BT2837" s="181"/>
      <c r="BU2837" s="181"/>
      <c r="BV2837" s="181"/>
      <c r="BW2837" s="181"/>
      <c r="BX2837" s="181"/>
      <c r="BY2837" s="181"/>
      <c r="BZ2837" s="181"/>
      <c r="CA2837" s="181"/>
      <c r="CB2837" s="181"/>
      <c r="CC2837" s="181"/>
      <c r="CD2837" s="181"/>
      <c r="CE2837" s="181"/>
      <c r="CF2837" s="181"/>
      <c r="CG2837" s="181"/>
      <c r="CH2837" s="181"/>
      <c r="CI2837" s="181"/>
      <c r="CJ2837" s="181"/>
      <c r="CK2837" s="181"/>
      <c r="CL2837" s="181"/>
      <c r="CM2837" s="181"/>
      <c r="CN2837" s="181"/>
      <c r="CO2837" s="181"/>
      <c r="CP2837" s="181"/>
      <c r="CQ2837" s="181"/>
      <c r="CR2837" s="181"/>
      <c r="CS2837" s="181"/>
      <c r="CT2837" s="181"/>
      <c r="CU2837" s="181"/>
      <c r="CV2837" s="181"/>
      <c r="CW2837" s="181"/>
      <c r="CX2837" s="181"/>
      <c r="CY2837" s="181"/>
      <c r="CZ2837" s="181"/>
      <c r="DA2837" s="181"/>
      <c r="DB2837" s="181"/>
      <c r="DC2837" s="181"/>
      <c r="DD2837" s="181"/>
      <c r="DE2837" s="181"/>
      <c r="DF2837" s="181"/>
      <c r="DG2837" s="181"/>
      <c r="DH2837" s="181"/>
      <c r="DI2837" s="181"/>
      <c r="DJ2837" s="181"/>
      <c r="DK2837" s="181"/>
      <c r="DL2837" s="181"/>
      <c r="DM2837" s="181"/>
      <c r="DN2837" s="181"/>
      <c r="DO2837" s="181"/>
      <c r="DP2837" s="181"/>
      <c r="DQ2837" s="181"/>
      <c r="DR2837" s="181"/>
      <c r="DS2837" s="181"/>
      <c r="DT2837" s="181"/>
      <c r="DU2837" s="181"/>
      <c r="DV2837" s="181"/>
      <c r="DW2837" s="181"/>
      <c r="DX2837" s="181"/>
      <c r="DY2837" s="181"/>
      <c r="DZ2837" s="181"/>
      <c r="EA2837" s="181"/>
      <c r="EB2837" s="181"/>
      <c r="EC2837" s="181"/>
      <c r="ED2837" s="181"/>
      <c r="EE2837" s="181"/>
      <c r="EF2837" s="181"/>
      <c r="EG2837" s="181"/>
      <c r="EH2837" s="181"/>
      <c r="EI2837" s="181"/>
      <c r="EJ2837" s="181"/>
      <c r="EK2837" s="181"/>
      <c r="EL2837" s="181"/>
      <c r="EM2837" s="181"/>
      <c r="EN2837" s="181"/>
      <c r="EO2837" s="181"/>
      <c r="EP2837" s="181"/>
      <c r="EQ2837" s="181"/>
      <c r="ER2837" s="181"/>
      <c r="ES2837" s="181"/>
      <c r="ET2837" s="181"/>
      <c r="EU2837" s="181"/>
      <c r="EV2837" s="181"/>
      <c r="EW2837" s="181"/>
      <c r="EX2837" s="181"/>
      <c r="EY2837" s="181"/>
      <c r="EZ2837" s="181"/>
      <c r="FA2837" s="181"/>
      <c r="FB2837" s="181"/>
      <c r="FC2837" s="181"/>
      <c r="FD2837" s="181"/>
      <c r="FE2837" s="181"/>
      <c r="FF2837" s="181"/>
      <c r="FG2837" s="181"/>
      <c r="FH2837" s="181"/>
      <c r="FI2837" s="181"/>
      <c r="FJ2837" s="181"/>
      <c r="FK2837" s="181"/>
      <c r="FL2837" s="181"/>
      <c r="FM2837" s="181"/>
      <c r="FN2837" s="181"/>
      <c r="FO2837" s="181"/>
      <c r="FP2837" s="181"/>
      <c r="FQ2837" s="181"/>
      <c r="FR2837" s="181"/>
      <c r="FS2837" s="181"/>
      <c r="FT2837" s="181"/>
      <c r="FU2837" s="181"/>
      <c r="FV2837" s="181"/>
      <c r="FW2837" s="181"/>
      <c r="FX2837" s="181"/>
      <c r="FY2837" s="181"/>
      <c r="FZ2837" s="181"/>
      <c r="GA2837" s="181"/>
      <c r="GB2837" s="181"/>
      <c r="GC2837" s="181"/>
      <c r="GD2837" s="181"/>
      <c r="GE2837" s="181"/>
      <c r="GF2837" s="181"/>
      <c r="GG2837" s="181"/>
      <c r="GH2837" s="181"/>
      <c r="GI2837" s="181"/>
      <c r="GJ2837" s="181"/>
      <c r="GK2837" s="181"/>
      <c r="GL2837" s="181"/>
      <c r="GM2837" s="181"/>
      <c r="GN2837" s="181"/>
      <c r="GO2837" s="181"/>
      <c r="GP2837" s="181"/>
      <c r="GQ2837" s="181"/>
      <c r="GR2837" s="181"/>
      <c r="GS2837" s="181"/>
      <c r="GT2837" s="181"/>
      <c r="GU2837" s="181"/>
      <c r="GV2837" s="181"/>
      <c r="GW2837" s="181"/>
      <c r="GX2837" s="181"/>
      <c r="GY2837" s="181"/>
      <c r="GZ2837" s="181"/>
      <c r="HA2837" s="181"/>
      <c r="HB2837" s="181"/>
      <c r="HC2837" s="181"/>
      <c r="HD2837" s="181"/>
      <c r="HE2837" s="181"/>
      <c r="HF2837" s="181"/>
      <c r="HG2837" s="181"/>
      <c r="HH2837" s="181"/>
      <c r="HI2837" s="181"/>
      <c r="HJ2837" s="181"/>
      <c r="HK2837" s="181"/>
      <c r="HL2837" s="181"/>
      <c r="HM2837" s="181"/>
      <c r="HN2837" s="181"/>
      <c r="HO2837" s="181"/>
      <c r="HP2837" s="181"/>
      <c r="HQ2837" s="181"/>
      <c r="HR2837" s="181"/>
      <c r="HS2837" s="181"/>
      <c r="HT2837" s="181"/>
      <c r="HU2837" s="181"/>
      <c r="HV2837" s="181"/>
      <c r="HW2837" s="181"/>
      <c r="HX2837" s="181"/>
      <c r="HY2837" s="181"/>
      <c r="HZ2837" s="181"/>
      <c r="IA2837" s="181"/>
      <c r="IB2837" s="181"/>
      <c r="IC2837" s="181"/>
      <c r="ID2837" s="181"/>
      <c r="IE2837" s="181"/>
      <c r="IF2837" s="181"/>
      <c r="IG2837" s="181"/>
      <c r="IH2837" s="181"/>
      <c r="II2837" s="181"/>
      <c r="IJ2837" s="181"/>
      <c r="IK2837" s="181"/>
      <c r="IL2837" s="181"/>
      <c r="IM2837" s="181"/>
      <c r="IN2837" s="181"/>
      <c r="IO2837" s="181"/>
      <c r="IP2837" s="181"/>
      <c r="IQ2837" s="181"/>
      <c r="IR2837" s="181"/>
      <c r="IS2837" s="181"/>
      <c r="IT2837" s="181"/>
    </row>
  </sheetData>
  <sheetProtection algorithmName="SHA-512" hashValue="1pnjiaCeg+zXgK89zJrf9V06AyU6n/QLucobOe7iGyBoRc/4wTF1GaWZEYJ05qqSkRaXGi3FpC+PrtGjH7xhBQ==" saltValue="lMBsX1SSrXMmIoCq2ixshA==" spinCount="100000" sheet="1" objects="1" scenarios="1"/>
  <mergeCells count="1">
    <mergeCell ref="A1:AG1"/>
  </mergeCells>
  <pageMargins left="1" right="1" top="1" bottom="1" header="0.25" footer="0.25"/>
  <pageSetup orientation="portrait"/>
  <headerFooter>
    <oddFooter>&amp;C&amp;"Helvetica Neue,Regular"&amp;12&amp;K000000&amp;P</oddFooter>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Planning Template</vt:lpstr>
      <vt:lpstr>Jordan Data</vt:lpstr>
      <vt:lpstr>Quarterly Report</vt:lpstr>
      <vt:lpstr>Unreached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Wesley Szamko</dc:creator>
  <cp:lastModifiedBy>Microsoft Office User</cp:lastModifiedBy>
  <dcterms:created xsi:type="dcterms:W3CDTF">2019-09-09T17:31:18Z</dcterms:created>
  <dcterms:modified xsi:type="dcterms:W3CDTF">2020-03-31T08:56:34Z</dcterms:modified>
</cp:coreProperties>
</file>